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10.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episto\Box\NRDC\Residential - All\Residential Results with natural gas plants with reverse cycle defrost\"/>
    </mc:Choice>
  </mc:AlternateContent>
  <xr:revisionPtr revIDLastSave="0" documentId="13_ncr:1_{718B8859-46F9-4153-8C32-B53A5588C940}" xr6:coauthVersionLast="47" xr6:coauthVersionMax="47" xr10:uidLastSave="{00000000-0000-0000-0000-000000000000}"/>
  <bookViews>
    <workbookView xWindow="-120" yWindow="-120" windowWidth="29040" windowHeight="15720" tabRatio="846" activeTab="1" xr2:uid="{FFC215FF-C21C-46DA-9CB8-B7A8544EC2B6}"/>
  </bookViews>
  <sheets>
    <sheet name="Sizing" sheetId="8" r:id="rId1"/>
    <sheet name="Data" sheetId="3" r:id="rId2"/>
    <sheet name="TY3A_REP_CITIES" sheetId="4" r:id="rId3"/>
    <sheet name="Census Population Data" sheetId="6" r:id="rId4"/>
    <sheet name="AC Adoption" sheetId="14" r:id="rId5"/>
    <sheet name="Useful Constants" sheetId="5" r:id="rId6"/>
    <sheet name="Leak Rate" sheetId="22" r:id="rId7"/>
    <sheet name="Analysis" sheetId="1" r:id="rId8"/>
    <sheet name="GWP20 US" sheetId="19" r:id="rId9"/>
    <sheet name="GWP100 US" sheetId="24" r:id="rId10"/>
    <sheet name="US Average - Population Weight" sheetId="7" r:id="rId11"/>
    <sheet name="Heat Pump Fraction" sheetId="18" r:id="rId12"/>
    <sheet name="CO2 Emission Reduction Bar" sheetId="23" r:id="rId13"/>
    <sheet name="GWP20 Emission Reduction Bar" sheetId="15" r:id="rId14"/>
    <sheet name="GWP100 Emission Reduction Bar" sheetId="16" r:id="rId15"/>
  </sheets>
  <definedNames>
    <definedName name="CO_1_US">'Census Population Data'!$A$4:$N$3147</definedName>
    <definedName name="_xlnm.Print_Area" localSheetId="3">'Census Population Data'!$A$2:$N$3153</definedName>
    <definedName name="_xlnm.Print_Titles" localSheetId="3">'Census Population Data'!$A:$A,'Census Population Data'!$2:$2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 i="7" l="1"/>
  <c r="X13" i="7"/>
  <c r="AB8" i="7"/>
  <c r="X8" i="7"/>
  <c r="X18" i="7"/>
  <c r="V2" i="7"/>
  <c r="X2" i="7"/>
  <c r="Y2" i="7"/>
  <c r="Z2" i="7"/>
  <c r="AB2" i="7"/>
  <c r="AC2" i="7"/>
  <c r="V10" i="7"/>
  <c r="X10" i="7"/>
  <c r="Y10" i="7"/>
  <c r="Z10" i="7"/>
  <c r="AB10" i="7"/>
  <c r="AC10" i="7"/>
  <c r="Z19" i="7"/>
  <c r="AB19" i="7"/>
  <c r="V11" i="7"/>
  <c r="V19" i="7"/>
  <c r="X20" i="7"/>
  <c r="Y4" i="7"/>
  <c r="Z4" i="7"/>
  <c r="W21" i="7"/>
  <c r="AA21" i="7"/>
  <c r="V5" i="7"/>
  <c r="W5" i="7"/>
  <c r="X5" i="7"/>
  <c r="AA5" i="7"/>
  <c r="AB5" i="7"/>
  <c r="AA7" i="7"/>
  <c r="AA8" i="7"/>
  <c r="AB21" i="7"/>
  <c r="Z18" i="7"/>
  <c r="AB18" i="7"/>
  <c r="V18" i="7"/>
  <c r="Z11" i="7"/>
  <c r="AB11" i="7"/>
  <c r="V12" i="7"/>
  <c r="W10" i="7"/>
  <c r="AA10" i="7"/>
  <c r="V3" i="7"/>
  <c r="X3" i="7"/>
  <c r="AB3" i="7"/>
  <c r="V4" i="7"/>
  <c r="AB4" i="7"/>
  <c r="Y5" i="7"/>
  <c r="AC5" i="7"/>
  <c r="W7" i="7"/>
  <c r="AB7" i="7"/>
  <c r="W2" i="7"/>
  <c r="AA2" i="7"/>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S4" i="3"/>
  <c r="S3" i="3"/>
  <c r="S2"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AB24" i="7" l="1"/>
  <c r="AB16" i="7"/>
  <c r="W8" i="7"/>
  <c r="Y7" i="7"/>
  <c r="Z5" i="7"/>
  <c r="Z21" i="7"/>
  <c r="AB13" i="7"/>
  <c r="Z13" i="7"/>
  <c r="V13" i="7"/>
  <c r="AC6" i="7"/>
  <c r="AC7" i="7"/>
  <c r="Y6" i="7"/>
  <c r="X21" i="7"/>
  <c r="Y13" i="7"/>
  <c r="AC13" i="7"/>
  <c r="X4" i="7"/>
  <c r="Y21" i="7"/>
  <c r="AC21" i="7"/>
  <c r="AB12" i="7"/>
  <c r="Y20" i="7"/>
  <c r="V20" i="7"/>
  <c r="AB20" i="7"/>
  <c r="Z3" i="7"/>
  <c r="W16" i="7"/>
  <c r="AA16" i="7"/>
  <c r="V8" i="7"/>
  <c r="V16" i="7"/>
  <c r="V24" i="7"/>
  <c r="W23" i="7"/>
  <c r="AA23" i="7"/>
  <c r="AB23" i="7"/>
  <c r="Y23" i="7"/>
  <c r="AC23" i="7"/>
  <c r="X7" i="7"/>
  <c r="X15" i="7"/>
  <c r="X23" i="7"/>
  <c r="AC14" i="7"/>
  <c r="Y14" i="7"/>
  <c r="Z14" i="7"/>
  <c r="Z6" i="7"/>
  <c r="Z22" i="7"/>
  <c r="V14" i="7"/>
  <c r="V6" i="7"/>
  <c r="V22" i="7"/>
  <c r="X16" i="7"/>
  <c r="W24" i="7"/>
  <c r="AA24" i="7"/>
  <c r="AC8" i="7"/>
  <c r="W15" i="7"/>
  <c r="AA15" i="7"/>
  <c r="AB15" i="7"/>
  <c r="Y15" i="7"/>
  <c r="AC15" i="7"/>
  <c r="Z7" i="7"/>
  <c r="Z15" i="7"/>
  <c r="Z23" i="7"/>
  <c r="V7" i="7"/>
  <c r="V15" i="7"/>
  <c r="V23" i="7"/>
  <c r="AC22" i="7"/>
  <c r="Y22" i="7"/>
  <c r="AB14" i="7"/>
  <c r="AB6" i="7"/>
  <c r="AB22" i="7"/>
  <c r="X6" i="7"/>
  <c r="X22" i="7"/>
  <c r="X14" i="7"/>
  <c r="Z8" i="7"/>
  <c r="Z16" i="7"/>
  <c r="Z24" i="7"/>
  <c r="X24" i="7"/>
  <c r="Y8" i="7"/>
  <c r="AA6" i="7"/>
  <c r="AA14" i="7"/>
  <c r="AA22" i="7"/>
  <c r="AC24" i="7"/>
  <c r="Y24" i="7"/>
  <c r="AC16" i="7"/>
  <c r="Y16" i="7"/>
  <c r="W13" i="7"/>
  <c r="AA13" i="7"/>
  <c r="W6" i="7"/>
  <c r="W14" i="7"/>
  <c r="W22" i="7"/>
  <c r="AC4" i="7"/>
  <c r="AC20" i="7"/>
  <c r="X12" i="7"/>
  <c r="AC12" i="7"/>
  <c r="Y12" i="7"/>
  <c r="Z12" i="7"/>
  <c r="Z20" i="7"/>
  <c r="AA4" i="7"/>
  <c r="AA12" i="7"/>
  <c r="AA20" i="7"/>
  <c r="W4" i="7"/>
  <c r="W12" i="7"/>
  <c r="W20" i="7"/>
  <c r="W18" i="7"/>
  <c r="AA18" i="7"/>
  <c r="Y18" i="7"/>
  <c r="AC18" i="7"/>
  <c r="AC3" i="7"/>
  <c r="AC11" i="7"/>
  <c r="AC19" i="7"/>
  <c r="Y3" i="7"/>
  <c r="Y11" i="7"/>
  <c r="Y19" i="7"/>
  <c r="X19" i="7"/>
  <c r="X11" i="7"/>
  <c r="AA3" i="7"/>
  <c r="AA11" i="7"/>
  <c r="AA19" i="7"/>
  <c r="W3" i="7"/>
  <c r="W11" i="7"/>
  <c r="W19" i="7"/>
  <c r="B14" i="5"/>
  <c r="B59" i="5" l="1"/>
  <c r="B61" i="5" s="1"/>
  <c r="B62" i="5" s="1"/>
  <c r="B45" i="5" l="1"/>
  <c r="B47" i="5"/>
  <c r="B48" i="5" s="1"/>
  <c r="B50" i="5" s="1"/>
  <c r="P3" i="1"/>
  <c r="P14" i="1"/>
  <c r="P26" i="1"/>
  <c r="P38" i="1"/>
  <c r="P50" i="1"/>
  <c r="P62" i="1"/>
  <c r="P74" i="1"/>
  <c r="P86" i="1"/>
  <c r="P98" i="1"/>
  <c r="P2" i="1"/>
  <c r="P4" i="1"/>
  <c r="P5" i="1"/>
  <c r="P6" i="1"/>
  <c r="P7" i="1"/>
  <c r="P8" i="1"/>
  <c r="P9" i="1"/>
  <c r="P10" i="1"/>
  <c r="P11" i="1"/>
  <c r="P12" i="1"/>
  <c r="P13" i="1"/>
  <c r="P15" i="1"/>
  <c r="P16" i="1"/>
  <c r="P17" i="1"/>
  <c r="P18" i="1"/>
  <c r="P19" i="1"/>
  <c r="P20" i="1"/>
  <c r="P21" i="1"/>
  <c r="P22" i="1"/>
  <c r="P23" i="1"/>
  <c r="P24" i="1"/>
  <c r="P25" i="1"/>
  <c r="P27" i="1"/>
  <c r="P28" i="1"/>
  <c r="P29" i="1"/>
  <c r="P30" i="1"/>
  <c r="P31" i="1"/>
  <c r="P32" i="1"/>
  <c r="P33" i="1"/>
  <c r="P34" i="1"/>
  <c r="P35" i="1"/>
  <c r="P36" i="1"/>
  <c r="P37" i="1"/>
  <c r="P39" i="1"/>
  <c r="P40" i="1"/>
  <c r="P41" i="1"/>
  <c r="P42" i="1"/>
  <c r="P43" i="1"/>
  <c r="P44" i="1"/>
  <c r="P45" i="1"/>
  <c r="P46" i="1"/>
  <c r="P47" i="1"/>
  <c r="P48" i="1"/>
  <c r="P49" i="1"/>
  <c r="P51" i="1"/>
  <c r="P52" i="1"/>
  <c r="P53" i="1"/>
  <c r="P54" i="1"/>
  <c r="P55" i="1"/>
  <c r="P56" i="1"/>
  <c r="P57" i="1"/>
  <c r="P58" i="1"/>
  <c r="P59" i="1"/>
  <c r="P60" i="1"/>
  <c r="P61" i="1"/>
  <c r="P63" i="1"/>
  <c r="P64" i="1"/>
  <c r="P65" i="1"/>
  <c r="P66" i="1"/>
  <c r="P67" i="1"/>
  <c r="P68" i="1"/>
  <c r="P69" i="1"/>
  <c r="P70" i="1"/>
  <c r="P71" i="1"/>
  <c r="P72" i="1"/>
  <c r="P73" i="1"/>
  <c r="P75" i="1"/>
  <c r="P76" i="1"/>
  <c r="P77" i="1"/>
  <c r="P78" i="1"/>
  <c r="P79" i="1"/>
  <c r="P80" i="1"/>
  <c r="P81" i="1"/>
  <c r="P82" i="1"/>
  <c r="P83" i="1"/>
  <c r="P84" i="1"/>
  <c r="P85" i="1"/>
  <c r="P87" i="1"/>
  <c r="P88" i="1"/>
  <c r="P89" i="1"/>
  <c r="P90" i="1"/>
  <c r="P91" i="1"/>
  <c r="P92" i="1"/>
  <c r="P93" i="1"/>
  <c r="P94" i="1"/>
  <c r="P95" i="1"/>
  <c r="P96" i="1"/>
  <c r="P97" i="1"/>
  <c r="P99" i="1"/>
  <c r="P100" i="1"/>
  <c r="R2" i="1"/>
  <c r="R3" i="1"/>
  <c r="BA80" i="1" l="1"/>
  <c r="AY80" i="1"/>
  <c r="AY94" i="1"/>
  <c r="BA94" i="1"/>
  <c r="AY81" i="1"/>
  <c r="BA81" i="1"/>
  <c r="AY68" i="1"/>
  <c r="BA68" i="1"/>
  <c r="AY55" i="1"/>
  <c r="BA55" i="1"/>
  <c r="BA42" i="1"/>
  <c r="AY42" i="1"/>
  <c r="AY29" i="1"/>
  <c r="BA29" i="1"/>
  <c r="AY16" i="1"/>
  <c r="BA16" i="1"/>
  <c r="AY93" i="1"/>
  <c r="BA93" i="1"/>
  <c r="AY41" i="1"/>
  <c r="BA41" i="1"/>
  <c r="AY15" i="1"/>
  <c r="BA15" i="1"/>
  <c r="AY79" i="1"/>
  <c r="BA79" i="1"/>
  <c r="AY40" i="1"/>
  <c r="BA40" i="1"/>
  <c r="AY13" i="1"/>
  <c r="BA13" i="1"/>
  <c r="BA86" i="1"/>
  <c r="AY86" i="1"/>
  <c r="AY92" i="1"/>
  <c r="BA92" i="1"/>
  <c r="AY53" i="1"/>
  <c r="BA53" i="1"/>
  <c r="AY91" i="1"/>
  <c r="BA91" i="1"/>
  <c r="AY65" i="1"/>
  <c r="BA65" i="1"/>
  <c r="AY52" i="1"/>
  <c r="BA52" i="1"/>
  <c r="AY39" i="1"/>
  <c r="BA39" i="1"/>
  <c r="AY25" i="1"/>
  <c r="BA25" i="1"/>
  <c r="AY12" i="1"/>
  <c r="BA12" i="1"/>
  <c r="BA74" i="1"/>
  <c r="AY74" i="1"/>
  <c r="AY54" i="1"/>
  <c r="BA54" i="1"/>
  <c r="AY28" i="1"/>
  <c r="BA28" i="1"/>
  <c r="AY98" i="1"/>
  <c r="BA98" i="1"/>
  <c r="BA66" i="1"/>
  <c r="AY66" i="1"/>
  <c r="AY27" i="1"/>
  <c r="BA27" i="1"/>
  <c r="BA78" i="1"/>
  <c r="AY78" i="1"/>
  <c r="AY90" i="1"/>
  <c r="BA90" i="1"/>
  <c r="AY77" i="1"/>
  <c r="BA77" i="1"/>
  <c r="AY64" i="1"/>
  <c r="BA64" i="1"/>
  <c r="AY51" i="1"/>
  <c r="BA51" i="1"/>
  <c r="AY37" i="1"/>
  <c r="BA37" i="1"/>
  <c r="AY24" i="1"/>
  <c r="BA24" i="1"/>
  <c r="AY11" i="1"/>
  <c r="BA11" i="1"/>
  <c r="AY62" i="1"/>
  <c r="BA62" i="1"/>
  <c r="AY88" i="1"/>
  <c r="BA88" i="1"/>
  <c r="AY75" i="1"/>
  <c r="BA75" i="1"/>
  <c r="AY61" i="1"/>
  <c r="BA61" i="1"/>
  <c r="BA48" i="1"/>
  <c r="AY48" i="1"/>
  <c r="AY35" i="1"/>
  <c r="BA35" i="1"/>
  <c r="AY22" i="1"/>
  <c r="BA22" i="1"/>
  <c r="AY9" i="1"/>
  <c r="BA9" i="1"/>
  <c r="AY38" i="1"/>
  <c r="BA38" i="1"/>
  <c r="AY89" i="1"/>
  <c r="BA89" i="1"/>
  <c r="AY63" i="1"/>
  <c r="BA63" i="1"/>
  <c r="AY23" i="1"/>
  <c r="BA23" i="1"/>
  <c r="BA50" i="1"/>
  <c r="AY50" i="1"/>
  <c r="AY100" i="1"/>
  <c r="BA100" i="1"/>
  <c r="AY87" i="1"/>
  <c r="BA87" i="1"/>
  <c r="AY73" i="1"/>
  <c r="BA73" i="1"/>
  <c r="BA60" i="1"/>
  <c r="AY60" i="1"/>
  <c r="AY47" i="1"/>
  <c r="BA47" i="1"/>
  <c r="AY34" i="1"/>
  <c r="BA34" i="1"/>
  <c r="AY21" i="1"/>
  <c r="BA21" i="1"/>
  <c r="AY8" i="1"/>
  <c r="BA8" i="1"/>
  <c r="BA26" i="1"/>
  <c r="AY26" i="1"/>
  <c r="AY76" i="1"/>
  <c r="BA76" i="1"/>
  <c r="AY49" i="1"/>
  <c r="BA49" i="1"/>
  <c r="AY36" i="1"/>
  <c r="BA36" i="1"/>
  <c r="AY10" i="1"/>
  <c r="BA10" i="1"/>
  <c r="AY99" i="1"/>
  <c r="BA99" i="1"/>
  <c r="AY85" i="1"/>
  <c r="BA85" i="1"/>
  <c r="BA72" i="1"/>
  <c r="AY72" i="1"/>
  <c r="AY59" i="1"/>
  <c r="BA59" i="1"/>
  <c r="AY46" i="1"/>
  <c r="BA46" i="1"/>
  <c r="AY33" i="1"/>
  <c r="BA33" i="1"/>
  <c r="AY20" i="1"/>
  <c r="BA20" i="1"/>
  <c r="AY7" i="1"/>
  <c r="BA7" i="1"/>
  <c r="AY14" i="1"/>
  <c r="BA14" i="1"/>
  <c r="BA84" i="1"/>
  <c r="AY84" i="1"/>
  <c r="AY58" i="1"/>
  <c r="BA58" i="1"/>
  <c r="AY32" i="1"/>
  <c r="BA32" i="1"/>
  <c r="AY6" i="1"/>
  <c r="BA6" i="1"/>
  <c r="AY83" i="1"/>
  <c r="BA83" i="1"/>
  <c r="AY70" i="1"/>
  <c r="BA70" i="1"/>
  <c r="AY57" i="1"/>
  <c r="BA57" i="1"/>
  <c r="BA44" i="1"/>
  <c r="AY44" i="1"/>
  <c r="AY31" i="1"/>
  <c r="BA31" i="1"/>
  <c r="AY18" i="1"/>
  <c r="BA18" i="1"/>
  <c r="AY5" i="1"/>
  <c r="BA5" i="1"/>
  <c r="AY67" i="1"/>
  <c r="BA67" i="1"/>
  <c r="AY97" i="1"/>
  <c r="BA97" i="1"/>
  <c r="AY71" i="1"/>
  <c r="BA71" i="1"/>
  <c r="AY45" i="1"/>
  <c r="BA45" i="1"/>
  <c r="AY19" i="1"/>
  <c r="BA19" i="1"/>
  <c r="AY3" i="1"/>
  <c r="BA3" i="1"/>
  <c r="BA96" i="1"/>
  <c r="AY96" i="1"/>
  <c r="AY95" i="1"/>
  <c r="BA95" i="1"/>
  <c r="AY82" i="1"/>
  <c r="BA82" i="1"/>
  <c r="AY69" i="1"/>
  <c r="BA69" i="1"/>
  <c r="AY56" i="1"/>
  <c r="BA56" i="1"/>
  <c r="AY43" i="1"/>
  <c r="BA43" i="1"/>
  <c r="AY30" i="1"/>
  <c r="BA30" i="1"/>
  <c r="AY17" i="1"/>
  <c r="BA17" i="1"/>
  <c r="AY4" i="1"/>
  <c r="BA4" i="1"/>
  <c r="B54" i="5"/>
  <c r="B53" i="5"/>
  <c r="D2" i="22" l="1"/>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BG2" i="1" l="1"/>
  <c r="BH2" i="1"/>
  <c r="BG3" i="1"/>
  <c r="BH3" i="1"/>
  <c r="BG4" i="1"/>
  <c r="BH4" i="1"/>
  <c r="BG5" i="1"/>
  <c r="BH5" i="1"/>
  <c r="BG6" i="1"/>
  <c r="BH6" i="1"/>
  <c r="BG7" i="1"/>
  <c r="BH7" i="1"/>
  <c r="BG8" i="1"/>
  <c r="BH8" i="1"/>
  <c r="BG9" i="1"/>
  <c r="BH9" i="1"/>
  <c r="BG10" i="1"/>
  <c r="BH10" i="1"/>
  <c r="BG11" i="1"/>
  <c r="BH11" i="1"/>
  <c r="BG12" i="1"/>
  <c r="BH12" i="1"/>
  <c r="BG13" i="1"/>
  <c r="BH13" i="1"/>
  <c r="BG14" i="1"/>
  <c r="BH14" i="1"/>
  <c r="BG15" i="1"/>
  <c r="BH15" i="1"/>
  <c r="BG16" i="1"/>
  <c r="BH16" i="1"/>
  <c r="BG17" i="1"/>
  <c r="BH17" i="1"/>
  <c r="BG18" i="1"/>
  <c r="BH18" i="1"/>
  <c r="BG19" i="1"/>
  <c r="BH19" i="1"/>
  <c r="BG20" i="1"/>
  <c r="BH20" i="1"/>
  <c r="BG21" i="1"/>
  <c r="BH21" i="1"/>
  <c r="BG22" i="1"/>
  <c r="BH22" i="1"/>
  <c r="BG23" i="1"/>
  <c r="BH23" i="1"/>
  <c r="BG24" i="1"/>
  <c r="BH24" i="1"/>
  <c r="BG25" i="1"/>
  <c r="BH25" i="1"/>
  <c r="BG26" i="1"/>
  <c r="BH26" i="1"/>
  <c r="BG27" i="1"/>
  <c r="BH27" i="1"/>
  <c r="BG28" i="1"/>
  <c r="BH28" i="1"/>
  <c r="BG29" i="1"/>
  <c r="BH29" i="1"/>
  <c r="BG30" i="1"/>
  <c r="BH30" i="1"/>
  <c r="BG31" i="1"/>
  <c r="BH31" i="1"/>
  <c r="BG32" i="1"/>
  <c r="BH32" i="1"/>
  <c r="BG33" i="1"/>
  <c r="BH33" i="1"/>
  <c r="BG34" i="1"/>
  <c r="BH34" i="1"/>
  <c r="BG35" i="1"/>
  <c r="BH35" i="1"/>
  <c r="BG36" i="1"/>
  <c r="BH36" i="1"/>
  <c r="BG37" i="1"/>
  <c r="BH37" i="1"/>
  <c r="BG38" i="1"/>
  <c r="BH38" i="1"/>
  <c r="BG39" i="1"/>
  <c r="BH39" i="1"/>
  <c r="BG40" i="1"/>
  <c r="BH40" i="1"/>
  <c r="BG41" i="1"/>
  <c r="BH41" i="1"/>
  <c r="BG42" i="1"/>
  <c r="BH42" i="1"/>
  <c r="BG43" i="1"/>
  <c r="BH43" i="1"/>
  <c r="BG44" i="1"/>
  <c r="BH44" i="1"/>
  <c r="BG45" i="1"/>
  <c r="BH45" i="1"/>
  <c r="BG46" i="1"/>
  <c r="BH46" i="1"/>
  <c r="BG47" i="1"/>
  <c r="BH47" i="1"/>
  <c r="BG48" i="1"/>
  <c r="BH48" i="1"/>
  <c r="BG49" i="1"/>
  <c r="BH49" i="1"/>
  <c r="BG50" i="1"/>
  <c r="BH50" i="1"/>
  <c r="BG51" i="1"/>
  <c r="BH51" i="1"/>
  <c r="BG52" i="1"/>
  <c r="BH52" i="1"/>
  <c r="BG53" i="1"/>
  <c r="BH53" i="1"/>
  <c r="BG54" i="1"/>
  <c r="BH54" i="1"/>
  <c r="BG55" i="1"/>
  <c r="BH55" i="1"/>
  <c r="BG56" i="1"/>
  <c r="BH56" i="1"/>
  <c r="BG57" i="1"/>
  <c r="BH57" i="1"/>
  <c r="BG58" i="1"/>
  <c r="BH58" i="1"/>
  <c r="BG59" i="1"/>
  <c r="BH59" i="1"/>
  <c r="BG60" i="1"/>
  <c r="BH60" i="1"/>
  <c r="BG61" i="1"/>
  <c r="BH61" i="1"/>
  <c r="BG62" i="1"/>
  <c r="BH62" i="1"/>
  <c r="BG63" i="1"/>
  <c r="BH63" i="1"/>
  <c r="BG64" i="1"/>
  <c r="BH64" i="1"/>
  <c r="BG65" i="1"/>
  <c r="BH65" i="1"/>
  <c r="BG66" i="1"/>
  <c r="BH66" i="1"/>
  <c r="BG67" i="1"/>
  <c r="BH67" i="1"/>
  <c r="BG68" i="1"/>
  <c r="BH68" i="1"/>
  <c r="BG69" i="1"/>
  <c r="BH69" i="1"/>
  <c r="BG70" i="1"/>
  <c r="BH70" i="1"/>
  <c r="BG71" i="1"/>
  <c r="BH71" i="1"/>
  <c r="BG72" i="1"/>
  <c r="BH72" i="1"/>
  <c r="BG73" i="1"/>
  <c r="BH73" i="1"/>
  <c r="BG74" i="1"/>
  <c r="BH74" i="1"/>
  <c r="BG75" i="1"/>
  <c r="BH75" i="1"/>
  <c r="BG76" i="1"/>
  <c r="BH76" i="1"/>
  <c r="BG77" i="1"/>
  <c r="BH77" i="1"/>
  <c r="BG78" i="1"/>
  <c r="BH78" i="1"/>
  <c r="BG79" i="1"/>
  <c r="BH79" i="1"/>
  <c r="BG80" i="1"/>
  <c r="BH80" i="1"/>
  <c r="BG81" i="1"/>
  <c r="BH81" i="1"/>
  <c r="BG82" i="1"/>
  <c r="BH82" i="1"/>
  <c r="BG83" i="1"/>
  <c r="BH83" i="1"/>
  <c r="BG84" i="1"/>
  <c r="BH84" i="1"/>
  <c r="BG85" i="1"/>
  <c r="BH85" i="1"/>
  <c r="BG86" i="1"/>
  <c r="BH86" i="1"/>
  <c r="BG87" i="1"/>
  <c r="BH87" i="1"/>
  <c r="BG88" i="1"/>
  <c r="BH88" i="1"/>
  <c r="BG89" i="1"/>
  <c r="BH89" i="1"/>
  <c r="BG90" i="1"/>
  <c r="BH90" i="1"/>
  <c r="BG91" i="1"/>
  <c r="BH91" i="1"/>
  <c r="BG92" i="1"/>
  <c r="BH92" i="1"/>
  <c r="BG93" i="1"/>
  <c r="BH93" i="1"/>
  <c r="BG94" i="1"/>
  <c r="BH94" i="1"/>
  <c r="BG95" i="1"/>
  <c r="BH95" i="1"/>
  <c r="BG96" i="1"/>
  <c r="BH96" i="1"/>
  <c r="BG97" i="1"/>
  <c r="BH97" i="1"/>
  <c r="BG98" i="1"/>
  <c r="BH98" i="1"/>
  <c r="BG99" i="1"/>
  <c r="BH99" i="1"/>
  <c r="BG100" i="1"/>
  <c r="BH100" i="1"/>
  <c r="BF2"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 i="1"/>
  <c r="BE2" i="1"/>
  <c r="BE3" i="1"/>
  <c r="BE4" i="1"/>
  <c r="BE5" i="1"/>
  <c r="BE6" i="1"/>
  <c r="BE7" i="1"/>
  <c r="BE8" i="1"/>
  <c r="BE9" i="1"/>
  <c r="BE10" i="1"/>
  <c r="BE11" i="1"/>
  <c r="BE12" i="1"/>
  <c r="BE13" i="1"/>
  <c r="BE14" i="1"/>
  <c r="BE15" i="1"/>
  <c r="BE16" i="1"/>
  <c r="BE17" i="1"/>
  <c r="BE18" i="1"/>
  <c r="BE19"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G1" i="1"/>
  <c r="BH1" i="1"/>
  <c r="BI2" i="1" l="1"/>
  <c r="D7" i="5"/>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 i="1"/>
  <c r="Q2" i="1" l="1"/>
  <c r="CB3" i="1" l="1"/>
  <c r="CC3" i="1"/>
  <c r="CD3" i="1"/>
  <c r="CE3" i="1"/>
  <c r="CF3" i="1"/>
  <c r="CG3" i="1"/>
  <c r="CH3" i="1"/>
  <c r="CI3" i="1"/>
  <c r="CB4" i="1"/>
  <c r="CC4" i="1"/>
  <c r="CD4" i="1"/>
  <c r="CE4" i="1"/>
  <c r="CF4" i="1"/>
  <c r="CG4" i="1"/>
  <c r="CH4" i="1"/>
  <c r="CI4" i="1"/>
  <c r="CB5" i="1"/>
  <c r="CC5" i="1"/>
  <c r="CD5" i="1"/>
  <c r="CE5" i="1"/>
  <c r="CF5" i="1"/>
  <c r="CG5" i="1"/>
  <c r="CH5" i="1"/>
  <c r="CI5" i="1"/>
  <c r="CB6" i="1"/>
  <c r="CC6" i="1"/>
  <c r="CD6" i="1"/>
  <c r="CE6" i="1"/>
  <c r="CF6" i="1"/>
  <c r="CG6" i="1"/>
  <c r="CH6" i="1"/>
  <c r="CI6" i="1"/>
  <c r="CB7" i="1"/>
  <c r="CC7" i="1"/>
  <c r="CD7" i="1"/>
  <c r="CE7" i="1"/>
  <c r="CF7" i="1"/>
  <c r="CG7" i="1"/>
  <c r="CH7" i="1"/>
  <c r="CI7" i="1"/>
  <c r="CB8" i="1"/>
  <c r="CC8" i="1"/>
  <c r="CD8" i="1"/>
  <c r="CE8" i="1"/>
  <c r="CF8" i="1"/>
  <c r="CG8" i="1"/>
  <c r="CH8" i="1"/>
  <c r="CI8" i="1"/>
  <c r="CB9" i="1"/>
  <c r="CC9" i="1"/>
  <c r="CD9" i="1"/>
  <c r="CE9" i="1"/>
  <c r="CF9" i="1"/>
  <c r="CG9" i="1"/>
  <c r="CH9" i="1"/>
  <c r="CI9" i="1"/>
  <c r="CB10" i="1"/>
  <c r="CC10" i="1"/>
  <c r="CD10" i="1"/>
  <c r="CE10" i="1"/>
  <c r="CF10" i="1"/>
  <c r="CG10" i="1"/>
  <c r="CH10" i="1"/>
  <c r="CI10" i="1"/>
  <c r="CB11" i="1"/>
  <c r="CC11" i="1"/>
  <c r="CD11" i="1"/>
  <c r="CE11" i="1"/>
  <c r="CF11" i="1"/>
  <c r="CG11" i="1"/>
  <c r="CH11" i="1"/>
  <c r="CI11" i="1"/>
  <c r="CB12" i="1"/>
  <c r="CC12" i="1"/>
  <c r="CD12" i="1"/>
  <c r="CE12" i="1"/>
  <c r="CF12" i="1"/>
  <c r="CG12" i="1"/>
  <c r="CH12" i="1"/>
  <c r="CI12" i="1"/>
  <c r="CB13" i="1"/>
  <c r="CC13" i="1"/>
  <c r="CD13" i="1"/>
  <c r="CE13" i="1"/>
  <c r="CF13" i="1"/>
  <c r="CG13" i="1"/>
  <c r="CH13" i="1"/>
  <c r="CI13" i="1"/>
  <c r="CB14" i="1"/>
  <c r="CC14" i="1"/>
  <c r="CD14" i="1"/>
  <c r="CE14" i="1"/>
  <c r="CF14" i="1"/>
  <c r="CG14" i="1"/>
  <c r="CH14" i="1"/>
  <c r="CI14" i="1"/>
  <c r="CB15" i="1"/>
  <c r="CC15" i="1"/>
  <c r="CD15" i="1"/>
  <c r="CE15" i="1"/>
  <c r="CF15" i="1"/>
  <c r="CG15" i="1"/>
  <c r="CH15" i="1"/>
  <c r="CI15" i="1"/>
  <c r="CB16" i="1"/>
  <c r="CC16" i="1"/>
  <c r="CD16" i="1"/>
  <c r="CE16" i="1"/>
  <c r="CF16" i="1"/>
  <c r="CG16" i="1"/>
  <c r="CH16" i="1"/>
  <c r="CI16" i="1"/>
  <c r="CB17" i="1"/>
  <c r="CC17" i="1"/>
  <c r="CD17" i="1"/>
  <c r="CE17" i="1"/>
  <c r="CF17" i="1"/>
  <c r="CG17" i="1"/>
  <c r="CH17" i="1"/>
  <c r="CI17" i="1"/>
  <c r="CB18" i="1"/>
  <c r="CC18" i="1"/>
  <c r="CD18" i="1"/>
  <c r="CE18" i="1"/>
  <c r="CF18" i="1"/>
  <c r="CG18" i="1"/>
  <c r="CH18" i="1"/>
  <c r="CI18" i="1"/>
  <c r="CB19" i="1"/>
  <c r="CC19" i="1"/>
  <c r="CD19" i="1"/>
  <c r="CE19" i="1"/>
  <c r="CF19" i="1"/>
  <c r="CG19" i="1"/>
  <c r="CH19" i="1"/>
  <c r="CI19" i="1"/>
  <c r="CB20" i="1"/>
  <c r="CC20" i="1"/>
  <c r="CD20" i="1"/>
  <c r="CE20" i="1"/>
  <c r="CF20" i="1"/>
  <c r="CG20" i="1"/>
  <c r="CH20" i="1"/>
  <c r="CI20" i="1"/>
  <c r="CB21" i="1"/>
  <c r="CC21" i="1"/>
  <c r="CD21" i="1"/>
  <c r="CE21" i="1"/>
  <c r="CF21" i="1"/>
  <c r="CG21" i="1"/>
  <c r="CH21" i="1"/>
  <c r="CI21" i="1"/>
  <c r="CB22" i="1"/>
  <c r="CC22" i="1"/>
  <c r="CD22" i="1"/>
  <c r="CE22" i="1"/>
  <c r="CF22" i="1"/>
  <c r="CG22" i="1"/>
  <c r="CH22" i="1"/>
  <c r="CI22" i="1"/>
  <c r="CB23" i="1"/>
  <c r="CC23" i="1"/>
  <c r="CD23" i="1"/>
  <c r="CE23" i="1"/>
  <c r="CF23" i="1"/>
  <c r="CG23" i="1"/>
  <c r="CH23" i="1"/>
  <c r="CI23" i="1"/>
  <c r="CB24" i="1"/>
  <c r="CC24" i="1"/>
  <c r="CD24" i="1"/>
  <c r="CE24" i="1"/>
  <c r="CF24" i="1"/>
  <c r="CG24" i="1"/>
  <c r="CH24" i="1"/>
  <c r="CI24" i="1"/>
  <c r="CB25" i="1"/>
  <c r="CC25" i="1"/>
  <c r="CD25" i="1"/>
  <c r="CE25" i="1"/>
  <c r="CF25" i="1"/>
  <c r="CG25" i="1"/>
  <c r="CH25" i="1"/>
  <c r="CI25" i="1"/>
  <c r="CB26" i="1"/>
  <c r="CC26" i="1"/>
  <c r="CD26" i="1"/>
  <c r="CE26" i="1"/>
  <c r="CF26" i="1"/>
  <c r="CG26" i="1"/>
  <c r="CH26" i="1"/>
  <c r="CI26" i="1"/>
  <c r="CB27" i="1"/>
  <c r="CC27" i="1"/>
  <c r="CD27" i="1"/>
  <c r="CE27" i="1"/>
  <c r="CF27" i="1"/>
  <c r="CG27" i="1"/>
  <c r="CH27" i="1"/>
  <c r="CI27" i="1"/>
  <c r="CB28" i="1"/>
  <c r="CC28" i="1"/>
  <c r="CD28" i="1"/>
  <c r="CE28" i="1"/>
  <c r="CF28" i="1"/>
  <c r="CG28" i="1"/>
  <c r="CH28" i="1"/>
  <c r="CI28" i="1"/>
  <c r="CB29" i="1"/>
  <c r="CC29" i="1"/>
  <c r="CD29" i="1"/>
  <c r="CE29" i="1"/>
  <c r="CF29" i="1"/>
  <c r="CG29" i="1"/>
  <c r="CH29" i="1"/>
  <c r="CI29" i="1"/>
  <c r="CB30" i="1"/>
  <c r="CC30" i="1"/>
  <c r="CD30" i="1"/>
  <c r="CE30" i="1"/>
  <c r="CF30" i="1"/>
  <c r="CG30" i="1"/>
  <c r="CH30" i="1"/>
  <c r="CI30" i="1"/>
  <c r="CB31" i="1"/>
  <c r="CC31" i="1"/>
  <c r="CD31" i="1"/>
  <c r="CE31" i="1"/>
  <c r="CF31" i="1"/>
  <c r="CG31" i="1"/>
  <c r="CH31" i="1"/>
  <c r="CI31" i="1"/>
  <c r="CB32" i="1"/>
  <c r="CC32" i="1"/>
  <c r="CD32" i="1"/>
  <c r="CE32" i="1"/>
  <c r="CF32" i="1"/>
  <c r="CG32" i="1"/>
  <c r="CH32" i="1"/>
  <c r="CI32" i="1"/>
  <c r="CB33" i="1"/>
  <c r="CC33" i="1"/>
  <c r="CD33" i="1"/>
  <c r="CE33" i="1"/>
  <c r="CF33" i="1"/>
  <c r="CG33" i="1"/>
  <c r="CH33" i="1"/>
  <c r="CI33" i="1"/>
  <c r="CB34" i="1"/>
  <c r="CC34" i="1"/>
  <c r="CD34" i="1"/>
  <c r="CE34" i="1"/>
  <c r="CF34" i="1"/>
  <c r="CG34" i="1"/>
  <c r="CH34" i="1"/>
  <c r="CI34" i="1"/>
  <c r="CB35" i="1"/>
  <c r="CC35" i="1"/>
  <c r="CD35" i="1"/>
  <c r="CE35" i="1"/>
  <c r="CF35" i="1"/>
  <c r="CG35" i="1"/>
  <c r="CH35" i="1"/>
  <c r="CI35" i="1"/>
  <c r="CB36" i="1"/>
  <c r="CC36" i="1"/>
  <c r="CD36" i="1"/>
  <c r="CE36" i="1"/>
  <c r="CF36" i="1"/>
  <c r="CG36" i="1"/>
  <c r="CH36" i="1"/>
  <c r="CI36" i="1"/>
  <c r="CB37" i="1"/>
  <c r="CC37" i="1"/>
  <c r="CD37" i="1"/>
  <c r="CE37" i="1"/>
  <c r="CF37" i="1"/>
  <c r="CG37" i="1"/>
  <c r="CH37" i="1"/>
  <c r="CI37" i="1"/>
  <c r="CB38" i="1"/>
  <c r="CC38" i="1"/>
  <c r="CD38" i="1"/>
  <c r="CE38" i="1"/>
  <c r="CF38" i="1"/>
  <c r="CG38" i="1"/>
  <c r="CH38" i="1"/>
  <c r="CI38" i="1"/>
  <c r="CB39" i="1"/>
  <c r="CC39" i="1"/>
  <c r="CD39" i="1"/>
  <c r="CE39" i="1"/>
  <c r="CF39" i="1"/>
  <c r="CG39" i="1"/>
  <c r="CH39" i="1"/>
  <c r="CI39" i="1"/>
  <c r="CB40" i="1"/>
  <c r="CC40" i="1"/>
  <c r="CD40" i="1"/>
  <c r="CE40" i="1"/>
  <c r="CF40" i="1"/>
  <c r="CG40" i="1"/>
  <c r="CH40" i="1"/>
  <c r="CI40" i="1"/>
  <c r="CB41" i="1"/>
  <c r="CC41" i="1"/>
  <c r="CD41" i="1"/>
  <c r="CE41" i="1"/>
  <c r="CF41" i="1"/>
  <c r="CG41" i="1"/>
  <c r="CH41" i="1"/>
  <c r="CI41" i="1"/>
  <c r="CB42" i="1"/>
  <c r="CC42" i="1"/>
  <c r="CD42" i="1"/>
  <c r="CE42" i="1"/>
  <c r="CF42" i="1"/>
  <c r="CG42" i="1"/>
  <c r="CH42" i="1"/>
  <c r="CI42" i="1"/>
  <c r="CB43" i="1"/>
  <c r="CC43" i="1"/>
  <c r="CD43" i="1"/>
  <c r="CE43" i="1"/>
  <c r="CF43" i="1"/>
  <c r="CG43" i="1"/>
  <c r="CH43" i="1"/>
  <c r="CI43" i="1"/>
  <c r="CB44" i="1"/>
  <c r="CC44" i="1"/>
  <c r="CD44" i="1"/>
  <c r="CE44" i="1"/>
  <c r="CF44" i="1"/>
  <c r="CG44" i="1"/>
  <c r="CH44" i="1"/>
  <c r="CI44" i="1"/>
  <c r="CB45" i="1"/>
  <c r="CC45" i="1"/>
  <c r="CD45" i="1"/>
  <c r="CE45" i="1"/>
  <c r="CF45" i="1"/>
  <c r="CG45" i="1"/>
  <c r="CH45" i="1"/>
  <c r="CI45" i="1"/>
  <c r="CB46" i="1"/>
  <c r="CC46" i="1"/>
  <c r="CD46" i="1"/>
  <c r="CE46" i="1"/>
  <c r="CF46" i="1"/>
  <c r="CG46" i="1"/>
  <c r="CH46" i="1"/>
  <c r="CI46" i="1"/>
  <c r="CB47" i="1"/>
  <c r="CC47" i="1"/>
  <c r="CD47" i="1"/>
  <c r="CE47" i="1"/>
  <c r="CF47" i="1"/>
  <c r="CG47" i="1"/>
  <c r="CH47" i="1"/>
  <c r="CI47" i="1"/>
  <c r="CB48" i="1"/>
  <c r="CC48" i="1"/>
  <c r="CD48" i="1"/>
  <c r="CE48" i="1"/>
  <c r="CF48" i="1"/>
  <c r="CG48" i="1"/>
  <c r="CH48" i="1"/>
  <c r="CI48" i="1"/>
  <c r="CB49" i="1"/>
  <c r="CC49" i="1"/>
  <c r="CD49" i="1"/>
  <c r="CE49" i="1"/>
  <c r="CF49" i="1"/>
  <c r="CG49" i="1"/>
  <c r="CH49" i="1"/>
  <c r="CI49" i="1"/>
  <c r="CB50" i="1"/>
  <c r="CC50" i="1"/>
  <c r="CD50" i="1"/>
  <c r="CE50" i="1"/>
  <c r="CF50" i="1"/>
  <c r="CG50" i="1"/>
  <c r="CH50" i="1"/>
  <c r="CI50" i="1"/>
  <c r="CB51" i="1"/>
  <c r="CC51" i="1"/>
  <c r="CD51" i="1"/>
  <c r="CE51" i="1"/>
  <c r="CF51" i="1"/>
  <c r="CG51" i="1"/>
  <c r="CH51" i="1"/>
  <c r="CI51" i="1"/>
  <c r="CB52" i="1"/>
  <c r="CC52" i="1"/>
  <c r="CD52" i="1"/>
  <c r="CE52" i="1"/>
  <c r="CF52" i="1"/>
  <c r="CG52" i="1"/>
  <c r="CH52" i="1"/>
  <c r="CI52" i="1"/>
  <c r="CB53" i="1"/>
  <c r="CC53" i="1"/>
  <c r="CD53" i="1"/>
  <c r="CE53" i="1"/>
  <c r="CF53" i="1"/>
  <c r="CG53" i="1"/>
  <c r="CH53" i="1"/>
  <c r="CI53" i="1"/>
  <c r="CB54" i="1"/>
  <c r="CC54" i="1"/>
  <c r="CD54" i="1"/>
  <c r="CE54" i="1"/>
  <c r="CF54" i="1"/>
  <c r="CG54" i="1"/>
  <c r="CH54" i="1"/>
  <c r="CI54" i="1"/>
  <c r="CB55" i="1"/>
  <c r="CC55" i="1"/>
  <c r="CD55" i="1"/>
  <c r="CE55" i="1"/>
  <c r="CF55" i="1"/>
  <c r="CG55" i="1"/>
  <c r="CH55" i="1"/>
  <c r="CI55" i="1"/>
  <c r="CB56" i="1"/>
  <c r="CC56" i="1"/>
  <c r="CD56" i="1"/>
  <c r="CE56" i="1"/>
  <c r="CF56" i="1"/>
  <c r="CG56" i="1"/>
  <c r="CH56" i="1"/>
  <c r="CI56" i="1"/>
  <c r="CB57" i="1"/>
  <c r="CC57" i="1"/>
  <c r="CD57" i="1"/>
  <c r="CE57" i="1"/>
  <c r="CF57" i="1"/>
  <c r="CG57" i="1"/>
  <c r="CH57" i="1"/>
  <c r="CI57" i="1"/>
  <c r="CB58" i="1"/>
  <c r="CC58" i="1"/>
  <c r="CD58" i="1"/>
  <c r="CE58" i="1"/>
  <c r="CF58" i="1"/>
  <c r="CG58" i="1"/>
  <c r="CH58" i="1"/>
  <c r="CI58" i="1"/>
  <c r="CB59" i="1"/>
  <c r="CC59" i="1"/>
  <c r="CD59" i="1"/>
  <c r="CE59" i="1"/>
  <c r="CF59" i="1"/>
  <c r="CG59" i="1"/>
  <c r="CH59" i="1"/>
  <c r="CI59" i="1"/>
  <c r="CB60" i="1"/>
  <c r="CC60" i="1"/>
  <c r="CD60" i="1"/>
  <c r="CE60" i="1"/>
  <c r="CF60" i="1"/>
  <c r="CG60" i="1"/>
  <c r="CH60" i="1"/>
  <c r="CI60" i="1"/>
  <c r="CB61" i="1"/>
  <c r="CC61" i="1"/>
  <c r="CD61" i="1"/>
  <c r="CE61" i="1"/>
  <c r="CF61" i="1"/>
  <c r="CG61" i="1"/>
  <c r="CH61" i="1"/>
  <c r="CI61" i="1"/>
  <c r="CB62" i="1"/>
  <c r="CC62" i="1"/>
  <c r="CD62" i="1"/>
  <c r="CE62" i="1"/>
  <c r="CF62" i="1"/>
  <c r="CG62" i="1"/>
  <c r="CH62" i="1"/>
  <c r="CI62" i="1"/>
  <c r="CB63" i="1"/>
  <c r="CC63" i="1"/>
  <c r="CD63" i="1"/>
  <c r="CE63" i="1"/>
  <c r="CF63" i="1"/>
  <c r="CG63" i="1"/>
  <c r="CH63" i="1"/>
  <c r="CI63" i="1"/>
  <c r="CB64" i="1"/>
  <c r="CC64" i="1"/>
  <c r="CD64" i="1"/>
  <c r="CE64" i="1"/>
  <c r="CF64" i="1"/>
  <c r="CG64" i="1"/>
  <c r="CH64" i="1"/>
  <c r="CI64" i="1"/>
  <c r="CB65" i="1"/>
  <c r="CC65" i="1"/>
  <c r="CD65" i="1"/>
  <c r="CE65" i="1"/>
  <c r="CF65" i="1"/>
  <c r="CG65" i="1"/>
  <c r="CH65" i="1"/>
  <c r="CI65" i="1"/>
  <c r="CB66" i="1"/>
  <c r="CC66" i="1"/>
  <c r="CD66" i="1"/>
  <c r="CE66" i="1"/>
  <c r="CF66" i="1"/>
  <c r="CG66" i="1"/>
  <c r="CH66" i="1"/>
  <c r="CI66" i="1"/>
  <c r="CB67" i="1"/>
  <c r="CC67" i="1"/>
  <c r="CD67" i="1"/>
  <c r="CE67" i="1"/>
  <c r="CF67" i="1"/>
  <c r="CG67" i="1"/>
  <c r="CH67" i="1"/>
  <c r="CI67" i="1"/>
  <c r="CB68" i="1"/>
  <c r="CC68" i="1"/>
  <c r="CD68" i="1"/>
  <c r="CE68" i="1"/>
  <c r="CF68" i="1"/>
  <c r="CG68" i="1"/>
  <c r="CH68" i="1"/>
  <c r="CI68" i="1"/>
  <c r="CB69" i="1"/>
  <c r="CC69" i="1"/>
  <c r="CD69" i="1"/>
  <c r="CE69" i="1"/>
  <c r="CF69" i="1"/>
  <c r="CG69" i="1"/>
  <c r="CH69" i="1"/>
  <c r="CI69" i="1"/>
  <c r="CB70" i="1"/>
  <c r="CC70" i="1"/>
  <c r="CD70" i="1"/>
  <c r="CE70" i="1"/>
  <c r="CF70" i="1"/>
  <c r="CG70" i="1"/>
  <c r="CH70" i="1"/>
  <c r="CI70" i="1"/>
  <c r="CB71" i="1"/>
  <c r="CC71" i="1"/>
  <c r="CD71" i="1"/>
  <c r="CE71" i="1"/>
  <c r="CF71" i="1"/>
  <c r="CG71" i="1"/>
  <c r="CH71" i="1"/>
  <c r="CI71" i="1"/>
  <c r="CB72" i="1"/>
  <c r="CC72" i="1"/>
  <c r="CD72" i="1"/>
  <c r="CE72" i="1"/>
  <c r="CF72" i="1"/>
  <c r="CG72" i="1"/>
  <c r="CH72" i="1"/>
  <c r="CI72" i="1"/>
  <c r="CB73" i="1"/>
  <c r="CC73" i="1"/>
  <c r="CD73" i="1"/>
  <c r="CE73" i="1"/>
  <c r="CF73" i="1"/>
  <c r="CG73" i="1"/>
  <c r="CH73" i="1"/>
  <c r="CI73" i="1"/>
  <c r="CB74" i="1"/>
  <c r="CC74" i="1"/>
  <c r="CD74" i="1"/>
  <c r="CE74" i="1"/>
  <c r="CF74" i="1"/>
  <c r="CG74" i="1"/>
  <c r="CH74" i="1"/>
  <c r="CI74" i="1"/>
  <c r="CB75" i="1"/>
  <c r="CC75" i="1"/>
  <c r="CD75" i="1"/>
  <c r="CE75" i="1"/>
  <c r="CF75" i="1"/>
  <c r="CG75" i="1"/>
  <c r="CH75" i="1"/>
  <c r="CI75" i="1"/>
  <c r="CB76" i="1"/>
  <c r="CC76" i="1"/>
  <c r="CD76" i="1"/>
  <c r="CE76" i="1"/>
  <c r="CF76" i="1"/>
  <c r="CG76" i="1"/>
  <c r="CH76" i="1"/>
  <c r="CI76" i="1"/>
  <c r="CB77" i="1"/>
  <c r="CC77" i="1"/>
  <c r="CD77" i="1"/>
  <c r="CE77" i="1"/>
  <c r="CF77" i="1"/>
  <c r="CG77" i="1"/>
  <c r="CH77" i="1"/>
  <c r="CI77" i="1"/>
  <c r="CB78" i="1"/>
  <c r="CC78" i="1"/>
  <c r="CD78" i="1"/>
  <c r="CE78" i="1"/>
  <c r="CF78" i="1"/>
  <c r="CG78" i="1"/>
  <c r="CH78" i="1"/>
  <c r="CI78" i="1"/>
  <c r="CB79" i="1"/>
  <c r="CC79" i="1"/>
  <c r="CD79" i="1"/>
  <c r="CE79" i="1"/>
  <c r="CF79" i="1"/>
  <c r="CG79" i="1"/>
  <c r="CH79" i="1"/>
  <c r="CI79" i="1"/>
  <c r="CB80" i="1"/>
  <c r="CC80" i="1"/>
  <c r="CD80" i="1"/>
  <c r="CE80" i="1"/>
  <c r="CF80" i="1"/>
  <c r="CG80" i="1"/>
  <c r="CH80" i="1"/>
  <c r="CI80" i="1"/>
  <c r="CB81" i="1"/>
  <c r="CC81" i="1"/>
  <c r="CD81" i="1"/>
  <c r="CE81" i="1"/>
  <c r="CF81" i="1"/>
  <c r="CG81" i="1"/>
  <c r="CH81" i="1"/>
  <c r="CI81" i="1"/>
  <c r="CB82" i="1"/>
  <c r="CC82" i="1"/>
  <c r="CD82" i="1"/>
  <c r="CE82" i="1"/>
  <c r="CF82" i="1"/>
  <c r="CG82" i="1"/>
  <c r="CH82" i="1"/>
  <c r="CI82" i="1"/>
  <c r="CB83" i="1"/>
  <c r="CC83" i="1"/>
  <c r="CD83" i="1"/>
  <c r="CE83" i="1"/>
  <c r="CF83" i="1"/>
  <c r="CG83" i="1"/>
  <c r="CH83" i="1"/>
  <c r="CI83" i="1"/>
  <c r="CB84" i="1"/>
  <c r="CC84" i="1"/>
  <c r="CD84" i="1"/>
  <c r="CE84" i="1"/>
  <c r="CF84" i="1"/>
  <c r="CG84" i="1"/>
  <c r="CH84" i="1"/>
  <c r="CI84" i="1"/>
  <c r="CB85" i="1"/>
  <c r="CC85" i="1"/>
  <c r="CD85" i="1"/>
  <c r="CE85" i="1"/>
  <c r="CF85" i="1"/>
  <c r="CG85" i="1"/>
  <c r="CH85" i="1"/>
  <c r="CI85" i="1"/>
  <c r="CB86" i="1"/>
  <c r="CC86" i="1"/>
  <c r="CD86" i="1"/>
  <c r="CE86" i="1"/>
  <c r="CF86" i="1"/>
  <c r="CG86" i="1"/>
  <c r="CH86" i="1"/>
  <c r="CI86" i="1"/>
  <c r="CB87" i="1"/>
  <c r="CC87" i="1"/>
  <c r="CD87" i="1"/>
  <c r="CE87" i="1"/>
  <c r="CF87" i="1"/>
  <c r="CG87" i="1"/>
  <c r="CH87" i="1"/>
  <c r="CI87" i="1"/>
  <c r="CB88" i="1"/>
  <c r="CC88" i="1"/>
  <c r="CD88" i="1"/>
  <c r="CE88" i="1"/>
  <c r="CF88" i="1"/>
  <c r="CG88" i="1"/>
  <c r="CH88" i="1"/>
  <c r="CI88" i="1"/>
  <c r="CB89" i="1"/>
  <c r="CC89" i="1"/>
  <c r="CD89" i="1"/>
  <c r="CE89" i="1"/>
  <c r="CF89" i="1"/>
  <c r="CG89" i="1"/>
  <c r="CH89" i="1"/>
  <c r="CI89" i="1"/>
  <c r="CB90" i="1"/>
  <c r="CC90" i="1"/>
  <c r="CD90" i="1"/>
  <c r="CE90" i="1"/>
  <c r="CF90" i="1"/>
  <c r="CG90" i="1"/>
  <c r="CH90" i="1"/>
  <c r="CI90" i="1"/>
  <c r="CB91" i="1"/>
  <c r="CC91" i="1"/>
  <c r="CD91" i="1"/>
  <c r="CE91" i="1"/>
  <c r="CF91" i="1"/>
  <c r="CG91" i="1"/>
  <c r="CH91" i="1"/>
  <c r="CI91" i="1"/>
  <c r="CB92" i="1"/>
  <c r="CC92" i="1"/>
  <c r="CD92" i="1"/>
  <c r="CE92" i="1"/>
  <c r="CF92" i="1"/>
  <c r="CG92" i="1"/>
  <c r="CH92" i="1"/>
  <c r="CI92" i="1"/>
  <c r="CB93" i="1"/>
  <c r="CC93" i="1"/>
  <c r="CD93" i="1"/>
  <c r="CE93" i="1"/>
  <c r="CF93" i="1"/>
  <c r="CG93" i="1"/>
  <c r="CH93" i="1"/>
  <c r="CI93" i="1"/>
  <c r="CB94" i="1"/>
  <c r="CC94" i="1"/>
  <c r="CD94" i="1"/>
  <c r="CE94" i="1"/>
  <c r="CF94" i="1"/>
  <c r="CG94" i="1"/>
  <c r="CH94" i="1"/>
  <c r="CI94" i="1"/>
  <c r="CB95" i="1"/>
  <c r="CC95" i="1"/>
  <c r="CD95" i="1"/>
  <c r="CE95" i="1"/>
  <c r="CF95" i="1"/>
  <c r="CG95" i="1"/>
  <c r="CH95" i="1"/>
  <c r="CI95" i="1"/>
  <c r="CB96" i="1"/>
  <c r="CC96" i="1"/>
  <c r="CD96" i="1"/>
  <c r="CE96" i="1"/>
  <c r="CF96" i="1"/>
  <c r="CG96" i="1"/>
  <c r="CH96" i="1"/>
  <c r="CI96" i="1"/>
  <c r="CB97" i="1"/>
  <c r="CC97" i="1"/>
  <c r="CD97" i="1"/>
  <c r="CE97" i="1"/>
  <c r="CF97" i="1"/>
  <c r="CG97" i="1"/>
  <c r="CH97" i="1"/>
  <c r="CI97" i="1"/>
  <c r="CB98" i="1"/>
  <c r="CC98" i="1"/>
  <c r="CD98" i="1"/>
  <c r="CE98" i="1"/>
  <c r="CF98" i="1"/>
  <c r="CG98" i="1"/>
  <c r="CH98" i="1"/>
  <c r="CI98" i="1"/>
  <c r="CB99" i="1"/>
  <c r="CC99" i="1"/>
  <c r="CD99" i="1"/>
  <c r="CE99" i="1"/>
  <c r="CF99" i="1"/>
  <c r="CG99" i="1"/>
  <c r="CH99" i="1"/>
  <c r="CI99" i="1"/>
  <c r="CB100" i="1"/>
  <c r="CC100" i="1"/>
  <c r="CD100" i="1"/>
  <c r="CE100" i="1"/>
  <c r="CF100" i="1"/>
  <c r="CG100" i="1"/>
  <c r="CH100" i="1"/>
  <c r="CI100" i="1"/>
  <c r="CJ3" i="1"/>
  <c r="CK3" i="1"/>
  <c r="CL3" i="1"/>
  <c r="CM3" i="1"/>
  <c r="CN3" i="1"/>
  <c r="CO3" i="1"/>
  <c r="CP3" i="1"/>
  <c r="CQ3" i="1"/>
  <c r="CJ4" i="1"/>
  <c r="CK4" i="1"/>
  <c r="CL4" i="1"/>
  <c r="CM4" i="1"/>
  <c r="CN4" i="1"/>
  <c r="CO4" i="1"/>
  <c r="CP4" i="1"/>
  <c r="CQ4" i="1"/>
  <c r="CJ5" i="1"/>
  <c r="CK5" i="1"/>
  <c r="CL5" i="1"/>
  <c r="CM5" i="1"/>
  <c r="CN5" i="1"/>
  <c r="CO5" i="1"/>
  <c r="CP5" i="1"/>
  <c r="CQ5" i="1"/>
  <c r="CJ6" i="1"/>
  <c r="CK6" i="1"/>
  <c r="CL6" i="1"/>
  <c r="CM6" i="1"/>
  <c r="CN6" i="1"/>
  <c r="CO6" i="1"/>
  <c r="CP6" i="1"/>
  <c r="CQ6" i="1"/>
  <c r="CJ7" i="1"/>
  <c r="CK7" i="1"/>
  <c r="CL7" i="1"/>
  <c r="CM7" i="1"/>
  <c r="CN7" i="1"/>
  <c r="CO7" i="1"/>
  <c r="CP7" i="1"/>
  <c r="CQ7" i="1"/>
  <c r="CJ8" i="1"/>
  <c r="CK8" i="1"/>
  <c r="CL8" i="1"/>
  <c r="CM8" i="1"/>
  <c r="CN8" i="1"/>
  <c r="CO8" i="1"/>
  <c r="CP8" i="1"/>
  <c r="CQ8" i="1"/>
  <c r="CJ9" i="1"/>
  <c r="CK9" i="1"/>
  <c r="CL9" i="1"/>
  <c r="CM9" i="1"/>
  <c r="CN9" i="1"/>
  <c r="CO9" i="1"/>
  <c r="CP9" i="1"/>
  <c r="CQ9" i="1"/>
  <c r="CJ10" i="1"/>
  <c r="CK10" i="1"/>
  <c r="CL10" i="1"/>
  <c r="CM10" i="1"/>
  <c r="CN10" i="1"/>
  <c r="CO10" i="1"/>
  <c r="CP10" i="1"/>
  <c r="CQ10" i="1"/>
  <c r="CJ11" i="1"/>
  <c r="CK11" i="1"/>
  <c r="CL11" i="1"/>
  <c r="CM11" i="1"/>
  <c r="CN11" i="1"/>
  <c r="CO11" i="1"/>
  <c r="CP11" i="1"/>
  <c r="CQ11" i="1"/>
  <c r="CJ12" i="1"/>
  <c r="CK12" i="1"/>
  <c r="CL12" i="1"/>
  <c r="CM12" i="1"/>
  <c r="CN12" i="1"/>
  <c r="CO12" i="1"/>
  <c r="CP12" i="1"/>
  <c r="CQ12" i="1"/>
  <c r="CJ13" i="1"/>
  <c r="CK13" i="1"/>
  <c r="CL13" i="1"/>
  <c r="CM13" i="1"/>
  <c r="CN13" i="1"/>
  <c r="CO13" i="1"/>
  <c r="CP13" i="1"/>
  <c r="CQ13" i="1"/>
  <c r="CJ14" i="1"/>
  <c r="CK14" i="1"/>
  <c r="CL14" i="1"/>
  <c r="CM14" i="1"/>
  <c r="CN14" i="1"/>
  <c r="CO14" i="1"/>
  <c r="CP14" i="1"/>
  <c r="CQ14" i="1"/>
  <c r="CJ15" i="1"/>
  <c r="CK15" i="1"/>
  <c r="CL15" i="1"/>
  <c r="CM15" i="1"/>
  <c r="CN15" i="1"/>
  <c r="CO15" i="1"/>
  <c r="CP15" i="1"/>
  <c r="CQ15" i="1"/>
  <c r="CJ16" i="1"/>
  <c r="CK16" i="1"/>
  <c r="CL16" i="1"/>
  <c r="CM16" i="1"/>
  <c r="CN16" i="1"/>
  <c r="CO16" i="1"/>
  <c r="CP16" i="1"/>
  <c r="CQ16" i="1"/>
  <c r="CJ17" i="1"/>
  <c r="CK17" i="1"/>
  <c r="CL17" i="1"/>
  <c r="CM17" i="1"/>
  <c r="CN17" i="1"/>
  <c r="CO17" i="1"/>
  <c r="CP17" i="1"/>
  <c r="CQ17" i="1"/>
  <c r="CJ18" i="1"/>
  <c r="CK18" i="1"/>
  <c r="CL18" i="1"/>
  <c r="CM18" i="1"/>
  <c r="CN18" i="1"/>
  <c r="CO18" i="1"/>
  <c r="CP18" i="1"/>
  <c r="CQ18" i="1"/>
  <c r="CJ19" i="1"/>
  <c r="CK19" i="1"/>
  <c r="CL19" i="1"/>
  <c r="CM19" i="1"/>
  <c r="CN19" i="1"/>
  <c r="CO19" i="1"/>
  <c r="CP19" i="1"/>
  <c r="CQ19" i="1"/>
  <c r="CJ20" i="1"/>
  <c r="CK20" i="1"/>
  <c r="CL20" i="1"/>
  <c r="CM20" i="1"/>
  <c r="CN20" i="1"/>
  <c r="CO20" i="1"/>
  <c r="CP20" i="1"/>
  <c r="CQ20" i="1"/>
  <c r="CJ21" i="1"/>
  <c r="CK21" i="1"/>
  <c r="CL21" i="1"/>
  <c r="CM21" i="1"/>
  <c r="CN21" i="1"/>
  <c r="CO21" i="1"/>
  <c r="CP21" i="1"/>
  <c r="CQ21" i="1"/>
  <c r="CJ22" i="1"/>
  <c r="CK22" i="1"/>
  <c r="CL22" i="1"/>
  <c r="CM22" i="1"/>
  <c r="CN22" i="1"/>
  <c r="CO22" i="1"/>
  <c r="CP22" i="1"/>
  <c r="CQ22" i="1"/>
  <c r="CJ23" i="1"/>
  <c r="CK23" i="1"/>
  <c r="CL23" i="1"/>
  <c r="CM23" i="1"/>
  <c r="CN23" i="1"/>
  <c r="CO23" i="1"/>
  <c r="CP23" i="1"/>
  <c r="CQ23" i="1"/>
  <c r="CJ24" i="1"/>
  <c r="CK24" i="1"/>
  <c r="CL24" i="1"/>
  <c r="CM24" i="1"/>
  <c r="CN24" i="1"/>
  <c r="CO24" i="1"/>
  <c r="CP24" i="1"/>
  <c r="CQ24" i="1"/>
  <c r="CJ25" i="1"/>
  <c r="CK25" i="1"/>
  <c r="CL25" i="1"/>
  <c r="CM25" i="1"/>
  <c r="CN25" i="1"/>
  <c r="CO25" i="1"/>
  <c r="CP25" i="1"/>
  <c r="CQ25" i="1"/>
  <c r="CJ26" i="1"/>
  <c r="CK26" i="1"/>
  <c r="CL26" i="1"/>
  <c r="CM26" i="1"/>
  <c r="CN26" i="1"/>
  <c r="CO26" i="1"/>
  <c r="CP26" i="1"/>
  <c r="CQ26" i="1"/>
  <c r="CJ27" i="1"/>
  <c r="CK27" i="1"/>
  <c r="CL27" i="1"/>
  <c r="CM27" i="1"/>
  <c r="CN27" i="1"/>
  <c r="CO27" i="1"/>
  <c r="CP27" i="1"/>
  <c r="CQ27" i="1"/>
  <c r="CJ28" i="1"/>
  <c r="CK28" i="1"/>
  <c r="CL28" i="1"/>
  <c r="CM28" i="1"/>
  <c r="CN28" i="1"/>
  <c r="CO28" i="1"/>
  <c r="CP28" i="1"/>
  <c r="CQ28" i="1"/>
  <c r="CJ29" i="1"/>
  <c r="CK29" i="1"/>
  <c r="CL29" i="1"/>
  <c r="CM29" i="1"/>
  <c r="CN29" i="1"/>
  <c r="CO29" i="1"/>
  <c r="CP29" i="1"/>
  <c r="CQ29" i="1"/>
  <c r="CJ30" i="1"/>
  <c r="CK30" i="1"/>
  <c r="CL30" i="1"/>
  <c r="CM30" i="1"/>
  <c r="CN30" i="1"/>
  <c r="CO30" i="1"/>
  <c r="CP30" i="1"/>
  <c r="CQ30" i="1"/>
  <c r="CJ31" i="1"/>
  <c r="CK31" i="1"/>
  <c r="CL31" i="1"/>
  <c r="CM31" i="1"/>
  <c r="CN31" i="1"/>
  <c r="CO31" i="1"/>
  <c r="CP31" i="1"/>
  <c r="CQ31" i="1"/>
  <c r="CJ32" i="1"/>
  <c r="CK32" i="1"/>
  <c r="CL32" i="1"/>
  <c r="CM32" i="1"/>
  <c r="CN32" i="1"/>
  <c r="CO32" i="1"/>
  <c r="CP32" i="1"/>
  <c r="CQ32" i="1"/>
  <c r="CJ33" i="1"/>
  <c r="CK33" i="1"/>
  <c r="CL33" i="1"/>
  <c r="CM33" i="1"/>
  <c r="CN33" i="1"/>
  <c r="CO33" i="1"/>
  <c r="CP33" i="1"/>
  <c r="CQ33" i="1"/>
  <c r="CJ34" i="1"/>
  <c r="CK34" i="1"/>
  <c r="CL34" i="1"/>
  <c r="CM34" i="1"/>
  <c r="CN34" i="1"/>
  <c r="CO34" i="1"/>
  <c r="CP34" i="1"/>
  <c r="CQ34" i="1"/>
  <c r="CJ35" i="1"/>
  <c r="CK35" i="1"/>
  <c r="CL35" i="1"/>
  <c r="CM35" i="1"/>
  <c r="CN35" i="1"/>
  <c r="CO35" i="1"/>
  <c r="CP35" i="1"/>
  <c r="CQ35" i="1"/>
  <c r="CJ36" i="1"/>
  <c r="CK36" i="1"/>
  <c r="CL36" i="1"/>
  <c r="CM36" i="1"/>
  <c r="CN36" i="1"/>
  <c r="CO36" i="1"/>
  <c r="CP36" i="1"/>
  <c r="CQ36" i="1"/>
  <c r="CJ37" i="1"/>
  <c r="CK37" i="1"/>
  <c r="CL37" i="1"/>
  <c r="CM37" i="1"/>
  <c r="CN37" i="1"/>
  <c r="CO37" i="1"/>
  <c r="CP37" i="1"/>
  <c r="CQ37" i="1"/>
  <c r="CJ38" i="1"/>
  <c r="CK38" i="1"/>
  <c r="CL38" i="1"/>
  <c r="CM38" i="1"/>
  <c r="CN38" i="1"/>
  <c r="CO38" i="1"/>
  <c r="CP38" i="1"/>
  <c r="CQ38" i="1"/>
  <c r="CJ39" i="1"/>
  <c r="CK39" i="1"/>
  <c r="CL39" i="1"/>
  <c r="CM39" i="1"/>
  <c r="CN39" i="1"/>
  <c r="CO39" i="1"/>
  <c r="CP39" i="1"/>
  <c r="CQ39" i="1"/>
  <c r="CJ40" i="1"/>
  <c r="CK40" i="1"/>
  <c r="CL40" i="1"/>
  <c r="CM40" i="1"/>
  <c r="CN40" i="1"/>
  <c r="CO40" i="1"/>
  <c r="CP40" i="1"/>
  <c r="CQ40" i="1"/>
  <c r="CJ41" i="1"/>
  <c r="CK41" i="1"/>
  <c r="CL41" i="1"/>
  <c r="CM41" i="1"/>
  <c r="CN41" i="1"/>
  <c r="CO41" i="1"/>
  <c r="CP41" i="1"/>
  <c r="CQ41" i="1"/>
  <c r="CJ42" i="1"/>
  <c r="CK42" i="1"/>
  <c r="CL42" i="1"/>
  <c r="CM42" i="1"/>
  <c r="CN42" i="1"/>
  <c r="CO42" i="1"/>
  <c r="CP42" i="1"/>
  <c r="CQ42" i="1"/>
  <c r="CJ43" i="1"/>
  <c r="CK43" i="1"/>
  <c r="CL43" i="1"/>
  <c r="CM43" i="1"/>
  <c r="CN43" i="1"/>
  <c r="CO43" i="1"/>
  <c r="CP43" i="1"/>
  <c r="CQ43" i="1"/>
  <c r="CJ44" i="1"/>
  <c r="CK44" i="1"/>
  <c r="CL44" i="1"/>
  <c r="CM44" i="1"/>
  <c r="CN44" i="1"/>
  <c r="CO44" i="1"/>
  <c r="CP44" i="1"/>
  <c r="CQ44" i="1"/>
  <c r="CJ45" i="1"/>
  <c r="CK45" i="1"/>
  <c r="CL45" i="1"/>
  <c r="CM45" i="1"/>
  <c r="CN45" i="1"/>
  <c r="CO45" i="1"/>
  <c r="CP45" i="1"/>
  <c r="CQ45" i="1"/>
  <c r="CJ46" i="1"/>
  <c r="CK46" i="1"/>
  <c r="CL46" i="1"/>
  <c r="CM46" i="1"/>
  <c r="CN46" i="1"/>
  <c r="CO46" i="1"/>
  <c r="CP46" i="1"/>
  <c r="CQ46" i="1"/>
  <c r="CJ47" i="1"/>
  <c r="CK47" i="1"/>
  <c r="CL47" i="1"/>
  <c r="CM47" i="1"/>
  <c r="CN47" i="1"/>
  <c r="CO47" i="1"/>
  <c r="CP47" i="1"/>
  <c r="CQ47" i="1"/>
  <c r="CJ48" i="1"/>
  <c r="CK48" i="1"/>
  <c r="CL48" i="1"/>
  <c r="CM48" i="1"/>
  <c r="CN48" i="1"/>
  <c r="CO48" i="1"/>
  <c r="CP48" i="1"/>
  <c r="CQ48" i="1"/>
  <c r="CJ49" i="1"/>
  <c r="CK49" i="1"/>
  <c r="CL49" i="1"/>
  <c r="CM49" i="1"/>
  <c r="CN49" i="1"/>
  <c r="CO49" i="1"/>
  <c r="CP49" i="1"/>
  <c r="CQ49" i="1"/>
  <c r="CJ50" i="1"/>
  <c r="CK50" i="1"/>
  <c r="CL50" i="1"/>
  <c r="CM50" i="1"/>
  <c r="CN50" i="1"/>
  <c r="CO50" i="1"/>
  <c r="CP50" i="1"/>
  <c r="CQ50" i="1"/>
  <c r="CJ51" i="1"/>
  <c r="CK51" i="1"/>
  <c r="CL51" i="1"/>
  <c r="CM51" i="1"/>
  <c r="CN51" i="1"/>
  <c r="CO51" i="1"/>
  <c r="CP51" i="1"/>
  <c r="CQ51" i="1"/>
  <c r="CJ52" i="1"/>
  <c r="CK52" i="1"/>
  <c r="CL52" i="1"/>
  <c r="CM52" i="1"/>
  <c r="CN52" i="1"/>
  <c r="CO52" i="1"/>
  <c r="CP52" i="1"/>
  <c r="CQ52" i="1"/>
  <c r="CJ53" i="1"/>
  <c r="CK53" i="1"/>
  <c r="CL53" i="1"/>
  <c r="CM53" i="1"/>
  <c r="CN53" i="1"/>
  <c r="CO53" i="1"/>
  <c r="CP53" i="1"/>
  <c r="CQ53" i="1"/>
  <c r="CJ54" i="1"/>
  <c r="CK54" i="1"/>
  <c r="CL54" i="1"/>
  <c r="CM54" i="1"/>
  <c r="CN54" i="1"/>
  <c r="CO54" i="1"/>
  <c r="CP54" i="1"/>
  <c r="CQ54" i="1"/>
  <c r="CJ55" i="1"/>
  <c r="CK55" i="1"/>
  <c r="CL55" i="1"/>
  <c r="CM55" i="1"/>
  <c r="CN55" i="1"/>
  <c r="CO55" i="1"/>
  <c r="CP55" i="1"/>
  <c r="CQ55" i="1"/>
  <c r="CJ56" i="1"/>
  <c r="CK56" i="1"/>
  <c r="CL56" i="1"/>
  <c r="CM56" i="1"/>
  <c r="CN56" i="1"/>
  <c r="CO56" i="1"/>
  <c r="CP56" i="1"/>
  <c r="CQ56" i="1"/>
  <c r="CJ57" i="1"/>
  <c r="CK57" i="1"/>
  <c r="CL57" i="1"/>
  <c r="CM57" i="1"/>
  <c r="CN57" i="1"/>
  <c r="CO57" i="1"/>
  <c r="CP57" i="1"/>
  <c r="CQ57" i="1"/>
  <c r="CJ58" i="1"/>
  <c r="CK58" i="1"/>
  <c r="CL58" i="1"/>
  <c r="CM58" i="1"/>
  <c r="CN58" i="1"/>
  <c r="CO58" i="1"/>
  <c r="CP58" i="1"/>
  <c r="CQ58" i="1"/>
  <c r="CJ59" i="1"/>
  <c r="CK59" i="1"/>
  <c r="CL59" i="1"/>
  <c r="CM59" i="1"/>
  <c r="CN59" i="1"/>
  <c r="CO59" i="1"/>
  <c r="CP59" i="1"/>
  <c r="CQ59" i="1"/>
  <c r="CJ60" i="1"/>
  <c r="CK60" i="1"/>
  <c r="CL60" i="1"/>
  <c r="CM60" i="1"/>
  <c r="CN60" i="1"/>
  <c r="CO60" i="1"/>
  <c r="CP60" i="1"/>
  <c r="CQ60" i="1"/>
  <c r="CJ61" i="1"/>
  <c r="CK61" i="1"/>
  <c r="CL61" i="1"/>
  <c r="CM61" i="1"/>
  <c r="CN61" i="1"/>
  <c r="CO61" i="1"/>
  <c r="CP61" i="1"/>
  <c r="CQ61" i="1"/>
  <c r="CJ62" i="1"/>
  <c r="CK62" i="1"/>
  <c r="CL62" i="1"/>
  <c r="CM62" i="1"/>
  <c r="CN62" i="1"/>
  <c r="CO62" i="1"/>
  <c r="CP62" i="1"/>
  <c r="CQ62" i="1"/>
  <c r="CJ63" i="1"/>
  <c r="CK63" i="1"/>
  <c r="CL63" i="1"/>
  <c r="CM63" i="1"/>
  <c r="CN63" i="1"/>
  <c r="CO63" i="1"/>
  <c r="CP63" i="1"/>
  <c r="CQ63" i="1"/>
  <c r="CJ64" i="1"/>
  <c r="CK64" i="1"/>
  <c r="CL64" i="1"/>
  <c r="CM64" i="1"/>
  <c r="CN64" i="1"/>
  <c r="CO64" i="1"/>
  <c r="CP64" i="1"/>
  <c r="CQ64" i="1"/>
  <c r="CJ65" i="1"/>
  <c r="CK65" i="1"/>
  <c r="CL65" i="1"/>
  <c r="CM65" i="1"/>
  <c r="CN65" i="1"/>
  <c r="CO65" i="1"/>
  <c r="CP65" i="1"/>
  <c r="CQ65" i="1"/>
  <c r="CJ66" i="1"/>
  <c r="CK66" i="1"/>
  <c r="CL66" i="1"/>
  <c r="CM66" i="1"/>
  <c r="CN66" i="1"/>
  <c r="CO66" i="1"/>
  <c r="CP66" i="1"/>
  <c r="CQ66" i="1"/>
  <c r="CJ67" i="1"/>
  <c r="CK67" i="1"/>
  <c r="CL67" i="1"/>
  <c r="CM67" i="1"/>
  <c r="CN67" i="1"/>
  <c r="CO67" i="1"/>
  <c r="CP67" i="1"/>
  <c r="CQ67" i="1"/>
  <c r="CJ68" i="1"/>
  <c r="CK68" i="1"/>
  <c r="CL68" i="1"/>
  <c r="CM68" i="1"/>
  <c r="CN68" i="1"/>
  <c r="CO68" i="1"/>
  <c r="CP68" i="1"/>
  <c r="CQ68" i="1"/>
  <c r="CJ69" i="1"/>
  <c r="CK69" i="1"/>
  <c r="CL69" i="1"/>
  <c r="CM69" i="1"/>
  <c r="CN69" i="1"/>
  <c r="CO69" i="1"/>
  <c r="CP69" i="1"/>
  <c r="CQ69" i="1"/>
  <c r="CJ70" i="1"/>
  <c r="CK70" i="1"/>
  <c r="CL70" i="1"/>
  <c r="CM70" i="1"/>
  <c r="CN70" i="1"/>
  <c r="CO70" i="1"/>
  <c r="CP70" i="1"/>
  <c r="CQ70" i="1"/>
  <c r="CJ71" i="1"/>
  <c r="CK71" i="1"/>
  <c r="CL71" i="1"/>
  <c r="CM71" i="1"/>
  <c r="CN71" i="1"/>
  <c r="CO71" i="1"/>
  <c r="CP71" i="1"/>
  <c r="CQ71" i="1"/>
  <c r="CJ72" i="1"/>
  <c r="CK72" i="1"/>
  <c r="CL72" i="1"/>
  <c r="CM72" i="1"/>
  <c r="CN72" i="1"/>
  <c r="CO72" i="1"/>
  <c r="CP72" i="1"/>
  <c r="CQ72" i="1"/>
  <c r="CJ73" i="1"/>
  <c r="CK73" i="1"/>
  <c r="CL73" i="1"/>
  <c r="CM73" i="1"/>
  <c r="CN73" i="1"/>
  <c r="CO73" i="1"/>
  <c r="CP73" i="1"/>
  <c r="CQ73" i="1"/>
  <c r="CJ74" i="1"/>
  <c r="CK74" i="1"/>
  <c r="CL74" i="1"/>
  <c r="CM74" i="1"/>
  <c r="CN74" i="1"/>
  <c r="CO74" i="1"/>
  <c r="CP74" i="1"/>
  <c r="CQ74" i="1"/>
  <c r="CJ75" i="1"/>
  <c r="CK75" i="1"/>
  <c r="CL75" i="1"/>
  <c r="CM75" i="1"/>
  <c r="CN75" i="1"/>
  <c r="CO75" i="1"/>
  <c r="CP75" i="1"/>
  <c r="CQ75" i="1"/>
  <c r="CJ76" i="1"/>
  <c r="CK76" i="1"/>
  <c r="CL76" i="1"/>
  <c r="CM76" i="1"/>
  <c r="CN76" i="1"/>
  <c r="CO76" i="1"/>
  <c r="CP76" i="1"/>
  <c r="CQ76" i="1"/>
  <c r="CJ77" i="1"/>
  <c r="CK77" i="1"/>
  <c r="CL77" i="1"/>
  <c r="CM77" i="1"/>
  <c r="CN77" i="1"/>
  <c r="CO77" i="1"/>
  <c r="CP77" i="1"/>
  <c r="CQ77" i="1"/>
  <c r="CJ78" i="1"/>
  <c r="CK78" i="1"/>
  <c r="CL78" i="1"/>
  <c r="CM78" i="1"/>
  <c r="CN78" i="1"/>
  <c r="CO78" i="1"/>
  <c r="CP78" i="1"/>
  <c r="CQ78" i="1"/>
  <c r="CJ79" i="1"/>
  <c r="CK79" i="1"/>
  <c r="CL79" i="1"/>
  <c r="CM79" i="1"/>
  <c r="CN79" i="1"/>
  <c r="CO79" i="1"/>
  <c r="CP79" i="1"/>
  <c r="CQ79" i="1"/>
  <c r="CJ80" i="1"/>
  <c r="CK80" i="1"/>
  <c r="CL80" i="1"/>
  <c r="CM80" i="1"/>
  <c r="CN80" i="1"/>
  <c r="CO80" i="1"/>
  <c r="CP80" i="1"/>
  <c r="CQ80" i="1"/>
  <c r="CJ81" i="1"/>
  <c r="CK81" i="1"/>
  <c r="CL81" i="1"/>
  <c r="CM81" i="1"/>
  <c r="CN81" i="1"/>
  <c r="CO81" i="1"/>
  <c r="CP81" i="1"/>
  <c r="CQ81" i="1"/>
  <c r="CJ82" i="1"/>
  <c r="CK82" i="1"/>
  <c r="CL82" i="1"/>
  <c r="CM82" i="1"/>
  <c r="CN82" i="1"/>
  <c r="CO82" i="1"/>
  <c r="CP82" i="1"/>
  <c r="CQ82" i="1"/>
  <c r="CJ83" i="1"/>
  <c r="CK83" i="1"/>
  <c r="CL83" i="1"/>
  <c r="CM83" i="1"/>
  <c r="CN83" i="1"/>
  <c r="CO83" i="1"/>
  <c r="CP83" i="1"/>
  <c r="CQ83" i="1"/>
  <c r="CJ84" i="1"/>
  <c r="CK84" i="1"/>
  <c r="CL84" i="1"/>
  <c r="CM84" i="1"/>
  <c r="CN84" i="1"/>
  <c r="CO84" i="1"/>
  <c r="CP84" i="1"/>
  <c r="CQ84" i="1"/>
  <c r="CJ85" i="1"/>
  <c r="CK85" i="1"/>
  <c r="CL85" i="1"/>
  <c r="CM85" i="1"/>
  <c r="CN85" i="1"/>
  <c r="CO85" i="1"/>
  <c r="CP85" i="1"/>
  <c r="CQ85" i="1"/>
  <c r="CJ86" i="1"/>
  <c r="CK86" i="1"/>
  <c r="CL86" i="1"/>
  <c r="CM86" i="1"/>
  <c r="CN86" i="1"/>
  <c r="CO86" i="1"/>
  <c r="CP86" i="1"/>
  <c r="CQ86" i="1"/>
  <c r="CJ87" i="1"/>
  <c r="CK87" i="1"/>
  <c r="CL87" i="1"/>
  <c r="CM87" i="1"/>
  <c r="CN87" i="1"/>
  <c r="CO87" i="1"/>
  <c r="CP87" i="1"/>
  <c r="CQ87" i="1"/>
  <c r="CJ88" i="1"/>
  <c r="CK88" i="1"/>
  <c r="CL88" i="1"/>
  <c r="CM88" i="1"/>
  <c r="CN88" i="1"/>
  <c r="CO88" i="1"/>
  <c r="CP88" i="1"/>
  <c r="CQ88" i="1"/>
  <c r="CJ89" i="1"/>
  <c r="CK89" i="1"/>
  <c r="CL89" i="1"/>
  <c r="CM89" i="1"/>
  <c r="CN89" i="1"/>
  <c r="CO89" i="1"/>
  <c r="CP89" i="1"/>
  <c r="CQ89" i="1"/>
  <c r="CJ90" i="1"/>
  <c r="CK90" i="1"/>
  <c r="CL90" i="1"/>
  <c r="CM90" i="1"/>
  <c r="CN90" i="1"/>
  <c r="CO90" i="1"/>
  <c r="CP90" i="1"/>
  <c r="CQ90" i="1"/>
  <c r="CJ91" i="1"/>
  <c r="CK91" i="1"/>
  <c r="CL91" i="1"/>
  <c r="CM91" i="1"/>
  <c r="CN91" i="1"/>
  <c r="CO91" i="1"/>
  <c r="CP91" i="1"/>
  <c r="CQ91" i="1"/>
  <c r="CJ92" i="1"/>
  <c r="CK92" i="1"/>
  <c r="CL92" i="1"/>
  <c r="CM92" i="1"/>
  <c r="CN92" i="1"/>
  <c r="CO92" i="1"/>
  <c r="CP92" i="1"/>
  <c r="CQ92" i="1"/>
  <c r="CJ93" i="1"/>
  <c r="CK93" i="1"/>
  <c r="CL93" i="1"/>
  <c r="CM93" i="1"/>
  <c r="CN93" i="1"/>
  <c r="CO93" i="1"/>
  <c r="CP93" i="1"/>
  <c r="CQ93" i="1"/>
  <c r="CJ94" i="1"/>
  <c r="CK94" i="1"/>
  <c r="CL94" i="1"/>
  <c r="CM94" i="1"/>
  <c r="CN94" i="1"/>
  <c r="CO94" i="1"/>
  <c r="CP94" i="1"/>
  <c r="CQ94" i="1"/>
  <c r="CJ95" i="1"/>
  <c r="CK95" i="1"/>
  <c r="CL95" i="1"/>
  <c r="CM95" i="1"/>
  <c r="CN95" i="1"/>
  <c r="CO95" i="1"/>
  <c r="CP95" i="1"/>
  <c r="CQ95" i="1"/>
  <c r="CJ96" i="1"/>
  <c r="CK96" i="1"/>
  <c r="CL96" i="1"/>
  <c r="CM96" i="1"/>
  <c r="CN96" i="1"/>
  <c r="CO96" i="1"/>
  <c r="CP96" i="1"/>
  <c r="CQ96" i="1"/>
  <c r="CJ97" i="1"/>
  <c r="CK97" i="1"/>
  <c r="CL97" i="1"/>
  <c r="CM97" i="1"/>
  <c r="CN97" i="1"/>
  <c r="CO97" i="1"/>
  <c r="CP97" i="1"/>
  <c r="CQ97" i="1"/>
  <c r="CJ98" i="1"/>
  <c r="CK98" i="1"/>
  <c r="CL98" i="1"/>
  <c r="CM98" i="1"/>
  <c r="CN98" i="1"/>
  <c r="CO98" i="1"/>
  <c r="CP98" i="1"/>
  <c r="CQ98" i="1"/>
  <c r="CJ99" i="1"/>
  <c r="CK99" i="1"/>
  <c r="CL99" i="1"/>
  <c r="CM99" i="1"/>
  <c r="CN99" i="1"/>
  <c r="CO99" i="1"/>
  <c r="CP99" i="1"/>
  <c r="CQ99" i="1"/>
  <c r="CJ100" i="1"/>
  <c r="CK100" i="1"/>
  <c r="CL100" i="1"/>
  <c r="CM100" i="1"/>
  <c r="CN100" i="1"/>
  <c r="CO100" i="1"/>
  <c r="CP100" i="1"/>
  <c r="CQ100" i="1"/>
  <c r="CR3" i="1"/>
  <c r="CS3" i="1"/>
  <c r="CT3" i="1"/>
  <c r="CU3" i="1"/>
  <c r="CV3" i="1"/>
  <c r="CW3" i="1"/>
  <c r="CX3" i="1"/>
  <c r="CY3" i="1"/>
  <c r="CR4" i="1"/>
  <c r="CS4" i="1"/>
  <c r="CT4" i="1"/>
  <c r="CU4" i="1"/>
  <c r="CV4" i="1"/>
  <c r="CW4" i="1"/>
  <c r="CX4" i="1"/>
  <c r="CY4" i="1"/>
  <c r="CR5" i="1"/>
  <c r="CS5" i="1"/>
  <c r="CT5" i="1"/>
  <c r="CU5" i="1"/>
  <c r="CV5" i="1"/>
  <c r="CW5" i="1"/>
  <c r="CX5" i="1"/>
  <c r="CY5" i="1"/>
  <c r="CR6" i="1"/>
  <c r="CS6" i="1"/>
  <c r="CT6" i="1"/>
  <c r="CU6" i="1"/>
  <c r="CV6" i="1"/>
  <c r="CW6" i="1"/>
  <c r="CX6" i="1"/>
  <c r="CY6" i="1"/>
  <c r="CR7" i="1"/>
  <c r="CS7" i="1"/>
  <c r="CT7" i="1"/>
  <c r="CU7" i="1"/>
  <c r="CV7" i="1"/>
  <c r="CW7" i="1"/>
  <c r="CX7" i="1"/>
  <c r="CY7" i="1"/>
  <c r="CR8" i="1"/>
  <c r="CS8" i="1"/>
  <c r="CT8" i="1"/>
  <c r="CU8" i="1"/>
  <c r="CV8" i="1"/>
  <c r="CW8" i="1"/>
  <c r="CX8" i="1"/>
  <c r="CY8" i="1"/>
  <c r="CR9" i="1"/>
  <c r="CS9" i="1"/>
  <c r="CT9" i="1"/>
  <c r="CU9" i="1"/>
  <c r="CV9" i="1"/>
  <c r="CW9" i="1"/>
  <c r="CX9" i="1"/>
  <c r="CY9" i="1"/>
  <c r="CR10" i="1"/>
  <c r="CS10" i="1"/>
  <c r="CT10" i="1"/>
  <c r="CU10" i="1"/>
  <c r="CV10" i="1"/>
  <c r="CW10" i="1"/>
  <c r="CX10" i="1"/>
  <c r="CY10" i="1"/>
  <c r="CR11" i="1"/>
  <c r="CS11" i="1"/>
  <c r="CT11" i="1"/>
  <c r="CU11" i="1"/>
  <c r="CV11" i="1"/>
  <c r="CW11" i="1"/>
  <c r="CX11" i="1"/>
  <c r="CY11" i="1"/>
  <c r="CR12" i="1"/>
  <c r="CS12" i="1"/>
  <c r="CT12" i="1"/>
  <c r="CU12" i="1"/>
  <c r="CV12" i="1"/>
  <c r="CW12" i="1"/>
  <c r="CX12" i="1"/>
  <c r="CY12" i="1"/>
  <c r="CR13" i="1"/>
  <c r="CS13" i="1"/>
  <c r="CT13" i="1"/>
  <c r="CU13" i="1"/>
  <c r="CV13" i="1"/>
  <c r="CW13" i="1"/>
  <c r="CX13" i="1"/>
  <c r="CY13" i="1"/>
  <c r="CR14" i="1"/>
  <c r="CS14" i="1"/>
  <c r="CT14" i="1"/>
  <c r="CU14" i="1"/>
  <c r="CV14" i="1"/>
  <c r="CW14" i="1"/>
  <c r="CX14" i="1"/>
  <c r="CY14" i="1"/>
  <c r="CR15" i="1"/>
  <c r="CS15" i="1"/>
  <c r="CT15" i="1"/>
  <c r="CU15" i="1"/>
  <c r="CV15" i="1"/>
  <c r="CW15" i="1"/>
  <c r="CX15" i="1"/>
  <c r="CY15" i="1"/>
  <c r="CR16" i="1"/>
  <c r="CS16" i="1"/>
  <c r="CT16" i="1"/>
  <c r="CU16" i="1"/>
  <c r="CV16" i="1"/>
  <c r="CW16" i="1"/>
  <c r="CX16" i="1"/>
  <c r="CY16" i="1"/>
  <c r="CR17" i="1"/>
  <c r="CS17" i="1"/>
  <c r="CT17" i="1"/>
  <c r="CU17" i="1"/>
  <c r="CV17" i="1"/>
  <c r="CW17" i="1"/>
  <c r="CX17" i="1"/>
  <c r="CY17" i="1"/>
  <c r="CR18" i="1"/>
  <c r="CS18" i="1"/>
  <c r="CT18" i="1"/>
  <c r="CU18" i="1"/>
  <c r="CV18" i="1"/>
  <c r="CW18" i="1"/>
  <c r="CX18" i="1"/>
  <c r="CY18" i="1"/>
  <c r="CR19" i="1"/>
  <c r="CS19" i="1"/>
  <c r="CT19" i="1"/>
  <c r="CU19" i="1"/>
  <c r="CV19" i="1"/>
  <c r="CW19" i="1"/>
  <c r="CX19" i="1"/>
  <c r="CY19" i="1"/>
  <c r="CR20" i="1"/>
  <c r="CS20" i="1"/>
  <c r="CT20" i="1"/>
  <c r="CU20" i="1"/>
  <c r="CV20" i="1"/>
  <c r="CW20" i="1"/>
  <c r="CX20" i="1"/>
  <c r="CY20" i="1"/>
  <c r="CR21" i="1"/>
  <c r="CS21" i="1"/>
  <c r="CT21" i="1"/>
  <c r="CU21" i="1"/>
  <c r="CV21" i="1"/>
  <c r="CW21" i="1"/>
  <c r="CX21" i="1"/>
  <c r="CY21" i="1"/>
  <c r="CR22" i="1"/>
  <c r="CS22" i="1"/>
  <c r="CT22" i="1"/>
  <c r="CU22" i="1"/>
  <c r="CV22" i="1"/>
  <c r="CW22" i="1"/>
  <c r="CX22" i="1"/>
  <c r="CY22" i="1"/>
  <c r="CR23" i="1"/>
  <c r="CS23" i="1"/>
  <c r="CT23" i="1"/>
  <c r="CU23" i="1"/>
  <c r="CV23" i="1"/>
  <c r="CW23" i="1"/>
  <c r="CX23" i="1"/>
  <c r="CY23" i="1"/>
  <c r="CR24" i="1"/>
  <c r="CS24" i="1"/>
  <c r="CT24" i="1"/>
  <c r="CU24" i="1"/>
  <c r="CV24" i="1"/>
  <c r="CW24" i="1"/>
  <c r="CX24" i="1"/>
  <c r="CY24" i="1"/>
  <c r="CR25" i="1"/>
  <c r="CS25" i="1"/>
  <c r="CT25" i="1"/>
  <c r="CU25" i="1"/>
  <c r="CV25" i="1"/>
  <c r="CW25" i="1"/>
  <c r="CX25" i="1"/>
  <c r="CY25" i="1"/>
  <c r="CR26" i="1"/>
  <c r="CS26" i="1"/>
  <c r="CT26" i="1"/>
  <c r="CU26" i="1"/>
  <c r="CV26" i="1"/>
  <c r="CW26" i="1"/>
  <c r="CX26" i="1"/>
  <c r="CY26" i="1"/>
  <c r="CR27" i="1"/>
  <c r="CS27" i="1"/>
  <c r="CT27" i="1"/>
  <c r="CU27" i="1"/>
  <c r="CV27" i="1"/>
  <c r="CW27" i="1"/>
  <c r="CX27" i="1"/>
  <c r="CY27" i="1"/>
  <c r="CR28" i="1"/>
  <c r="CS28" i="1"/>
  <c r="CT28" i="1"/>
  <c r="CU28" i="1"/>
  <c r="CV28" i="1"/>
  <c r="CW28" i="1"/>
  <c r="CX28" i="1"/>
  <c r="CY28" i="1"/>
  <c r="CR29" i="1"/>
  <c r="CS29" i="1"/>
  <c r="CT29" i="1"/>
  <c r="CU29" i="1"/>
  <c r="CV29" i="1"/>
  <c r="CW29" i="1"/>
  <c r="CX29" i="1"/>
  <c r="CY29" i="1"/>
  <c r="CR30" i="1"/>
  <c r="CS30" i="1"/>
  <c r="CT30" i="1"/>
  <c r="CU30" i="1"/>
  <c r="CV30" i="1"/>
  <c r="CW30" i="1"/>
  <c r="CX30" i="1"/>
  <c r="CY30" i="1"/>
  <c r="CR31" i="1"/>
  <c r="CS31" i="1"/>
  <c r="CT31" i="1"/>
  <c r="CU31" i="1"/>
  <c r="CV31" i="1"/>
  <c r="CW31" i="1"/>
  <c r="CX31" i="1"/>
  <c r="CY31" i="1"/>
  <c r="CR32" i="1"/>
  <c r="CS32" i="1"/>
  <c r="CT32" i="1"/>
  <c r="CU32" i="1"/>
  <c r="CV32" i="1"/>
  <c r="CW32" i="1"/>
  <c r="CX32" i="1"/>
  <c r="CY32" i="1"/>
  <c r="CR33" i="1"/>
  <c r="CS33" i="1"/>
  <c r="CT33" i="1"/>
  <c r="CU33" i="1"/>
  <c r="CV33" i="1"/>
  <c r="CW33" i="1"/>
  <c r="CX33" i="1"/>
  <c r="CY33" i="1"/>
  <c r="CR34" i="1"/>
  <c r="CS34" i="1"/>
  <c r="CT34" i="1"/>
  <c r="CU34" i="1"/>
  <c r="CV34" i="1"/>
  <c r="CW34" i="1"/>
  <c r="CX34" i="1"/>
  <c r="CY34" i="1"/>
  <c r="CR35" i="1"/>
  <c r="CS35" i="1"/>
  <c r="CT35" i="1"/>
  <c r="CU35" i="1"/>
  <c r="CV35" i="1"/>
  <c r="CW35" i="1"/>
  <c r="CX35" i="1"/>
  <c r="CY35" i="1"/>
  <c r="CR36" i="1"/>
  <c r="CS36" i="1"/>
  <c r="CT36" i="1"/>
  <c r="CU36" i="1"/>
  <c r="CV36" i="1"/>
  <c r="CW36" i="1"/>
  <c r="CX36" i="1"/>
  <c r="CY36" i="1"/>
  <c r="CR37" i="1"/>
  <c r="CS37" i="1"/>
  <c r="CT37" i="1"/>
  <c r="CU37" i="1"/>
  <c r="CV37" i="1"/>
  <c r="CW37" i="1"/>
  <c r="CX37" i="1"/>
  <c r="CY37" i="1"/>
  <c r="CR38" i="1"/>
  <c r="CS38" i="1"/>
  <c r="CT38" i="1"/>
  <c r="CU38" i="1"/>
  <c r="CV38" i="1"/>
  <c r="CW38" i="1"/>
  <c r="CX38" i="1"/>
  <c r="CY38" i="1"/>
  <c r="CR39" i="1"/>
  <c r="CS39" i="1"/>
  <c r="CT39" i="1"/>
  <c r="CU39" i="1"/>
  <c r="CV39" i="1"/>
  <c r="CW39" i="1"/>
  <c r="CX39" i="1"/>
  <c r="CY39" i="1"/>
  <c r="CR40" i="1"/>
  <c r="CS40" i="1"/>
  <c r="CT40" i="1"/>
  <c r="CU40" i="1"/>
  <c r="CV40" i="1"/>
  <c r="CW40" i="1"/>
  <c r="CX40" i="1"/>
  <c r="CY40" i="1"/>
  <c r="CR41" i="1"/>
  <c r="CS41" i="1"/>
  <c r="CT41" i="1"/>
  <c r="CU41" i="1"/>
  <c r="CV41" i="1"/>
  <c r="CW41" i="1"/>
  <c r="CX41" i="1"/>
  <c r="CY41" i="1"/>
  <c r="CR42" i="1"/>
  <c r="CS42" i="1"/>
  <c r="CT42" i="1"/>
  <c r="CU42" i="1"/>
  <c r="CV42" i="1"/>
  <c r="CW42" i="1"/>
  <c r="CX42" i="1"/>
  <c r="CY42" i="1"/>
  <c r="CR43" i="1"/>
  <c r="CS43" i="1"/>
  <c r="CT43" i="1"/>
  <c r="CU43" i="1"/>
  <c r="CV43" i="1"/>
  <c r="CW43" i="1"/>
  <c r="CX43" i="1"/>
  <c r="CY43" i="1"/>
  <c r="CR44" i="1"/>
  <c r="CS44" i="1"/>
  <c r="CT44" i="1"/>
  <c r="CU44" i="1"/>
  <c r="CV44" i="1"/>
  <c r="CW44" i="1"/>
  <c r="CX44" i="1"/>
  <c r="CY44" i="1"/>
  <c r="CR45" i="1"/>
  <c r="CS45" i="1"/>
  <c r="CT45" i="1"/>
  <c r="CU45" i="1"/>
  <c r="CV45" i="1"/>
  <c r="CW45" i="1"/>
  <c r="CX45" i="1"/>
  <c r="CY45" i="1"/>
  <c r="CR46" i="1"/>
  <c r="CS46" i="1"/>
  <c r="CT46" i="1"/>
  <c r="CU46" i="1"/>
  <c r="CV46" i="1"/>
  <c r="CW46" i="1"/>
  <c r="CX46" i="1"/>
  <c r="CY46" i="1"/>
  <c r="CR47" i="1"/>
  <c r="CS47" i="1"/>
  <c r="CT47" i="1"/>
  <c r="CU47" i="1"/>
  <c r="CV47" i="1"/>
  <c r="CW47" i="1"/>
  <c r="CX47" i="1"/>
  <c r="CY47" i="1"/>
  <c r="CR48" i="1"/>
  <c r="CS48" i="1"/>
  <c r="CT48" i="1"/>
  <c r="CU48" i="1"/>
  <c r="CV48" i="1"/>
  <c r="CW48" i="1"/>
  <c r="CX48" i="1"/>
  <c r="CY48" i="1"/>
  <c r="CR49" i="1"/>
  <c r="CS49" i="1"/>
  <c r="CT49" i="1"/>
  <c r="CU49" i="1"/>
  <c r="CV49" i="1"/>
  <c r="CW49" i="1"/>
  <c r="CX49" i="1"/>
  <c r="CY49" i="1"/>
  <c r="CR50" i="1"/>
  <c r="CS50" i="1"/>
  <c r="CT50" i="1"/>
  <c r="CU50" i="1"/>
  <c r="CV50" i="1"/>
  <c r="CW50" i="1"/>
  <c r="CX50" i="1"/>
  <c r="CY50" i="1"/>
  <c r="CR51" i="1"/>
  <c r="CS51" i="1"/>
  <c r="CT51" i="1"/>
  <c r="CU51" i="1"/>
  <c r="CV51" i="1"/>
  <c r="CW51" i="1"/>
  <c r="CX51" i="1"/>
  <c r="CY51" i="1"/>
  <c r="CR52" i="1"/>
  <c r="CS52" i="1"/>
  <c r="CT52" i="1"/>
  <c r="CU52" i="1"/>
  <c r="CV52" i="1"/>
  <c r="CW52" i="1"/>
  <c r="CX52" i="1"/>
  <c r="CY52" i="1"/>
  <c r="CR53" i="1"/>
  <c r="CS53" i="1"/>
  <c r="CT53" i="1"/>
  <c r="CU53" i="1"/>
  <c r="CV53" i="1"/>
  <c r="CW53" i="1"/>
  <c r="CX53" i="1"/>
  <c r="CY53" i="1"/>
  <c r="CR54" i="1"/>
  <c r="CS54" i="1"/>
  <c r="CT54" i="1"/>
  <c r="CU54" i="1"/>
  <c r="CV54" i="1"/>
  <c r="CW54" i="1"/>
  <c r="CX54" i="1"/>
  <c r="CY54" i="1"/>
  <c r="CR55" i="1"/>
  <c r="CS55" i="1"/>
  <c r="CT55" i="1"/>
  <c r="CU55" i="1"/>
  <c r="CV55" i="1"/>
  <c r="CW55" i="1"/>
  <c r="CX55" i="1"/>
  <c r="CY55" i="1"/>
  <c r="CR56" i="1"/>
  <c r="CS56" i="1"/>
  <c r="CT56" i="1"/>
  <c r="CU56" i="1"/>
  <c r="CV56" i="1"/>
  <c r="CW56" i="1"/>
  <c r="CX56" i="1"/>
  <c r="CY56" i="1"/>
  <c r="CR57" i="1"/>
  <c r="CS57" i="1"/>
  <c r="CT57" i="1"/>
  <c r="CU57" i="1"/>
  <c r="CV57" i="1"/>
  <c r="CW57" i="1"/>
  <c r="CX57" i="1"/>
  <c r="CY57" i="1"/>
  <c r="CR58" i="1"/>
  <c r="CS58" i="1"/>
  <c r="CT58" i="1"/>
  <c r="CU58" i="1"/>
  <c r="CV58" i="1"/>
  <c r="CW58" i="1"/>
  <c r="CX58" i="1"/>
  <c r="CY58" i="1"/>
  <c r="CR59" i="1"/>
  <c r="CS59" i="1"/>
  <c r="CT59" i="1"/>
  <c r="CU59" i="1"/>
  <c r="CV59" i="1"/>
  <c r="CW59" i="1"/>
  <c r="CX59" i="1"/>
  <c r="CY59" i="1"/>
  <c r="CR60" i="1"/>
  <c r="CS60" i="1"/>
  <c r="CT60" i="1"/>
  <c r="CU60" i="1"/>
  <c r="CV60" i="1"/>
  <c r="CW60" i="1"/>
  <c r="CX60" i="1"/>
  <c r="CY60" i="1"/>
  <c r="CR61" i="1"/>
  <c r="CS61" i="1"/>
  <c r="CT61" i="1"/>
  <c r="CU61" i="1"/>
  <c r="CV61" i="1"/>
  <c r="CW61" i="1"/>
  <c r="CX61" i="1"/>
  <c r="CY61" i="1"/>
  <c r="CR62" i="1"/>
  <c r="CS62" i="1"/>
  <c r="CT62" i="1"/>
  <c r="CU62" i="1"/>
  <c r="CV62" i="1"/>
  <c r="CW62" i="1"/>
  <c r="CX62" i="1"/>
  <c r="CY62" i="1"/>
  <c r="CR63" i="1"/>
  <c r="CS63" i="1"/>
  <c r="CT63" i="1"/>
  <c r="CU63" i="1"/>
  <c r="CV63" i="1"/>
  <c r="CW63" i="1"/>
  <c r="CX63" i="1"/>
  <c r="CY63" i="1"/>
  <c r="CR64" i="1"/>
  <c r="CS64" i="1"/>
  <c r="CT64" i="1"/>
  <c r="CU64" i="1"/>
  <c r="CV64" i="1"/>
  <c r="CW64" i="1"/>
  <c r="CX64" i="1"/>
  <c r="CY64" i="1"/>
  <c r="CR65" i="1"/>
  <c r="CS65" i="1"/>
  <c r="CT65" i="1"/>
  <c r="CU65" i="1"/>
  <c r="CV65" i="1"/>
  <c r="CW65" i="1"/>
  <c r="CX65" i="1"/>
  <c r="CY65" i="1"/>
  <c r="CR66" i="1"/>
  <c r="CS66" i="1"/>
  <c r="CT66" i="1"/>
  <c r="CU66" i="1"/>
  <c r="CV66" i="1"/>
  <c r="CW66" i="1"/>
  <c r="CX66" i="1"/>
  <c r="CY66" i="1"/>
  <c r="CR67" i="1"/>
  <c r="CS67" i="1"/>
  <c r="CT67" i="1"/>
  <c r="CU67" i="1"/>
  <c r="CV67" i="1"/>
  <c r="CW67" i="1"/>
  <c r="CX67" i="1"/>
  <c r="CY67" i="1"/>
  <c r="CR68" i="1"/>
  <c r="CS68" i="1"/>
  <c r="CT68" i="1"/>
  <c r="CU68" i="1"/>
  <c r="CV68" i="1"/>
  <c r="CW68" i="1"/>
  <c r="CX68" i="1"/>
  <c r="CY68" i="1"/>
  <c r="CR69" i="1"/>
  <c r="CS69" i="1"/>
  <c r="CT69" i="1"/>
  <c r="CU69" i="1"/>
  <c r="CV69" i="1"/>
  <c r="CW69" i="1"/>
  <c r="CX69" i="1"/>
  <c r="CY69" i="1"/>
  <c r="CR70" i="1"/>
  <c r="CS70" i="1"/>
  <c r="CT70" i="1"/>
  <c r="CU70" i="1"/>
  <c r="CV70" i="1"/>
  <c r="CW70" i="1"/>
  <c r="CX70" i="1"/>
  <c r="CY70" i="1"/>
  <c r="CR71" i="1"/>
  <c r="CS71" i="1"/>
  <c r="CT71" i="1"/>
  <c r="CU71" i="1"/>
  <c r="CV71" i="1"/>
  <c r="CW71" i="1"/>
  <c r="CX71" i="1"/>
  <c r="CY71" i="1"/>
  <c r="CR72" i="1"/>
  <c r="CS72" i="1"/>
  <c r="CT72" i="1"/>
  <c r="CU72" i="1"/>
  <c r="CV72" i="1"/>
  <c r="CW72" i="1"/>
  <c r="CX72" i="1"/>
  <c r="CY72" i="1"/>
  <c r="CR73" i="1"/>
  <c r="CS73" i="1"/>
  <c r="CT73" i="1"/>
  <c r="CU73" i="1"/>
  <c r="CV73" i="1"/>
  <c r="CW73" i="1"/>
  <c r="CX73" i="1"/>
  <c r="CY73" i="1"/>
  <c r="CR74" i="1"/>
  <c r="CS74" i="1"/>
  <c r="CT74" i="1"/>
  <c r="CU74" i="1"/>
  <c r="CV74" i="1"/>
  <c r="CW74" i="1"/>
  <c r="CX74" i="1"/>
  <c r="CY74" i="1"/>
  <c r="CR75" i="1"/>
  <c r="CS75" i="1"/>
  <c r="CT75" i="1"/>
  <c r="CU75" i="1"/>
  <c r="CV75" i="1"/>
  <c r="CW75" i="1"/>
  <c r="CX75" i="1"/>
  <c r="CY75" i="1"/>
  <c r="CR76" i="1"/>
  <c r="CS76" i="1"/>
  <c r="CT76" i="1"/>
  <c r="CU76" i="1"/>
  <c r="CV76" i="1"/>
  <c r="CW76" i="1"/>
  <c r="CX76" i="1"/>
  <c r="CY76" i="1"/>
  <c r="CR77" i="1"/>
  <c r="CS77" i="1"/>
  <c r="CT77" i="1"/>
  <c r="CU77" i="1"/>
  <c r="CV77" i="1"/>
  <c r="CW77" i="1"/>
  <c r="CX77" i="1"/>
  <c r="CY77" i="1"/>
  <c r="CR78" i="1"/>
  <c r="CS78" i="1"/>
  <c r="CT78" i="1"/>
  <c r="CU78" i="1"/>
  <c r="CV78" i="1"/>
  <c r="CW78" i="1"/>
  <c r="CX78" i="1"/>
  <c r="CY78" i="1"/>
  <c r="CR79" i="1"/>
  <c r="CS79" i="1"/>
  <c r="CT79" i="1"/>
  <c r="CU79" i="1"/>
  <c r="CV79" i="1"/>
  <c r="CW79" i="1"/>
  <c r="CX79" i="1"/>
  <c r="CY79" i="1"/>
  <c r="CR80" i="1"/>
  <c r="CS80" i="1"/>
  <c r="CT80" i="1"/>
  <c r="CU80" i="1"/>
  <c r="CV80" i="1"/>
  <c r="CW80" i="1"/>
  <c r="CX80" i="1"/>
  <c r="CY80" i="1"/>
  <c r="CR81" i="1"/>
  <c r="CS81" i="1"/>
  <c r="CT81" i="1"/>
  <c r="CU81" i="1"/>
  <c r="CV81" i="1"/>
  <c r="CW81" i="1"/>
  <c r="CX81" i="1"/>
  <c r="CY81" i="1"/>
  <c r="CR82" i="1"/>
  <c r="CS82" i="1"/>
  <c r="CT82" i="1"/>
  <c r="CU82" i="1"/>
  <c r="CV82" i="1"/>
  <c r="CW82" i="1"/>
  <c r="CX82" i="1"/>
  <c r="CY82" i="1"/>
  <c r="CR83" i="1"/>
  <c r="CS83" i="1"/>
  <c r="CT83" i="1"/>
  <c r="CU83" i="1"/>
  <c r="CV83" i="1"/>
  <c r="CW83" i="1"/>
  <c r="CX83" i="1"/>
  <c r="CY83" i="1"/>
  <c r="CR84" i="1"/>
  <c r="CS84" i="1"/>
  <c r="CT84" i="1"/>
  <c r="CU84" i="1"/>
  <c r="CV84" i="1"/>
  <c r="CW84" i="1"/>
  <c r="CX84" i="1"/>
  <c r="CY84" i="1"/>
  <c r="CR85" i="1"/>
  <c r="CS85" i="1"/>
  <c r="CT85" i="1"/>
  <c r="CU85" i="1"/>
  <c r="CV85" i="1"/>
  <c r="CW85" i="1"/>
  <c r="CX85" i="1"/>
  <c r="CY85" i="1"/>
  <c r="CR86" i="1"/>
  <c r="CS86" i="1"/>
  <c r="CT86" i="1"/>
  <c r="CU86" i="1"/>
  <c r="CV86" i="1"/>
  <c r="CW86" i="1"/>
  <c r="CX86" i="1"/>
  <c r="CY86" i="1"/>
  <c r="CR87" i="1"/>
  <c r="CS87" i="1"/>
  <c r="CT87" i="1"/>
  <c r="CU87" i="1"/>
  <c r="CV87" i="1"/>
  <c r="CW87" i="1"/>
  <c r="CX87" i="1"/>
  <c r="CY87" i="1"/>
  <c r="CR88" i="1"/>
  <c r="CS88" i="1"/>
  <c r="CT88" i="1"/>
  <c r="CU88" i="1"/>
  <c r="CV88" i="1"/>
  <c r="CW88" i="1"/>
  <c r="CX88" i="1"/>
  <c r="CY88" i="1"/>
  <c r="CR89" i="1"/>
  <c r="CS89" i="1"/>
  <c r="CT89" i="1"/>
  <c r="CU89" i="1"/>
  <c r="CV89" i="1"/>
  <c r="CW89" i="1"/>
  <c r="CX89" i="1"/>
  <c r="CY89" i="1"/>
  <c r="CR90" i="1"/>
  <c r="CS90" i="1"/>
  <c r="CT90" i="1"/>
  <c r="CU90" i="1"/>
  <c r="CV90" i="1"/>
  <c r="CW90" i="1"/>
  <c r="CX90" i="1"/>
  <c r="CY90" i="1"/>
  <c r="CR91" i="1"/>
  <c r="CS91" i="1"/>
  <c r="CT91" i="1"/>
  <c r="CU91" i="1"/>
  <c r="CV91" i="1"/>
  <c r="CW91" i="1"/>
  <c r="CX91" i="1"/>
  <c r="CY91" i="1"/>
  <c r="CR92" i="1"/>
  <c r="CS92" i="1"/>
  <c r="CT92" i="1"/>
  <c r="CU92" i="1"/>
  <c r="CV92" i="1"/>
  <c r="CW92" i="1"/>
  <c r="CX92" i="1"/>
  <c r="CY92" i="1"/>
  <c r="CR93" i="1"/>
  <c r="CS93" i="1"/>
  <c r="CT93" i="1"/>
  <c r="CU93" i="1"/>
  <c r="CV93" i="1"/>
  <c r="CW93" i="1"/>
  <c r="CX93" i="1"/>
  <c r="CY93" i="1"/>
  <c r="CR94" i="1"/>
  <c r="CS94" i="1"/>
  <c r="CT94" i="1"/>
  <c r="CU94" i="1"/>
  <c r="CV94" i="1"/>
  <c r="CW94" i="1"/>
  <c r="CX94" i="1"/>
  <c r="CY94" i="1"/>
  <c r="CR95" i="1"/>
  <c r="CS95" i="1"/>
  <c r="CT95" i="1"/>
  <c r="CU95" i="1"/>
  <c r="CV95" i="1"/>
  <c r="CW95" i="1"/>
  <c r="CX95" i="1"/>
  <c r="CY95" i="1"/>
  <c r="CR96" i="1"/>
  <c r="CS96" i="1"/>
  <c r="CT96" i="1"/>
  <c r="CU96" i="1"/>
  <c r="CV96" i="1"/>
  <c r="CW96" i="1"/>
  <c r="CX96" i="1"/>
  <c r="CY96" i="1"/>
  <c r="CR97" i="1"/>
  <c r="CS97" i="1"/>
  <c r="CT97" i="1"/>
  <c r="CU97" i="1"/>
  <c r="CV97" i="1"/>
  <c r="CW97" i="1"/>
  <c r="CX97" i="1"/>
  <c r="CY97" i="1"/>
  <c r="CR98" i="1"/>
  <c r="CS98" i="1"/>
  <c r="CT98" i="1"/>
  <c r="CU98" i="1"/>
  <c r="CV98" i="1"/>
  <c r="CW98" i="1"/>
  <c r="CX98" i="1"/>
  <c r="CY98" i="1"/>
  <c r="CR99" i="1"/>
  <c r="CS99" i="1"/>
  <c r="CT99" i="1"/>
  <c r="CU99" i="1"/>
  <c r="CV99" i="1"/>
  <c r="CW99" i="1"/>
  <c r="CX99" i="1"/>
  <c r="CY99" i="1"/>
  <c r="CR100" i="1"/>
  <c r="CS100" i="1"/>
  <c r="CT100" i="1"/>
  <c r="CU100" i="1"/>
  <c r="CV100" i="1"/>
  <c r="CW100" i="1"/>
  <c r="CX100" i="1"/>
  <c r="CY100" i="1"/>
  <c r="CS2" i="1"/>
  <c r="CT2" i="1"/>
  <c r="CU2" i="1"/>
  <c r="CV2" i="1"/>
  <c r="CW2" i="1"/>
  <c r="CX2" i="1"/>
  <c r="CY2" i="1"/>
  <c r="CK2" i="1"/>
  <c r="CL2" i="1"/>
  <c r="CM2" i="1"/>
  <c r="CN2" i="1"/>
  <c r="CO2" i="1"/>
  <c r="CP2" i="1"/>
  <c r="CQ2" i="1"/>
  <c r="CC2" i="1"/>
  <c r="CD2" i="1"/>
  <c r="CE2" i="1"/>
  <c r="CF2" i="1"/>
  <c r="CG2" i="1"/>
  <c r="CH2" i="1"/>
  <c r="CI2" i="1"/>
  <c r="CR2" i="1"/>
  <c r="CJ2" i="1"/>
  <c r="C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S3" i="1"/>
  <c r="T3" i="1"/>
  <c r="U3" i="1"/>
  <c r="V3" i="1"/>
  <c r="W3" i="1"/>
  <c r="X3" i="1"/>
  <c r="Y3" i="1"/>
  <c r="R4" i="1"/>
  <c r="S4" i="1"/>
  <c r="T4" i="1"/>
  <c r="U4" i="1"/>
  <c r="V4" i="1"/>
  <c r="W4" i="1"/>
  <c r="X4" i="1"/>
  <c r="Y4" i="1"/>
  <c r="R5" i="1"/>
  <c r="S5" i="1"/>
  <c r="T5" i="1"/>
  <c r="U5" i="1"/>
  <c r="V5" i="1"/>
  <c r="W5" i="1"/>
  <c r="X5" i="1"/>
  <c r="Y5" i="1"/>
  <c r="R6" i="1"/>
  <c r="S6" i="1"/>
  <c r="T6" i="1"/>
  <c r="U6" i="1"/>
  <c r="V6" i="1"/>
  <c r="W6" i="1"/>
  <c r="X6" i="1"/>
  <c r="Y6" i="1"/>
  <c r="R7" i="1"/>
  <c r="S7" i="1"/>
  <c r="T7" i="1"/>
  <c r="U7" i="1"/>
  <c r="V7" i="1"/>
  <c r="W7" i="1"/>
  <c r="X7" i="1"/>
  <c r="Y7" i="1"/>
  <c r="R8" i="1"/>
  <c r="S8" i="1"/>
  <c r="T8" i="1"/>
  <c r="U8" i="1"/>
  <c r="V8" i="1"/>
  <c r="W8" i="1"/>
  <c r="X8" i="1"/>
  <c r="Y8" i="1"/>
  <c r="R9" i="1"/>
  <c r="S9" i="1"/>
  <c r="T9" i="1"/>
  <c r="U9" i="1"/>
  <c r="V9" i="1"/>
  <c r="W9" i="1"/>
  <c r="X9" i="1"/>
  <c r="Y9" i="1"/>
  <c r="R10" i="1"/>
  <c r="S10" i="1"/>
  <c r="T10" i="1"/>
  <c r="U10" i="1"/>
  <c r="V10" i="1"/>
  <c r="W10" i="1"/>
  <c r="X10" i="1"/>
  <c r="Y10" i="1"/>
  <c r="R11" i="1"/>
  <c r="S11" i="1"/>
  <c r="T11" i="1"/>
  <c r="U11" i="1"/>
  <c r="V11" i="1"/>
  <c r="W11" i="1"/>
  <c r="X11" i="1"/>
  <c r="Y11" i="1"/>
  <c r="R12" i="1"/>
  <c r="S12" i="1"/>
  <c r="T12" i="1"/>
  <c r="U12" i="1"/>
  <c r="V12" i="1"/>
  <c r="W12" i="1"/>
  <c r="X12" i="1"/>
  <c r="Y12" i="1"/>
  <c r="R13" i="1"/>
  <c r="S13" i="1"/>
  <c r="T13" i="1"/>
  <c r="U13" i="1"/>
  <c r="V13" i="1"/>
  <c r="W13" i="1"/>
  <c r="X13" i="1"/>
  <c r="Y13" i="1"/>
  <c r="R14" i="1"/>
  <c r="S14" i="1"/>
  <c r="T14" i="1"/>
  <c r="U14" i="1"/>
  <c r="V14" i="1"/>
  <c r="W14" i="1"/>
  <c r="X14" i="1"/>
  <c r="Y14" i="1"/>
  <c r="R15" i="1"/>
  <c r="S15" i="1"/>
  <c r="T15" i="1"/>
  <c r="U15" i="1"/>
  <c r="V15" i="1"/>
  <c r="W15" i="1"/>
  <c r="X15" i="1"/>
  <c r="Y15" i="1"/>
  <c r="R16" i="1"/>
  <c r="S16" i="1"/>
  <c r="T16" i="1"/>
  <c r="U16" i="1"/>
  <c r="V16" i="1"/>
  <c r="W16" i="1"/>
  <c r="X16" i="1"/>
  <c r="Y16" i="1"/>
  <c r="R17" i="1"/>
  <c r="S17" i="1"/>
  <c r="T17" i="1"/>
  <c r="U17" i="1"/>
  <c r="V17" i="1"/>
  <c r="W17" i="1"/>
  <c r="X17" i="1"/>
  <c r="Y17" i="1"/>
  <c r="R18" i="1"/>
  <c r="S18" i="1"/>
  <c r="T18" i="1"/>
  <c r="U18" i="1"/>
  <c r="V18" i="1"/>
  <c r="W18" i="1"/>
  <c r="X18" i="1"/>
  <c r="Y18" i="1"/>
  <c r="R19" i="1"/>
  <c r="S19" i="1"/>
  <c r="T19" i="1"/>
  <c r="U19" i="1"/>
  <c r="V19" i="1"/>
  <c r="W19" i="1"/>
  <c r="X19" i="1"/>
  <c r="Y19" i="1"/>
  <c r="R20" i="1"/>
  <c r="S20" i="1"/>
  <c r="T20" i="1"/>
  <c r="U20" i="1"/>
  <c r="V20" i="1"/>
  <c r="W20" i="1"/>
  <c r="X20" i="1"/>
  <c r="Y20" i="1"/>
  <c r="R21" i="1"/>
  <c r="S21" i="1"/>
  <c r="T21" i="1"/>
  <c r="U21" i="1"/>
  <c r="V21" i="1"/>
  <c r="W21" i="1"/>
  <c r="X21" i="1"/>
  <c r="Y21" i="1"/>
  <c r="R22" i="1"/>
  <c r="S22" i="1"/>
  <c r="T22" i="1"/>
  <c r="U22" i="1"/>
  <c r="V22" i="1"/>
  <c r="W22" i="1"/>
  <c r="X22" i="1"/>
  <c r="Y22" i="1"/>
  <c r="R23" i="1"/>
  <c r="S23" i="1"/>
  <c r="T23" i="1"/>
  <c r="U23" i="1"/>
  <c r="V23" i="1"/>
  <c r="W23" i="1"/>
  <c r="X23" i="1"/>
  <c r="Y23" i="1"/>
  <c r="R24" i="1"/>
  <c r="S24" i="1"/>
  <c r="T24" i="1"/>
  <c r="U24" i="1"/>
  <c r="V24" i="1"/>
  <c r="W24" i="1"/>
  <c r="X24" i="1"/>
  <c r="Y24" i="1"/>
  <c r="R25" i="1"/>
  <c r="S25" i="1"/>
  <c r="T25" i="1"/>
  <c r="U25" i="1"/>
  <c r="V25" i="1"/>
  <c r="W25" i="1"/>
  <c r="X25" i="1"/>
  <c r="Y25" i="1"/>
  <c r="R26" i="1"/>
  <c r="S26" i="1"/>
  <c r="T26" i="1"/>
  <c r="U26" i="1"/>
  <c r="V26" i="1"/>
  <c r="W26" i="1"/>
  <c r="X26" i="1"/>
  <c r="Y26" i="1"/>
  <c r="R27" i="1"/>
  <c r="S27" i="1"/>
  <c r="T27" i="1"/>
  <c r="U27" i="1"/>
  <c r="V27" i="1"/>
  <c r="W27" i="1"/>
  <c r="X27" i="1"/>
  <c r="Y27" i="1"/>
  <c r="R28" i="1"/>
  <c r="S28" i="1"/>
  <c r="T28" i="1"/>
  <c r="U28" i="1"/>
  <c r="V28" i="1"/>
  <c r="W28" i="1"/>
  <c r="X28" i="1"/>
  <c r="Y28" i="1"/>
  <c r="R29" i="1"/>
  <c r="S29" i="1"/>
  <c r="T29" i="1"/>
  <c r="U29" i="1"/>
  <c r="V29" i="1"/>
  <c r="W29" i="1"/>
  <c r="X29" i="1"/>
  <c r="Y29" i="1"/>
  <c r="R30" i="1"/>
  <c r="S30" i="1"/>
  <c r="T30" i="1"/>
  <c r="U30" i="1"/>
  <c r="V30" i="1"/>
  <c r="W30" i="1"/>
  <c r="X30" i="1"/>
  <c r="Y30" i="1"/>
  <c r="R31" i="1"/>
  <c r="S31" i="1"/>
  <c r="T31" i="1"/>
  <c r="U31" i="1"/>
  <c r="V31" i="1"/>
  <c r="W31" i="1"/>
  <c r="X31" i="1"/>
  <c r="Y31" i="1"/>
  <c r="R32" i="1"/>
  <c r="S32" i="1"/>
  <c r="T32" i="1"/>
  <c r="U32" i="1"/>
  <c r="V32" i="1"/>
  <c r="W32" i="1"/>
  <c r="X32" i="1"/>
  <c r="Y32" i="1"/>
  <c r="R33" i="1"/>
  <c r="S33" i="1"/>
  <c r="T33" i="1"/>
  <c r="U33" i="1"/>
  <c r="V33" i="1"/>
  <c r="W33" i="1"/>
  <c r="X33" i="1"/>
  <c r="Y33" i="1"/>
  <c r="R34" i="1"/>
  <c r="S34" i="1"/>
  <c r="T34" i="1"/>
  <c r="U34" i="1"/>
  <c r="V34" i="1"/>
  <c r="W34" i="1"/>
  <c r="X34" i="1"/>
  <c r="Y34" i="1"/>
  <c r="R35" i="1"/>
  <c r="S35" i="1"/>
  <c r="T35" i="1"/>
  <c r="U35" i="1"/>
  <c r="V35" i="1"/>
  <c r="W35" i="1"/>
  <c r="X35" i="1"/>
  <c r="Y35" i="1"/>
  <c r="R36" i="1"/>
  <c r="S36" i="1"/>
  <c r="T36" i="1"/>
  <c r="U36" i="1"/>
  <c r="V36" i="1"/>
  <c r="W36" i="1"/>
  <c r="X36" i="1"/>
  <c r="Y36" i="1"/>
  <c r="R37" i="1"/>
  <c r="S37" i="1"/>
  <c r="T37" i="1"/>
  <c r="U37" i="1"/>
  <c r="V37" i="1"/>
  <c r="W37" i="1"/>
  <c r="X37" i="1"/>
  <c r="Y37" i="1"/>
  <c r="R38" i="1"/>
  <c r="S38" i="1"/>
  <c r="T38" i="1"/>
  <c r="U38" i="1"/>
  <c r="V38" i="1"/>
  <c r="W38" i="1"/>
  <c r="X38" i="1"/>
  <c r="Y38" i="1"/>
  <c r="R39" i="1"/>
  <c r="S39" i="1"/>
  <c r="T39" i="1"/>
  <c r="U39" i="1"/>
  <c r="V39" i="1"/>
  <c r="W39" i="1"/>
  <c r="X39" i="1"/>
  <c r="Y39" i="1"/>
  <c r="R40" i="1"/>
  <c r="S40" i="1"/>
  <c r="T40" i="1"/>
  <c r="U40" i="1"/>
  <c r="V40" i="1"/>
  <c r="W40" i="1"/>
  <c r="X40" i="1"/>
  <c r="Y40" i="1"/>
  <c r="R41" i="1"/>
  <c r="S41" i="1"/>
  <c r="T41" i="1"/>
  <c r="U41" i="1"/>
  <c r="V41" i="1"/>
  <c r="W41" i="1"/>
  <c r="X41" i="1"/>
  <c r="Y41" i="1"/>
  <c r="R42" i="1"/>
  <c r="S42" i="1"/>
  <c r="T42" i="1"/>
  <c r="U42" i="1"/>
  <c r="V42" i="1"/>
  <c r="W42" i="1"/>
  <c r="X42" i="1"/>
  <c r="Y42" i="1"/>
  <c r="R43" i="1"/>
  <c r="S43" i="1"/>
  <c r="T43" i="1"/>
  <c r="U43" i="1"/>
  <c r="V43" i="1"/>
  <c r="W43" i="1"/>
  <c r="X43" i="1"/>
  <c r="Y43" i="1"/>
  <c r="R44" i="1"/>
  <c r="S44" i="1"/>
  <c r="T44" i="1"/>
  <c r="U44" i="1"/>
  <c r="V44" i="1"/>
  <c r="W44" i="1"/>
  <c r="X44" i="1"/>
  <c r="Y44" i="1"/>
  <c r="R45" i="1"/>
  <c r="S45" i="1"/>
  <c r="T45" i="1"/>
  <c r="U45" i="1"/>
  <c r="V45" i="1"/>
  <c r="W45" i="1"/>
  <c r="X45" i="1"/>
  <c r="Y45" i="1"/>
  <c r="R46" i="1"/>
  <c r="S46" i="1"/>
  <c r="T46" i="1"/>
  <c r="U46" i="1"/>
  <c r="V46" i="1"/>
  <c r="W46" i="1"/>
  <c r="X46" i="1"/>
  <c r="Y46" i="1"/>
  <c r="R47" i="1"/>
  <c r="S47" i="1"/>
  <c r="T47" i="1"/>
  <c r="U47" i="1"/>
  <c r="V47" i="1"/>
  <c r="W47" i="1"/>
  <c r="X47" i="1"/>
  <c r="Y47" i="1"/>
  <c r="R48" i="1"/>
  <c r="S48" i="1"/>
  <c r="T48" i="1"/>
  <c r="U48" i="1"/>
  <c r="V48" i="1"/>
  <c r="W48" i="1"/>
  <c r="X48" i="1"/>
  <c r="Y48" i="1"/>
  <c r="R49" i="1"/>
  <c r="S49" i="1"/>
  <c r="T49" i="1"/>
  <c r="U49" i="1"/>
  <c r="V49" i="1"/>
  <c r="W49" i="1"/>
  <c r="X49" i="1"/>
  <c r="Y49" i="1"/>
  <c r="R50" i="1"/>
  <c r="S50" i="1"/>
  <c r="T50" i="1"/>
  <c r="U50" i="1"/>
  <c r="V50" i="1"/>
  <c r="W50" i="1"/>
  <c r="X50" i="1"/>
  <c r="Y50" i="1"/>
  <c r="R51" i="1"/>
  <c r="S51" i="1"/>
  <c r="T51" i="1"/>
  <c r="U51" i="1"/>
  <c r="V51" i="1"/>
  <c r="W51" i="1"/>
  <c r="X51" i="1"/>
  <c r="Y51" i="1"/>
  <c r="R52" i="1"/>
  <c r="S52" i="1"/>
  <c r="T52" i="1"/>
  <c r="U52" i="1"/>
  <c r="V52" i="1"/>
  <c r="W52" i="1"/>
  <c r="X52" i="1"/>
  <c r="Y52" i="1"/>
  <c r="R53" i="1"/>
  <c r="S53" i="1"/>
  <c r="T53" i="1"/>
  <c r="U53" i="1"/>
  <c r="V53" i="1"/>
  <c r="W53" i="1"/>
  <c r="X53" i="1"/>
  <c r="Y53" i="1"/>
  <c r="R54" i="1"/>
  <c r="S54" i="1"/>
  <c r="T54" i="1"/>
  <c r="U54" i="1"/>
  <c r="V54" i="1"/>
  <c r="W54" i="1"/>
  <c r="X54" i="1"/>
  <c r="Y54" i="1"/>
  <c r="R55" i="1"/>
  <c r="S55" i="1"/>
  <c r="T55" i="1"/>
  <c r="U55" i="1"/>
  <c r="V55" i="1"/>
  <c r="W55" i="1"/>
  <c r="X55" i="1"/>
  <c r="Y55" i="1"/>
  <c r="R56" i="1"/>
  <c r="S56" i="1"/>
  <c r="T56" i="1"/>
  <c r="U56" i="1"/>
  <c r="V56" i="1"/>
  <c r="W56" i="1"/>
  <c r="X56" i="1"/>
  <c r="Y56" i="1"/>
  <c r="R57" i="1"/>
  <c r="S57" i="1"/>
  <c r="T57" i="1"/>
  <c r="U57" i="1"/>
  <c r="V57" i="1"/>
  <c r="W57" i="1"/>
  <c r="X57" i="1"/>
  <c r="Y57" i="1"/>
  <c r="R58" i="1"/>
  <c r="S58" i="1"/>
  <c r="T58" i="1"/>
  <c r="U58" i="1"/>
  <c r="V58" i="1"/>
  <c r="W58" i="1"/>
  <c r="X58" i="1"/>
  <c r="Y58" i="1"/>
  <c r="R59" i="1"/>
  <c r="S59" i="1"/>
  <c r="T59" i="1"/>
  <c r="U59" i="1"/>
  <c r="V59" i="1"/>
  <c r="W59" i="1"/>
  <c r="X59" i="1"/>
  <c r="Y59" i="1"/>
  <c r="R60" i="1"/>
  <c r="S60" i="1"/>
  <c r="T60" i="1"/>
  <c r="U60" i="1"/>
  <c r="V60" i="1"/>
  <c r="W60" i="1"/>
  <c r="X60" i="1"/>
  <c r="Y60" i="1"/>
  <c r="R61" i="1"/>
  <c r="S61" i="1"/>
  <c r="T61" i="1"/>
  <c r="U61" i="1"/>
  <c r="V61" i="1"/>
  <c r="W61" i="1"/>
  <c r="X61" i="1"/>
  <c r="Y61" i="1"/>
  <c r="R62" i="1"/>
  <c r="S62" i="1"/>
  <c r="T62" i="1"/>
  <c r="U62" i="1"/>
  <c r="V62" i="1"/>
  <c r="W62" i="1"/>
  <c r="X62" i="1"/>
  <c r="Y62" i="1"/>
  <c r="R63" i="1"/>
  <c r="S63" i="1"/>
  <c r="T63" i="1"/>
  <c r="U63" i="1"/>
  <c r="V63" i="1"/>
  <c r="W63" i="1"/>
  <c r="X63" i="1"/>
  <c r="Y63" i="1"/>
  <c r="R64" i="1"/>
  <c r="S64" i="1"/>
  <c r="T64" i="1"/>
  <c r="U64" i="1"/>
  <c r="V64" i="1"/>
  <c r="W64" i="1"/>
  <c r="X64" i="1"/>
  <c r="Y64" i="1"/>
  <c r="R65" i="1"/>
  <c r="S65" i="1"/>
  <c r="T65" i="1"/>
  <c r="U65" i="1"/>
  <c r="V65" i="1"/>
  <c r="W65" i="1"/>
  <c r="X65" i="1"/>
  <c r="Y65" i="1"/>
  <c r="R66" i="1"/>
  <c r="S66" i="1"/>
  <c r="T66" i="1"/>
  <c r="U66" i="1"/>
  <c r="V66" i="1"/>
  <c r="W66" i="1"/>
  <c r="X66" i="1"/>
  <c r="Y66" i="1"/>
  <c r="R67" i="1"/>
  <c r="S67" i="1"/>
  <c r="T67" i="1"/>
  <c r="U67" i="1"/>
  <c r="V67" i="1"/>
  <c r="W67" i="1"/>
  <c r="X67" i="1"/>
  <c r="Y67" i="1"/>
  <c r="R68" i="1"/>
  <c r="S68" i="1"/>
  <c r="T68" i="1"/>
  <c r="U68" i="1"/>
  <c r="V68" i="1"/>
  <c r="W68" i="1"/>
  <c r="X68" i="1"/>
  <c r="Y68" i="1"/>
  <c r="R69" i="1"/>
  <c r="S69" i="1"/>
  <c r="T69" i="1"/>
  <c r="U69" i="1"/>
  <c r="V69" i="1"/>
  <c r="W69" i="1"/>
  <c r="X69" i="1"/>
  <c r="Y69" i="1"/>
  <c r="R70" i="1"/>
  <c r="S70" i="1"/>
  <c r="T70" i="1"/>
  <c r="U70" i="1"/>
  <c r="V70" i="1"/>
  <c r="W70" i="1"/>
  <c r="X70" i="1"/>
  <c r="Y70" i="1"/>
  <c r="R71" i="1"/>
  <c r="S71" i="1"/>
  <c r="T71" i="1"/>
  <c r="U71" i="1"/>
  <c r="V71" i="1"/>
  <c r="W71" i="1"/>
  <c r="X71" i="1"/>
  <c r="Y71" i="1"/>
  <c r="R72" i="1"/>
  <c r="S72" i="1"/>
  <c r="T72" i="1"/>
  <c r="U72" i="1"/>
  <c r="V72" i="1"/>
  <c r="W72" i="1"/>
  <c r="X72" i="1"/>
  <c r="Y72" i="1"/>
  <c r="R73" i="1"/>
  <c r="S73" i="1"/>
  <c r="T73" i="1"/>
  <c r="U73" i="1"/>
  <c r="V73" i="1"/>
  <c r="W73" i="1"/>
  <c r="X73" i="1"/>
  <c r="Y73" i="1"/>
  <c r="R74" i="1"/>
  <c r="S74" i="1"/>
  <c r="T74" i="1"/>
  <c r="U74" i="1"/>
  <c r="V74" i="1"/>
  <c r="W74" i="1"/>
  <c r="X74" i="1"/>
  <c r="Y74" i="1"/>
  <c r="R75" i="1"/>
  <c r="S75" i="1"/>
  <c r="T75" i="1"/>
  <c r="U75" i="1"/>
  <c r="V75" i="1"/>
  <c r="W75" i="1"/>
  <c r="X75" i="1"/>
  <c r="Y75" i="1"/>
  <c r="R76" i="1"/>
  <c r="S76" i="1"/>
  <c r="T76" i="1"/>
  <c r="U76" i="1"/>
  <c r="V76" i="1"/>
  <c r="W76" i="1"/>
  <c r="X76" i="1"/>
  <c r="Y76" i="1"/>
  <c r="R77" i="1"/>
  <c r="S77" i="1"/>
  <c r="T77" i="1"/>
  <c r="U77" i="1"/>
  <c r="V77" i="1"/>
  <c r="W77" i="1"/>
  <c r="X77" i="1"/>
  <c r="Y77" i="1"/>
  <c r="R78" i="1"/>
  <c r="S78" i="1"/>
  <c r="T78" i="1"/>
  <c r="U78" i="1"/>
  <c r="V78" i="1"/>
  <c r="W78" i="1"/>
  <c r="X78" i="1"/>
  <c r="Y78" i="1"/>
  <c r="R79" i="1"/>
  <c r="S79" i="1"/>
  <c r="T79" i="1"/>
  <c r="U79" i="1"/>
  <c r="V79" i="1"/>
  <c r="W79" i="1"/>
  <c r="X79" i="1"/>
  <c r="Y79" i="1"/>
  <c r="R80" i="1"/>
  <c r="S80" i="1"/>
  <c r="T80" i="1"/>
  <c r="U80" i="1"/>
  <c r="V80" i="1"/>
  <c r="W80" i="1"/>
  <c r="X80" i="1"/>
  <c r="Y80" i="1"/>
  <c r="R81" i="1"/>
  <c r="S81" i="1"/>
  <c r="T81" i="1"/>
  <c r="U81" i="1"/>
  <c r="V81" i="1"/>
  <c r="W81" i="1"/>
  <c r="X81" i="1"/>
  <c r="Y81" i="1"/>
  <c r="R82" i="1"/>
  <c r="S82" i="1"/>
  <c r="T82" i="1"/>
  <c r="U82" i="1"/>
  <c r="V82" i="1"/>
  <c r="W82" i="1"/>
  <c r="X82" i="1"/>
  <c r="Y82" i="1"/>
  <c r="R83" i="1"/>
  <c r="S83" i="1"/>
  <c r="T83" i="1"/>
  <c r="U83" i="1"/>
  <c r="V83" i="1"/>
  <c r="W83" i="1"/>
  <c r="X83" i="1"/>
  <c r="Y83" i="1"/>
  <c r="R84" i="1"/>
  <c r="S84" i="1"/>
  <c r="T84" i="1"/>
  <c r="U84" i="1"/>
  <c r="V84" i="1"/>
  <c r="W84" i="1"/>
  <c r="X84" i="1"/>
  <c r="Y84" i="1"/>
  <c r="R85" i="1"/>
  <c r="S85" i="1"/>
  <c r="T85" i="1"/>
  <c r="U85" i="1"/>
  <c r="V85" i="1"/>
  <c r="W85" i="1"/>
  <c r="X85" i="1"/>
  <c r="Y85" i="1"/>
  <c r="R86" i="1"/>
  <c r="S86" i="1"/>
  <c r="T86" i="1"/>
  <c r="U86" i="1"/>
  <c r="V86" i="1"/>
  <c r="W86" i="1"/>
  <c r="X86" i="1"/>
  <c r="Y86" i="1"/>
  <c r="R87" i="1"/>
  <c r="S87" i="1"/>
  <c r="T87" i="1"/>
  <c r="U87" i="1"/>
  <c r="V87" i="1"/>
  <c r="W87" i="1"/>
  <c r="X87" i="1"/>
  <c r="Y87" i="1"/>
  <c r="R88" i="1"/>
  <c r="S88" i="1"/>
  <c r="T88" i="1"/>
  <c r="U88" i="1"/>
  <c r="V88" i="1"/>
  <c r="W88" i="1"/>
  <c r="X88" i="1"/>
  <c r="Y88" i="1"/>
  <c r="R89" i="1"/>
  <c r="S89" i="1"/>
  <c r="T89" i="1"/>
  <c r="U89" i="1"/>
  <c r="V89" i="1"/>
  <c r="W89" i="1"/>
  <c r="X89" i="1"/>
  <c r="Y89" i="1"/>
  <c r="R90" i="1"/>
  <c r="S90" i="1"/>
  <c r="T90" i="1"/>
  <c r="U90" i="1"/>
  <c r="V90" i="1"/>
  <c r="W90" i="1"/>
  <c r="X90" i="1"/>
  <c r="Y90" i="1"/>
  <c r="R91" i="1"/>
  <c r="S91" i="1"/>
  <c r="T91" i="1"/>
  <c r="U91" i="1"/>
  <c r="V91" i="1"/>
  <c r="W91" i="1"/>
  <c r="X91" i="1"/>
  <c r="Y91" i="1"/>
  <c r="R92" i="1"/>
  <c r="S92" i="1"/>
  <c r="T92" i="1"/>
  <c r="U92" i="1"/>
  <c r="V92" i="1"/>
  <c r="W92" i="1"/>
  <c r="X92" i="1"/>
  <c r="Y92" i="1"/>
  <c r="R93" i="1"/>
  <c r="S93" i="1"/>
  <c r="T93" i="1"/>
  <c r="U93" i="1"/>
  <c r="V93" i="1"/>
  <c r="W93" i="1"/>
  <c r="X93" i="1"/>
  <c r="Y93" i="1"/>
  <c r="R94" i="1"/>
  <c r="S94" i="1"/>
  <c r="T94" i="1"/>
  <c r="U94" i="1"/>
  <c r="V94" i="1"/>
  <c r="W94" i="1"/>
  <c r="X94" i="1"/>
  <c r="Y94" i="1"/>
  <c r="R95" i="1"/>
  <c r="S95" i="1"/>
  <c r="T95" i="1"/>
  <c r="U95" i="1"/>
  <c r="V95" i="1"/>
  <c r="W95" i="1"/>
  <c r="X95" i="1"/>
  <c r="Y95" i="1"/>
  <c r="R96" i="1"/>
  <c r="S96" i="1"/>
  <c r="T96" i="1"/>
  <c r="U96" i="1"/>
  <c r="V96" i="1"/>
  <c r="W96" i="1"/>
  <c r="X96" i="1"/>
  <c r="Y96" i="1"/>
  <c r="R97" i="1"/>
  <c r="S97" i="1"/>
  <c r="T97" i="1"/>
  <c r="U97" i="1"/>
  <c r="V97" i="1"/>
  <c r="W97" i="1"/>
  <c r="X97" i="1"/>
  <c r="Y97" i="1"/>
  <c r="R98" i="1"/>
  <c r="S98" i="1"/>
  <c r="T98" i="1"/>
  <c r="U98" i="1"/>
  <c r="V98" i="1"/>
  <c r="W98" i="1"/>
  <c r="X98" i="1"/>
  <c r="Y98" i="1"/>
  <c r="R99" i="1"/>
  <c r="S99" i="1"/>
  <c r="T99" i="1"/>
  <c r="U99" i="1"/>
  <c r="V99" i="1"/>
  <c r="W99" i="1"/>
  <c r="X99" i="1"/>
  <c r="Y99" i="1"/>
  <c r="R100" i="1"/>
  <c r="S100" i="1"/>
  <c r="T100" i="1"/>
  <c r="U100" i="1"/>
  <c r="V100" i="1"/>
  <c r="W100" i="1"/>
  <c r="X100" i="1"/>
  <c r="Y100" i="1"/>
  <c r="S2" i="1"/>
  <c r="T2" i="1"/>
  <c r="U2" i="1"/>
  <c r="V2" i="1"/>
  <c r="W2" i="1"/>
  <c r="X2" i="1"/>
  <c r="Y2" i="1"/>
  <c r="DG7" i="1" l="1"/>
  <c r="DF100" i="1"/>
  <c r="DB99" i="1"/>
  <c r="FF99" i="1" s="1"/>
  <c r="DB18" i="1"/>
  <c r="FF18" i="1" s="1"/>
  <c r="DE100" i="1"/>
  <c r="DA99" i="1"/>
  <c r="DD91" i="1"/>
  <c r="FH91" i="1" s="1"/>
  <c r="DD73" i="1"/>
  <c r="FH73" i="1" s="1"/>
  <c r="DD55" i="1"/>
  <c r="FH55" i="1" s="1"/>
  <c r="DD37" i="1"/>
  <c r="FH37" i="1" s="1"/>
  <c r="DF98" i="1"/>
  <c r="FJ98" i="1" s="1"/>
  <c r="DA13" i="1"/>
  <c r="FE13" i="1" s="1"/>
  <c r="DF15" i="1"/>
  <c r="FJ15" i="1" s="1"/>
  <c r="DC2" i="1"/>
  <c r="FG2" i="1" s="1"/>
  <c r="DF97" i="1"/>
  <c r="FJ97" i="1" s="1"/>
  <c r="DB96" i="1"/>
  <c r="FF96" i="1" s="1"/>
  <c r="DF94" i="1"/>
  <c r="DB93" i="1"/>
  <c r="DF91" i="1"/>
  <c r="FJ91" i="1" s="1"/>
  <c r="DB90" i="1"/>
  <c r="FF90" i="1" s="1"/>
  <c r="DF88" i="1"/>
  <c r="FJ88" i="1" s="1"/>
  <c r="DB87" i="1"/>
  <c r="FF87" i="1" s="1"/>
  <c r="DF85" i="1"/>
  <c r="FJ85" i="1" s="1"/>
  <c r="DB84" i="1"/>
  <c r="FF84" i="1" s="1"/>
  <c r="DF82" i="1"/>
  <c r="FJ82" i="1" s="1"/>
  <c r="DB81" i="1"/>
  <c r="FF81" i="1" s="1"/>
  <c r="DF79" i="1"/>
  <c r="FJ79" i="1" s="1"/>
  <c r="DB78" i="1"/>
  <c r="FF78" i="1" s="1"/>
  <c r="DF76" i="1"/>
  <c r="DB75" i="1"/>
  <c r="DF73" i="1"/>
  <c r="FJ73" i="1" s="1"/>
  <c r="DB72" i="1"/>
  <c r="FF72" i="1" s="1"/>
  <c r="DF70" i="1"/>
  <c r="FJ70" i="1" s="1"/>
  <c r="DB69" i="1"/>
  <c r="FF69" i="1" s="1"/>
  <c r="DF67" i="1"/>
  <c r="FJ67" i="1" s="1"/>
  <c r="DB66" i="1"/>
  <c r="FF66" i="1" s="1"/>
  <c r="DF64" i="1"/>
  <c r="FJ64" i="1" s="1"/>
  <c r="DB63" i="1"/>
  <c r="FF63" i="1" s="1"/>
  <c r="DF61" i="1"/>
  <c r="FJ61" i="1" s="1"/>
  <c r="DB60" i="1"/>
  <c r="FF60" i="1" s="1"/>
  <c r="DF58" i="1"/>
  <c r="DB57" i="1"/>
  <c r="DF55" i="1"/>
  <c r="FJ55" i="1" s="1"/>
  <c r="DB54" i="1"/>
  <c r="FF54" i="1" s="1"/>
  <c r="DF52" i="1"/>
  <c r="FJ52" i="1" s="1"/>
  <c r="DB51" i="1"/>
  <c r="FF51" i="1" s="1"/>
  <c r="DF49" i="1"/>
  <c r="FJ49" i="1" s="1"/>
  <c r="DB48" i="1"/>
  <c r="FF48" i="1" s="1"/>
  <c r="DF46" i="1"/>
  <c r="FJ46" i="1" s="1"/>
  <c r="DB45" i="1"/>
  <c r="FF45" i="1" s="1"/>
  <c r="DF43" i="1"/>
  <c r="FJ43" i="1" s="1"/>
  <c r="DB42" i="1"/>
  <c r="FF42" i="1" s="1"/>
  <c r="DF40" i="1"/>
  <c r="FJ40" i="1" s="1"/>
  <c r="DB39" i="1"/>
  <c r="DF37" i="1"/>
  <c r="FJ37" i="1" s="1"/>
  <c r="DB36" i="1"/>
  <c r="FF36" i="1" s="1"/>
  <c r="DF34" i="1"/>
  <c r="FJ34" i="1" s="1"/>
  <c r="DB33" i="1"/>
  <c r="FF33" i="1" s="1"/>
  <c r="DF31" i="1"/>
  <c r="FJ31" i="1" s="1"/>
  <c r="DB30" i="1"/>
  <c r="FF30" i="1" s="1"/>
  <c r="DF28" i="1"/>
  <c r="FJ28" i="1" s="1"/>
  <c r="DB27" i="1"/>
  <c r="FF27" i="1" s="1"/>
  <c r="DF25" i="1"/>
  <c r="FJ25" i="1" s="1"/>
  <c r="DB24" i="1"/>
  <c r="FF24" i="1" s="1"/>
  <c r="DF22" i="1"/>
  <c r="DB21" i="1"/>
  <c r="DF16" i="1"/>
  <c r="FJ16" i="1" s="1"/>
  <c r="DB15" i="1"/>
  <c r="FF15" i="1" s="1"/>
  <c r="DF13" i="1"/>
  <c r="FJ13" i="1" s="1"/>
  <c r="DF10" i="1"/>
  <c r="FJ10" i="1" s="1"/>
  <c r="DB9" i="1"/>
  <c r="FF9" i="1" s="1"/>
  <c r="DF7" i="1"/>
  <c r="FJ7" i="1" s="1"/>
  <c r="DB6" i="1"/>
  <c r="FF6" i="1" s="1"/>
  <c r="DF4" i="1"/>
  <c r="FJ4" i="1" s="1"/>
  <c r="DB3" i="1"/>
  <c r="FF3" i="1" s="1"/>
  <c r="DE97" i="1"/>
  <c r="FI97" i="1" s="1"/>
  <c r="DA96" i="1"/>
  <c r="DE94" i="1"/>
  <c r="DA93" i="1"/>
  <c r="FE93" i="1" s="1"/>
  <c r="DE91" i="1"/>
  <c r="FI91" i="1" s="1"/>
  <c r="DA90" i="1"/>
  <c r="FE90" i="1" s="1"/>
  <c r="DE88" i="1"/>
  <c r="FI88" i="1" s="1"/>
  <c r="DA87" i="1"/>
  <c r="FE87" i="1" s="1"/>
  <c r="DE85" i="1"/>
  <c r="FI85" i="1" s="1"/>
  <c r="DA84" i="1"/>
  <c r="FE84" i="1" s="1"/>
  <c r="DE82" i="1"/>
  <c r="FI82" i="1" s="1"/>
  <c r="DA81" i="1"/>
  <c r="FE81" i="1" s="1"/>
  <c r="DE79" i="1"/>
  <c r="FI79" i="1" s="1"/>
  <c r="DA78" i="1"/>
  <c r="DE76" i="1"/>
  <c r="DA75" i="1"/>
  <c r="FE75" i="1" s="1"/>
  <c r="DE73" i="1"/>
  <c r="FI73" i="1" s="1"/>
  <c r="DA72" i="1"/>
  <c r="FE72" i="1" s="1"/>
  <c r="DE70" i="1"/>
  <c r="FI70" i="1" s="1"/>
  <c r="DA69" i="1"/>
  <c r="FE69" i="1" s="1"/>
  <c r="DE67" i="1"/>
  <c r="FI67" i="1" s="1"/>
  <c r="DA66" i="1"/>
  <c r="FE66" i="1" s="1"/>
  <c r="DE64" i="1"/>
  <c r="FI64" i="1" s="1"/>
  <c r="DA63" i="1"/>
  <c r="FE63" i="1" s="1"/>
  <c r="DE61" i="1"/>
  <c r="FI61" i="1" s="1"/>
  <c r="DA60" i="1"/>
  <c r="DE58" i="1"/>
  <c r="DA57" i="1"/>
  <c r="FE57" i="1" s="1"/>
  <c r="DE55" i="1"/>
  <c r="FI55" i="1" s="1"/>
  <c r="DA54" i="1"/>
  <c r="FE54" i="1" s="1"/>
  <c r="DE52" i="1"/>
  <c r="FI52" i="1" s="1"/>
  <c r="DA51" i="1"/>
  <c r="FE51" i="1" s="1"/>
  <c r="DE49" i="1"/>
  <c r="FI49" i="1" s="1"/>
  <c r="DA48" i="1"/>
  <c r="FE48" i="1" s="1"/>
  <c r="DE46" i="1"/>
  <c r="FI46" i="1" s="1"/>
  <c r="DA45" i="1"/>
  <c r="FE45" i="1" s="1"/>
  <c r="DE43" i="1"/>
  <c r="FI43" i="1" s="1"/>
  <c r="DA42" i="1"/>
  <c r="DE40" i="1"/>
  <c r="DA39" i="1"/>
  <c r="FE39" i="1" s="1"/>
  <c r="DE37" i="1"/>
  <c r="FI37" i="1" s="1"/>
  <c r="DA36" i="1"/>
  <c r="FE36" i="1" s="1"/>
  <c r="DE34" i="1"/>
  <c r="FI34" i="1" s="1"/>
  <c r="DA33" i="1"/>
  <c r="FE33" i="1" s="1"/>
  <c r="DE31" i="1"/>
  <c r="FI31" i="1" s="1"/>
  <c r="DA30" i="1"/>
  <c r="FE30" i="1" s="1"/>
  <c r="DE28" i="1"/>
  <c r="FI28" i="1" s="1"/>
  <c r="DA27" i="1"/>
  <c r="FE27" i="1" s="1"/>
  <c r="DE25" i="1"/>
  <c r="FI25" i="1" s="1"/>
  <c r="DA24" i="1"/>
  <c r="FE24" i="1" s="1"/>
  <c r="DE22" i="1"/>
  <c r="DD20" i="1"/>
  <c r="FH20" i="1" s="1"/>
  <c r="DD5" i="1"/>
  <c r="FH5" i="1" s="1"/>
  <c r="DD100" i="1"/>
  <c r="FH100" i="1" s="1"/>
  <c r="CZ99" i="1"/>
  <c r="FD99" i="1" s="1"/>
  <c r="DD97" i="1"/>
  <c r="FH97" i="1" s="1"/>
  <c r="CZ96" i="1"/>
  <c r="FD96" i="1" s="1"/>
  <c r="DD94" i="1"/>
  <c r="FH94" i="1" s="1"/>
  <c r="CZ93" i="1"/>
  <c r="FD93" i="1" s="1"/>
  <c r="CZ90" i="1"/>
  <c r="FD90" i="1" s="1"/>
  <c r="DD88" i="1"/>
  <c r="FH88" i="1" s="1"/>
  <c r="CZ87" i="1"/>
  <c r="DD85" i="1"/>
  <c r="CZ84" i="1"/>
  <c r="FD84" i="1" s="1"/>
  <c r="DD82" i="1"/>
  <c r="FH82" i="1" s="1"/>
  <c r="CZ81" i="1"/>
  <c r="FD81" i="1" s="1"/>
  <c r="DD79" i="1"/>
  <c r="FH79" i="1" s="1"/>
  <c r="CZ78" i="1"/>
  <c r="FD78" i="1" s="1"/>
  <c r="DD76" i="1"/>
  <c r="FH76" i="1" s="1"/>
  <c r="CZ75" i="1"/>
  <c r="FD75" i="1" s="1"/>
  <c r="CZ72" i="1"/>
  <c r="DD70" i="1"/>
  <c r="FH70" i="1" s="1"/>
  <c r="CZ69" i="1"/>
  <c r="DD67" i="1"/>
  <c r="FH67" i="1" s="1"/>
  <c r="CZ66" i="1"/>
  <c r="DD64" i="1"/>
  <c r="FH64" i="1" s="1"/>
  <c r="CZ63" i="1"/>
  <c r="FD63" i="1" s="1"/>
  <c r="DD61" i="1"/>
  <c r="FH61" i="1" s="1"/>
  <c r="CZ60" i="1"/>
  <c r="FD60" i="1" s="1"/>
  <c r="DD58" i="1"/>
  <c r="FH58" i="1" s="1"/>
  <c r="CZ57" i="1"/>
  <c r="FD57" i="1" s="1"/>
  <c r="CZ54" i="1"/>
  <c r="FD54" i="1" s="1"/>
  <c r="DD52" i="1"/>
  <c r="FH52" i="1" s="1"/>
  <c r="CZ51" i="1"/>
  <c r="FD51" i="1" s="1"/>
  <c r="DD49" i="1"/>
  <c r="FH49" i="1" s="1"/>
  <c r="CZ48" i="1"/>
  <c r="DD46" i="1"/>
  <c r="CZ45" i="1"/>
  <c r="FD45" i="1" s="1"/>
  <c r="DD43" i="1"/>
  <c r="FH43" i="1" s="1"/>
  <c r="CZ42" i="1"/>
  <c r="FD42" i="1" s="1"/>
  <c r="DD40" i="1"/>
  <c r="FH40" i="1" s="1"/>
  <c r="CZ39" i="1"/>
  <c r="FD39" i="1" s="1"/>
  <c r="CZ36" i="1"/>
  <c r="FD36" i="1" s="1"/>
  <c r="DD34" i="1"/>
  <c r="FH34" i="1" s="1"/>
  <c r="CZ33" i="1"/>
  <c r="FD33" i="1" s="1"/>
  <c r="DD31" i="1"/>
  <c r="FH31" i="1" s="1"/>
  <c r="CZ30" i="1"/>
  <c r="FD30" i="1" s="1"/>
  <c r="DD28" i="1"/>
  <c r="FH28" i="1" s="1"/>
  <c r="CZ27" i="1"/>
  <c r="DD25" i="1"/>
  <c r="FH25" i="1" s="1"/>
  <c r="CZ24" i="1"/>
  <c r="FD24" i="1" s="1"/>
  <c r="DD22" i="1"/>
  <c r="FH22" i="1" s="1"/>
  <c r="CZ21" i="1"/>
  <c r="FD21" i="1" s="1"/>
  <c r="DD19" i="1"/>
  <c r="FH19" i="1" s="1"/>
  <c r="CZ18" i="1"/>
  <c r="FD18" i="1" s="1"/>
  <c r="DD16" i="1"/>
  <c r="FH16" i="1" s="1"/>
  <c r="CZ15" i="1"/>
  <c r="FD15" i="1" s="1"/>
  <c r="DD13" i="1"/>
  <c r="FH13" i="1" s="1"/>
  <c r="CZ12" i="1"/>
  <c r="FD12" i="1" s="1"/>
  <c r="DD10" i="1"/>
  <c r="CZ9" i="1"/>
  <c r="DD7" i="1"/>
  <c r="FH7" i="1" s="1"/>
  <c r="CZ6" i="1"/>
  <c r="FD6" i="1" s="1"/>
  <c r="DD4" i="1"/>
  <c r="FH4" i="1" s="1"/>
  <c r="CZ3" i="1"/>
  <c r="FD3" i="1" s="1"/>
  <c r="DC100" i="1"/>
  <c r="FG100" i="1" s="1"/>
  <c r="DG98" i="1"/>
  <c r="FK98" i="1" s="1"/>
  <c r="DC97" i="1"/>
  <c r="FG97" i="1" s="1"/>
  <c r="DG95" i="1"/>
  <c r="FK95" i="1" s="1"/>
  <c r="DC94" i="1"/>
  <c r="FG94" i="1" s="1"/>
  <c r="DG92" i="1"/>
  <c r="DC91" i="1"/>
  <c r="FG91" i="1" s="1"/>
  <c r="DG89" i="1"/>
  <c r="DC88" i="1"/>
  <c r="FG88" i="1" s="1"/>
  <c r="DG86" i="1"/>
  <c r="FK86" i="1" s="1"/>
  <c r="DC85" i="1"/>
  <c r="FG85" i="1" s="1"/>
  <c r="DG83" i="1"/>
  <c r="FK83" i="1" s="1"/>
  <c r="DC82" i="1"/>
  <c r="FG82" i="1" s="1"/>
  <c r="DG80" i="1"/>
  <c r="DC79" i="1"/>
  <c r="FG79" i="1" s="1"/>
  <c r="DG77" i="1"/>
  <c r="FK77" i="1" s="1"/>
  <c r="DC76" i="1"/>
  <c r="FG76" i="1" s="1"/>
  <c r="DG74" i="1"/>
  <c r="FK74" i="1" s="1"/>
  <c r="DC73" i="1"/>
  <c r="DG71" i="1"/>
  <c r="DC70" i="1"/>
  <c r="FG70" i="1" s="1"/>
  <c r="DG68" i="1"/>
  <c r="FK68" i="1" s="1"/>
  <c r="DC67" i="1"/>
  <c r="FG67" i="1" s="1"/>
  <c r="DG65" i="1"/>
  <c r="FK65" i="1" s="1"/>
  <c r="DC64" i="1"/>
  <c r="FG64" i="1" s="1"/>
  <c r="DG62" i="1"/>
  <c r="FK62" i="1" s="1"/>
  <c r="DC61" i="1"/>
  <c r="FG61" i="1" s="1"/>
  <c r="DG59" i="1"/>
  <c r="FK59" i="1" s="1"/>
  <c r="DC58" i="1"/>
  <c r="FG58" i="1" s="1"/>
  <c r="DG56" i="1"/>
  <c r="DC55" i="1"/>
  <c r="DG53" i="1"/>
  <c r="FK53" i="1" s="1"/>
  <c r="DC52" i="1"/>
  <c r="FG52" i="1" s="1"/>
  <c r="DG50" i="1"/>
  <c r="FK50" i="1" s="1"/>
  <c r="DC49" i="1"/>
  <c r="FG49" i="1" s="1"/>
  <c r="DG47" i="1"/>
  <c r="FK47" i="1" s="1"/>
  <c r="DC46" i="1"/>
  <c r="FG46" i="1" s="1"/>
  <c r="DG44" i="1"/>
  <c r="FK44" i="1" s="1"/>
  <c r="DC43" i="1"/>
  <c r="FG43" i="1" s="1"/>
  <c r="DG41" i="1"/>
  <c r="FK41" i="1" s="1"/>
  <c r="DC40" i="1"/>
  <c r="FG40" i="1" s="1"/>
  <c r="DG38" i="1"/>
  <c r="FK38" i="1" s="1"/>
  <c r="DC37" i="1"/>
  <c r="DG35" i="1"/>
  <c r="DC34" i="1"/>
  <c r="FG34" i="1" s="1"/>
  <c r="DG32" i="1"/>
  <c r="FK32" i="1" s="1"/>
  <c r="DC31" i="1"/>
  <c r="FG31" i="1" s="1"/>
  <c r="DG29" i="1"/>
  <c r="FK29" i="1" s="1"/>
  <c r="DC28" i="1"/>
  <c r="FG28" i="1" s="1"/>
  <c r="DG26" i="1"/>
  <c r="FK26" i="1" s="1"/>
  <c r="DC25" i="1"/>
  <c r="FG25" i="1" s="1"/>
  <c r="DG23" i="1"/>
  <c r="FK23" i="1" s="1"/>
  <c r="DC22" i="1"/>
  <c r="FG22" i="1" s="1"/>
  <c r="DG20" i="1"/>
  <c r="FK20" i="1" s="1"/>
  <c r="DC19" i="1"/>
  <c r="FG19" i="1" s="1"/>
  <c r="DG17" i="1"/>
  <c r="DC16" i="1"/>
  <c r="FG16" i="1" s="1"/>
  <c r="DG14" i="1"/>
  <c r="FK14" i="1" s="1"/>
  <c r="DC13" i="1"/>
  <c r="FG13" i="1" s="1"/>
  <c r="DG11" i="1"/>
  <c r="FK11" i="1" s="1"/>
  <c r="DC10" i="1"/>
  <c r="FG10" i="1" s="1"/>
  <c r="DG8" i="1"/>
  <c r="FK8" i="1" s="1"/>
  <c r="DC7" i="1"/>
  <c r="FG7" i="1" s="1"/>
  <c r="DG5" i="1"/>
  <c r="FK5" i="1" s="1"/>
  <c r="DC4" i="1"/>
  <c r="FG4" i="1" s="1"/>
  <c r="DB97" i="1"/>
  <c r="DF95" i="1"/>
  <c r="DB94" i="1"/>
  <c r="DF92" i="1"/>
  <c r="FJ92" i="1" s="1"/>
  <c r="DB91" i="1"/>
  <c r="FF91" i="1" s="1"/>
  <c r="DF89" i="1"/>
  <c r="FJ89" i="1" s="1"/>
  <c r="DB88" i="1"/>
  <c r="FF88" i="1" s="1"/>
  <c r="DF86" i="1"/>
  <c r="FJ86" i="1" s="1"/>
  <c r="DB85" i="1"/>
  <c r="FF85" i="1" s="1"/>
  <c r="DF83" i="1"/>
  <c r="FJ83" i="1" s="1"/>
  <c r="DB82" i="1"/>
  <c r="FF82" i="1" s="1"/>
  <c r="DF80" i="1"/>
  <c r="FJ80" i="1" s="1"/>
  <c r="DB79" i="1"/>
  <c r="FF79" i="1" s="1"/>
  <c r="DF77" i="1"/>
  <c r="DB76" i="1"/>
  <c r="DF74" i="1"/>
  <c r="FJ74" i="1" s="1"/>
  <c r="DB73" i="1"/>
  <c r="FF73" i="1" s="1"/>
  <c r="DF71" i="1"/>
  <c r="FJ71" i="1" s="1"/>
  <c r="DB70" i="1"/>
  <c r="FF70" i="1" s="1"/>
  <c r="DF68" i="1"/>
  <c r="FJ68" i="1" s="1"/>
  <c r="DB67" i="1"/>
  <c r="FF67" i="1" s="1"/>
  <c r="DF65" i="1"/>
  <c r="FJ65" i="1" s="1"/>
  <c r="DB64" i="1"/>
  <c r="FF64" i="1" s="1"/>
  <c r="DF62" i="1"/>
  <c r="FJ62" i="1" s="1"/>
  <c r="DB61" i="1"/>
  <c r="FF61" i="1" s="1"/>
  <c r="DF59" i="1"/>
  <c r="DB58" i="1"/>
  <c r="DF56" i="1"/>
  <c r="FJ56" i="1" s="1"/>
  <c r="DB55" i="1"/>
  <c r="FF55" i="1" s="1"/>
  <c r="DF53" i="1"/>
  <c r="FJ53" i="1" s="1"/>
  <c r="DB52" i="1"/>
  <c r="FF52" i="1" s="1"/>
  <c r="DF50" i="1"/>
  <c r="FJ50" i="1" s="1"/>
  <c r="DB49" i="1"/>
  <c r="FF49" i="1" s="1"/>
  <c r="DF47" i="1"/>
  <c r="FJ47" i="1" s="1"/>
  <c r="DB46" i="1"/>
  <c r="FF46" i="1" s="1"/>
  <c r="DF44" i="1"/>
  <c r="FJ44" i="1" s="1"/>
  <c r="DB43" i="1"/>
  <c r="DF41" i="1"/>
  <c r="FJ41" i="1" s="1"/>
  <c r="DB40" i="1"/>
  <c r="DF38" i="1"/>
  <c r="FJ38" i="1" s="1"/>
  <c r="DB37" i="1"/>
  <c r="FF37" i="1" s="1"/>
  <c r="DF35" i="1"/>
  <c r="FJ35" i="1" s="1"/>
  <c r="DB34" i="1"/>
  <c r="FF34" i="1" s="1"/>
  <c r="DF32" i="1"/>
  <c r="FJ32" i="1" s="1"/>
  <c r="DB31" i="1"/>
  <c r="FF31" i="1" s="1"/>
  <c r="DF29" i="1"/>
  <c r="FJ29" i="1" s="1"/>
  <c r="DB28" i="1"/>
  <c r="FF28" i="1" s="1"/>
  <c r="DF26" i="1"/>
  <c r="FJ26" i="1" s="1"/>
  <c r="DB25" i="1"/>
  <c r="FF25" i="1" s="1"/>
  <c r="DF23" i="1"/>
  <c r="DB22" i="1"/>
  <c r="DB100" i="1"/>
  <c r="FF100" i="1" s="1"/>
  <c r="DA100" i="1"/>
  <c r="FE100" i="1" s="1"/>
  <c r="DE98" i="1"/>
  <c r="FI98" i="1" s="1"/>
  <c r="DA97" i="1"/>
  <c r="FE97" i="1" s="1"/>
  <c r="DE95" i="1"/>
  <c r="FI95" i="1" s="1"/>
  <c r="DA94" i="1"/>
  <c r="FE94" i="1" s="1"/>
  <c r="DE92" i="1"/>
  <c r="FI92" i="1" s="1"/>
  <c r="DA91" i="1"/>
  <c r="FE91" i="1" s="1"/>
  <c r="DE89" i="1"/>
  <c r="FI89" i="1" s="1"/>
  <c r="DA88" i="1"/>
  <c r="FE88" i="1" s="1"/>
  <c r="DE86" i="1"/>
  <c r="FI86" i="1" s="1"/>
  <c r="DA85" i="1"/>
  <c r="DE83" i="1"/>
  <c r="FI83" i="1" s="1"/>
  <c r="DA82" i="1"/>
  <c r="FE82" i="1" s="1"/>
  <c r="DE80" i="1"/>
  <c r="FI80" i="1" s="1"/>
  <c r="DA79" i="1"/>
  <c r="FE79" i="1" s="1"/>
  <c r="DE77" i="1"/>
  <c r="FI77" i="1" s="1"/>
  <c r="DA76" i="1"/>
  <c r="FE76" i="1" s="1"/>
  <c r="DE74" i="1"/>
  <c r="FI74" i="1" s="1"/>
  <c r="DA73" i="1"/>
  <c r="FE73" i="1" s="1"/>
  <c r="DE71" i="1"/>
  <c r="FI71" i="1" s="1"/>
  <c r="DA70" i="1"/>
  <c r="FE70" i="1" s="1"/>
  <c r="DE68" i="1"/>
  <c r="FI68" i="1" s="1"/>
  <c r="DA67" i="1"/>
  <c r="DE65" i="1"/>
  <c r="FI65" i="1" s="1"/>
  <c r="DA64" i="1"/>
  <c r="FE64" i="1" s="1"/>
  <c r="DE62" i="1"/>
  <c r="FI62" i="1" s="1"/>
  <c r="DA61" i="1"/>
  <c r="FE61" i="1" s="1"/>
  <c r="DE59" i="1"/>
  <c r="FI59" i="1" s="1"/>
  <c r="DA58" i="1"/>
  <c r="FE58" i="1" s="1"/>
  <c r="DE56" i="1"/>
  <c r="FI56" i="1" s="1"/>
  <c r="DA55" i="1"/>
  <c r="FE55" i="1" s="1"/>
  <c r="DE53" i="1"/>
  <c r="FI53" i="1" s="1"/>
  <c r="DA52" i="1"/>
  <c r="FE52" i="1" s="1"/>
  <c r="DE50" i="1"/>
  <c r="FI50" i="1" s="1"/>
  <c r="DA49" i="1"/>
  <c r="DE47" i="1"/>
  <c r="FI47" i="1" s="1"/>
  <c r="DA46" i="1"/>
  <c r="FE46" i="1" s="1"/>
  <c r="DE44" i="1"/>
  <c r="FI44" i="1" s="1"/>
  <c r="DA43" i="1"/>
  <c r="FE43" i="1" s="1"/>
  <c r="DE41" i="1"/>
  <c r="FI41" i="1" s="1"/>
  <c r="DA40" i="1"/>
  <c r="FE40" i="1" s="1"/>
  <c r="DE38" i="1"/>
  <c r="FI38" i="1" s="1"/>
  <c r="DA37" i="1"/>
  <c r="FE37" i="1" s="1"/>
  <c r="DE35" i="1"/>
  <c r="FI35" i="1" s="1"/>
  <c r="DA34" i="1"/>
  <c r="FE34" i="1" s="1"/>
  <c r="DE32" i="1"/>
  <c r="FI32" i="1" s="1"/>
  <c r="DA31" i="1"/>
  <c r="DE29" i="1"/>
  <c r="FI29" i="1" s="1"/>
  <c r="DA28" i="1"/>
  <c r="FE28" i="1" s="1"/>
  <c r="DE26" i="1"/>
  <c r="FI26" i="1" s="1"/>
  <c r="DA25" i="1"/>
  <c r="FE25" i="1" s="1"/>
  <c r="DE23" i="1"/>
  <c r="FI23" i="1" s="1"/>
  <c r="DA22" i="1"/>
  <c r="FE22" i="1" s="1"/>
  <c r="DE20" i="1"/>
  <c r="FI20" i="1" s="1"/>
  <c r="DA19" i="1"/>
  <c r="FE19" i="1" s="1"/>
  <c r="DE17" i="1"/>
  <c r="FI17" i="1" s="1"/>
  <c r="DA16" i="1"/>
  <c r="FE16" i="1" s="1"/>
  <c r="DE14" i="1"/>
  <c r="FI14" i="1" s="1"/>
  <c r="DE11" i="1"/>
  <c r="FI11" i="1" s="1"/>
  <c r="DA10" i="1"/>
  <c r="FE10" i="1" s="1"/>
  <c r="DE8" i="1"/>
  <c r="FI8" i="1" s="1"/>
  <c r="DA7" i="1"/>
  <c r="FE7" i="1" s="1"/>
  <c r="DE5" i="1"/>
  <c r="FI5" i="1" s="1"/>
  <c r="DA4" i="1"/>
  <c r="FE4" i="1" s="1"/>
  <c r="DG2" i="1"/>
  <c r="FK2" i="1" s="1"/>
  <c r="DF19" i="1"/>
  <c r="FJ19" i="1" s="1"/>
  <c r="DB12" i="1"/>
  <c r="FF12" i="1" s="1"/>
  <c r="DF99" i="1"/>
  <c r="FJ99" i="1" s="1"/>
  <c r="DB98" i="1"/>
  <c r="FF98" i="1" s="1"/>
  <c r="DF96" i="1"/>
  <c r="DB95" i="1"/>
  <c r="DF93" i="1"/>
  <c r="FJ93" i="1" s="1"/>
  <c r="DB92" i="1"/>
  <c r="FF92" i="1" s="1"/>
  <c r="DF90" i="1"/>
  <c r="FJ90" i="1" s="1"/>
  <c r="DB89" i="1"/>
  <c r="FF89" i="1" s="1"/>
  <c r="DF87" i="1"/>
  <c r="FJ87" i="1" s="1"/>
  <c r="DB86" i="1"/>
  <c r="FF86" i="1" s="1"/>
  <c r="DF84" i="1"/>
  <c r="FJ84" i="1" s="1"/>
  <c r="DB83" i="1"/>
  <c r="FF83" i="1" s="1"/>
  <c r="DF81" i="1"/>
  <c r="FJ81" i="1" s="1"/>
  <c r="DB80" i="1"/>
  <c r="FF80" i="1" s="1"/>
  <c r="DF78" i="1"/>
  <c r="FJ78" i="1" s="1"/>
  <c r="DB77" i="1"/>
  <c r="DF75" i="1"/>
  <c r="FJ75" i="1" s="1"/>
  <c r="DB74" i="1"/>
  <c r="FF74" i="1" s="1"/>
  <c r="DF72" i="1"/>
  <c r="FJ72" i="1" s="1"/>
  <c r="DB71" i="1"/>
  <c r="FF71" i="1" s="1"/>
  <c r="DF69" i="1"/>
  <c r="FJ69" i="1" s="1"/>
  <c r="DB68" i="1"/>
  <c r="FF68" i="1" s="1"/>
  <c r="DF66" i="1"/>
  <c r="FJ66" i="1" s="1"/>
  <c r="DB65" i="1"/>
  <c r="FF65" i="1" s="1"/>
  <c r="DF63" i="1"/>
  <c r="FJ63" i="1" s="1"/>
  <c r="DB62" i="1"/>
  <c r="FF62" i="1" s="1"/>
  <c r="DF60" i="1"/>
  <c r="FJ60" i="1" s="1"/>
  <c r="DB59" i="1"/>
  <c r="DF57" i="1"/>
  <c r="FJ57" i="1" s="1"/>
  <c r="DB56" i="1"/>
  <c r="FF56" i="1" s="1"/>
  <c r="DF54" i="1"/>
  <c r="FJ54" i="1" s="1"/>
  <c r="DB53" i="1"/>
  <c r="FF53" i="1" s="1"/>
  <c r="DF51" i="1"/>
  <c r="FJ51" i="1" s="1"/>
  <c r="DB50" i="1"/>
  <c r="FF50" i="1" s="1"/>
  <c r="DF48" i="1"/>
  <c r="FJ48" i="1" s="1"/>
  <c r="DB47" i="1"/>
  <c r="FF47" i="1" s="1"/>
  <c r="DF45" i="1"/>
  <c r="FJ45" i="1" s="1"/>
  <c r="DB44" i="1"/>
  <c r="FF44" i="1" s="1"/>
  <c r="DF42" i="1"/>
  <c r="FJ42" i="1" s="1"/>
  <c r="DB41" i="1"/>
  <c r="DF39" i="1"/>
  <c r="FJ39" i="1" s="1"/>
  <c r="DB38" i="1"/>
  <c r="FF38" i="1" s="1"/>
  <c r="DF36" i="1"/>
  <c r="FJ36" i="1" s="1"/>
  <c r="DB35" i="1"/>
  <c r="FF35" i="1" s="1"/>
  <c r="DF33" i="1"/>
  <c r="FJ33" i="1" s="1"/>
  <c r="DB32" i="1"/>
  <c r="FF32" i="1" s="1"/>
  <c r="DF30" i="1"/>
  <c r="FJ30" i="1" s="1"/>
  <c r="DB29" i="1"/>
  <c r="FF29" i="1" s="1"/>
  <c r="DF27" i="1"/>
  <c r="FJ27" i="1" s="1"/>
  <c r="DB26" i="1"/>
  <c r="FF26" i="1" s="1"/>
  <c r="DF24" i="1"/>
  <c r="FJ24" i="1" s="1"/>
  <c r="DB23" i="1"/>
  <c r="FF23" i="1" s="1"/>
  <c r="DF21" i="1"/>
  <c r="FJ21" i="1" s="1"/>
  <c r="DB20" i="1"/>
  <c r="FF20" i="1" s="1"/>
  <c r="DF18" i="1"/>
  <c r="FJ18" i="1" s="1"/>
  <c r="DB17" i="1"/>
  <c r="FF17" i="1" s="1"/>
  <c r="DB14" i="1"/>
  <c r="FF14" i="1" s="1"/>
  <c r="DF12" i="1"/>
  <c r="FJ12" i="1" s="1"/>
  <c r="DB11" i="1"/>
  <c r="FF11" i="1" s="1"/>
  <c r="DB8" i="1"/>
  <c r="FF8" i="1" s="1"/>
  <c r="DF6" i="1"/>
  <c r="FJ6" i="1" s="1"/>
  <c r="DB5" i="1"/>
  <c r="FF5" i="1" s="1"/>
  <c r="DF3" i="1"/>
  <c r="FJ3" i="1" s="1"/>
  <c r="DF9" i="1"/>
  <c r="FJ9" i="1" s="1"/>
  <c r="DD2" i="1"/>
  <c r="FH2" i="1" s="1"/>
  <c r="DE99" i="1"/>
  <c r="FI99" i="1" s="1"/>
  <c r="DA98" i="1"/>
  <c r="FE98" i="1" s="1"/>
  <c r="DE96" i="1"/>
  <c r="FI96" i="1" s="1"/>
  <c r="DA95" i="1"/>
  <c r="FE95" i="1" s="1"/>
  <c r="DE93" i="1"/>
  <c r="FI93" i="1" s="1"/>
  <c r="DA92" i="1"/>
  <c r="FE92" i="1" s="1"/>
  <c r="DE90" i="1"/>
  <c r="FI90" i="1" s="1"/>
  <c r="DA89" i="1"/>
  <c r="FE89" i="1" s="1"/>
  <c r="DE87" i="1"/>
  <c r="FI87" i="1" s="1"/>
  <c r="DA86" i="1"/>
  <c r="FE86" i="1" s="1"/>
  <c r="DE84" i="1"/>
  <c r="FI84" i="1" s="1"/>
  <c r="DA83" i="1"/>
  <c r="FE83" i="1" s="1"/>
  <c r="DE81" i="1"/>
  <c r="FI81" i="1" s="1"/>
  <c r="DA80" i="1"/>
  <c r="FE80" i="1" s="1"/>
  <c r="DE78" i="1"/>
  <c r="FI78" i="1" s="1"/>
  <c r="DA77" i="1"/>
  <c r="FE77" i="1" s="1"/>
  <c r="DE75" i="1"/>
  <c r="FI75" i="1" s="1"/>
  <c r="DA74" i="1"/>
  <c r="FE74" i="1" s="1"/>
  <c r="DE72" i="1"/>
  <c r="FI72" i="1" s="1"/>
  <c r="DA71" i="1"/>
  <c r="FE71" i="1" s="1"/>
  <c r="DE69" i="1"/>
  <c r="FI69" i="1" s="1"/>
  <c r="DA68" i="1"/>
  <c r="FE68" i="1" s="1"/>
  <c r="DE66" i="1"/>
  <c r="FI66" i="1" s="1"/>
  <c r="DA65" i="1"/>
  <c r="FE65" i="1" s="1"/>
  <c r="DE63" i="1"/>
  <c r="FI63" i="1" s="1"/>
  <c r="DA62" i="1"/>
  <c r="FE62" i="1" s="1"/>
  <c r="DE60" i="1"/>
  <c r="FI60" i="1" s="1"/>
  <c r="DA59" i="1"/>
  <c r="FE59" i="1" s="1"/>
  <c r="DE57" i="1"/>
  <c r="FI57" i="1" s="1"/>
  <c r="DA56" i="1"/>
  <c r="FE56" i="1" s="1"/>
  <c r="DE54" i="1"/>
  <c r="FI54" i="1" s="1"/>
  <c r="DA53" i="1"/>
  <c r="FE53" i="1" s="1"/>
  <c r="DE51" i="1"/>
  <c r="FI51" i="1" s="1"/>
  <c r="DA50" i="1"/>
  <c r="FE50" i="1" s="1"/>
  <c r="DE48" i="1"/>
  <c r="DA47" i="1"/>
  <c r="FE47" i="1" s="1"/>
  <c r="DE45" i="1"/>
  <c r="FI45" i="1" s="1"/>
  <c r="DA44" i="1"/>
  <c r="FE44" i="1" s="1"/>
  <c r="DE42" i="1"/>
  <c r="FI42" i="1" s="1"/>
  <c r="DA41" i="1"/>
  <c r="FE41" i="1" s="1"/>
  <c r="DE39" i="1"/>
  <c r="FI39" i="1" s="1"/>
  <c r="DA38" i="1"/>
  <c r="FE38" i="1" s="1"/>
  <c r="DE36" i="1"/>
  <c r="FI36" i="1" s="1"/>
  <c r="DA35" i="1"/>
  <c r="FE35" i="1" s="1"/>
  <c r="DE33" i="1"/>
  <c r="FI33" i="1" s="1"/>
  <c r="DA32" i="1"/>
  <c r="FE32" i="1" s="1"/>
  <c r="DE30" i="1"/>
  <c r="FI30" i="1" s="1"/>
  <c r="DA29" i="1"/>
  <c r="FE29" i="1" s="1"/>
  <c r="DE27" i="1"/>
  <c r="FI27" i="1" s="1"/>
  <c r="DA26" i="1"/>
  <c r="FE26" i="1" s="1"/>
  <c r="DE24" i="1"/>
  <c r="FI24" i="1" s="1"/>
  <c r="DA23" i="1"/>
  <c r="FE23" i="1" s="1"/>
  <c r="CZ2" i="1"/>
  <c r="DD99" i="1"/>
  <c r="FH99" i="1" s="1"/>
  <c r="CZ98" i="1"/>
  <c r="FD98" i="1" s="1"/>
  <c r="DD96" i="1"/>
  <c r="FH96" i="1" s="1"/>
  <c r="CZ95" i="1"/>
  <c r="FD95" i="1" s="1"/>
  <c r="DD93" i="1"/>
  <c r="FH93" i="1" s="1"/>
  <c r="CZ92" i="1"/>
  <c r="DD90" i="1"/>
  <c r="FH90" i="1" s="1"/>
  <c r="CZ89" i="1"/>
  <c r="FD89" i="1" s="1"/>
  <c r="DD87" i="1"/>
  <c r="FH87" i="1" s="1"/>
  <c r="CZ86" i="1"/>
  <c r="FD86" i="1" s="1"/>
  <c r="DD84" i="1"/>
  <c r="FH84" i="1" s="1"/>
  <c r="CZ83" i="1"/>
  <c r="FD83" i="1" s="1"/>
  <c r="DD81" i="1"/>
  <c r="FH81" i="1" s="1"/>
  <c r="CZ80" i="1"/>
  <c r="FD80" i="1" s="1"/>
  <c r="DD78" i="1"/>
  <c r="FH78" i="1" s="1"/>
  <c r="CZ77" i="1"/>
  <c r="FD77" i="1" s="1"/>
  <c r="DD75" i="1"/>
  <c r="FH75" i="1" s="1"/>
  <c r="CZ74" i="1"/>
  <c r="FD74" i="1" s="1"/>
  <c r="DD72" i="1"/>
  <c r="FH72" i="1" s="1"/>
  <c r="CZ71" i="1"/>
  <c r="FD71" i="1" s="1"/>
  <c r="DD69" i="1"/>
  <c r="FH69" i="1" s="1"/>
  <c r="CZ68" i="1"/>
  <c r="FD68" i="1" s="1"/>
  <c r="DD66" i="1"/>
  <c r="FH66" i="1" s="1"/>
  <c r="CZ65" i="1"/>
  <c r="FD65" i="1" s="1"/>
  <c r="DD63" i="1"/>
  <c r="FH63" i="1" s="1"/>
  <c r="CZ62" i="1"/>
  <c r="FD62" i="1" s="1"/>
  <c r="DD60" i="1"/>
  <c r="FH60" i="1" s="1"/>
  <c r="CZ59" i="1"/>
  <c r="FD59" i="1" s="1"/>
  <c r="DD57" i="1"/>
  <c r="FH57" i="1" s="1"/>
  <c r="CZ56" i="1"/>
  <c r="DD54" i="1"/>
  <c r="FH54" i="1" s="1"/>
  <c r="CZ53" i="1"/>
  <c r="FD53" i="1" s="1"/>
  <c r="DD51" i="1"/>
  <c r="FH51" i="1" s="1"/>
  <c r="CZ50" i="1"/>
  <c r="FD50" i="1" s="1"/>
  <c r="DD48" i="1"/>
  <c r="FH48" i="1" s="1"/>
  <c r="CZ47" i="1"/>
  <c r="FD47" i="1" s="1"/>
  <c r="DD45" i="1"/>
  <c r="FH45" i="1" s="1"/>
  <c r="CZ44" i="1"/>
  <c r="FD44" i="1" s="1"/>
  <c r="DD42" i="1"/>
  <c r="FH42" i="1" s="1"/>
  <c r="CZ41" i="1"/>
  <c r="FD41" i="1" s="1"/>
  <c r="DD39" i="1"/>
  <c r="FH39" i="1" s="1"/>
  <c r="CZ38" i="1"/>
  <c r="FD38" i="1" s="1"/>
  <c r="DD36" i="1"/>
  <c r="FH36" i="1" s="1"/>
  <c r="CZ35" i="1"/>
  <c r="FD35" i="1" s="1"/>
  <c r="DD33" i="1"/>
  <c r="FH33" i="1" s="1"/>
  <c r="CZ32" i="1"/>
  <c r="FD32" i="1" s="1"/>
  <c r="DD30" i="1"/>
  <c r="FH30" i="1" s="1"/>
  <c r="CZ29" i="1"/>
  <c r="FD29" i="1" s="1"/>
  <c r="DD27" i="1"/>
  <c r="FH27" i="1" s="1"/>
  <c r="CZ26" i="1"/>
  <c r="FD26" i="1" s="1"/>
  <c r="DD24" i="1"/>
  <c r="FH24" i="1" s="1"/>
  <c r="CZ23" i="1"/>
  <c r="FD23" i="1" s="1"/>
  <c r="DD21" i="1"/>
  <c r="CZ20" i="1"/>
  <c r="FD20" i="1" s="1"/>
  <c r="DD18" i="1"/>
  <c r="FH18" i="1" s="1"/>
  <c r="DG100" i="1"/>
  <c r="FK100" i="1" s="1"/>
  <c r="DC99" i="1"/>
  <c r="FG99" i="1" s="1"/>
  <c r="DG97" i="1"/>
  <c r="FK97" i="1" s="1"/>
  <c r="DC96" i="1"/>
  <c r="FG96" i="1" s="1"/>
  <c r="DG94" i="1"/>
  <c r="FK94" i="1" s="1"/>
  <c r="DC93" i="1"/>
  <c r="FG93" i="1" s="1"/>
  <c r="DG91" i="1"/>
  <c r="FK91" i="1" s="1"/>
  <c r="DC90" i="1"/>
  <c r="FG90" i="1" s="1"/>
  <c r="DG88" i="1"/>
  <c r="FK88" i="1" s="1"/>
  <c r="DC87" i="1"/>
  <c r="FG87" i="1" s="1"/>
  <c r="DG85" i="1"/>
  <c r="FK85" i="1" s="1"/>
  <c r="DC84" i="1"/>
  <c r="FG84" i="1" s="1"/>
  <c r="DG82" i="1"/>
  <c r="FK82" i="1" s="1"/>
  <c r="DC81" i="1"/>
  <c r="FG81" i="1" s="1"/>
  <c r="DG79" i="1"/>
  <c r="FK79" i="1" s="1"/>
  <c r="DC78" i="1"/>
  <c r="FG78" i="1" s="1"/>
  <c r="DG76" i="1"/>
  <c r="FK76" i="1" s="1"/>
  <c r="DC75" i="1"/>
  <c r="FG75" i="1" s="1"/>
  <c r="DG73" i="1"/>
  <c r="FK73" i="1" s="1"/>
  <c r="DC72" i="1"/>
  <c r="FG72" i="1" s="1"/>
  <c r="DG70" i="1"/>
  <c r="FK70" i="1" s="1"/>
  <c r="DC69" i="1"/>
  <c r="FG69" i="1" s="1"/>
  <c r="DG67" i="1"/>
  <c r="FK67" i="1" s="1"/>
  <c r="DC66" i="1"/>
  <c r="FG66" i="1" s="1"/>
  <c r="DG64" i="1"/>
  <c r="FK64" i="1" s="1"/>
  <c r="DC63" i="1"/>
  <c r="FG63" i="1" s="1"/>
  <c r="DG61" i="1"/>
  <c r="FK61" i="1" s="1"/>
  <c r="DC60" i="1"/>
  <c r="FG60" i="1" s="1"/>
  <c r="DG58" i="1"/>
  <c r="FK58" i="1" s="1"/>
  <c r="DC57" i="1"/>
  <c r="FG57" i="1" s="1"/>
  <c r="DG55" i="1"/>
  <c r="FK55" i="1" s="1"/>
  <c r="DC54" i="1"/>
  <c r="FG54" i="1" s="1"/>
  <c r="DG52" i="1"/>
  <c r="FK52" i="1" s="1"/>
  <c r="DC51" i="1"/>
  <c r="FG51" i="1" s="1"/>
  <c r="DG49" i="1"/>
  <c r="DC48" i="1"/>
  <c r="FG48" i="1" s="1"/>
  <c r="DG46" i="1"/>
  <c r="FK46" i="1" s="1"/>
  <c r="DC45" i="1"/>
  <c r="FG45" i="1" s="1"/>
  <c r="DG43" i="1"/>
  <c r="FK43" i="1" s="1"/>
  <c r="DC42" i="1"/>
  <c r="FG42" i="1" s="1"/>
  <c r="DG40" i="1"/>
  <c r="FK40" i="1" s="1"/>
  <c r="DC39" i="1"/>
  <c r="FG39" i="1" s="1"/>
  <c r="DG37" i="1"/>
  <c r="FK37" i="1" s="1"/>
  <c r="DC36" i="1"/>
  <c r="FG36" i="1" s="1"/>
  <c r="DG34" i="1"/>
  <c r="FK34" i="1" s="1"/>
  <c r="DC33" i="1"/>
  <c r="FG33" i="1" s="1"/>
  <c r="DG31" i="1"/>
  <c r="FK31" i="1" s="1"/>
  <c r="DC30" i="1"/>
  <c r="FG30" i="1" s="1"/>
  <c r="DG28" i="1"/>
  <c r="FK28" i="1" s="1"/>
  <c r="DC27" i="1"/>
  <c r="FG27" i="1" s="1"/>
  <c r="DG25" i="1"/>
  <c r="FK25" i="1" s="1"/>
  <c r="DC24" i="1"/>
  <c r="FG24" i="1" s="1"/>
  <c r="DG22" i="1"/>
  <c r="FK22" i="1" s="1"/>
  <c r="DC21" i="1"/>
  <c r="FG21" i="1" s="1"/>
  <c r="DG19" i="1"/>
  <c r="FK19" i="1" s="1"/>
  <c r="DC18" i="1"/>
  <c r="FG18" i="1" s="1"/>
  <c r="DG16" i="1"/>
  <c r="FK16" i="1" s="1"/>
  <c r="DC15" i="1"/>
  <c r="FG15" i="1" s="1"/>
  <c r="DG13" i="1"/>
  <c r="FK13" i="1" s="1"/>
  <c r="DC12" i="1"/>
  <c r="FG12" i="1" s="1"/>
  <c r="DG10" i="1"/>
  <c r="FK10" i="1" s="1"/>
  <c r="DC9" i="1"/>
  <c r="FG9" i="1" s="1"/>
  <c r="DC6" i="1"/>
  <c r="FG6" i="1" s="1"/>
  <c r="DG4" i="1"/>
  <c r="FK4" i="1" s="1"/>
  <c r="DC3" i="1"/>
  <c r="FG3" i="1" s="1"/>
  <c r="CZ100" i="1"/>
  <c r="FD100" i="1" s="1"/>
  <c r="DD98" i="1"/>
  <c r="FH98" i="1" s="1"/>
  <c r="CZ97" i="1"/>
  <c r="FD97" i="1" s="1"/>
  <c r="DD95" i="1"/>
  <c r="FH95" i="1" s="1"/>
  <c r="CZ94" i="1"/>
  <c r="FD94" i="1" s="1"/>
  <c r="DD92" i="1"/>
  <c r="FH92" i="1" s="1"/>
  <c r="CZ91" i="1"/>
  <c r="FD91" i="1" s="1"/>
  <c r="DD89" i="1"/>
  <c r="FH89" i="1" s="1"/>
  <c r="CZ88" i="1"/>
  <c r="FD88" i="1" s="1"/>
  <c r="DD86" i="1"/>
  <c r="FH86" i="1" s="1"/>
  <c r="CZ85" i="1"/>
  <c r="FD85" i="1" s="1"/>
  <c r="DD83" i="1"/>
  <c r="FH83" i="1" s="1"/>
  <c r="CZ82" i="1"/>
  <c r="FD82" i="1" s="1"/>
  <c r="DD80" i="1"/>
  <c r="FH80" i="1" s="1"/>
  <c r="CZ79" i="1"/>
  <c r="FD79" i="1" s="1"/>
  <c r="DD77" i="1"/>
  <c r="FH77" i="1" s="1"/>
  <c r="CZ76" i="1"/>
  <c r="FD76" i="1" s="1"/>
  <c r="DD74" i="1"/>
  <c r="FH74" i="1" s="1"/>
  <c r="CZ73" i="1"/>
  <c r="FD73" i="1" s="1"/>
  <c r="DD71" i="1"/>
  <c r="FH71" i="1" s="1"/>
  <c r="CZ70" i="1"/>
  <c r="FD70" i="1" s="1"/>
  <c r="DD68" i="1"/>
  <c r="FH68" i="1" s="1"/>
  <c r="CZ67" i="1"/>
  <c r="FD67" i="1" s="1"/>
  <c r="DD65" i="1"/>
  <c r="FH65" i="1" s="1"/>
  <c r="CZ64" i="1"/>
  <c r="FD64" i="1" s="1"/>
  <c r="DD62" i="1"/>
  <c r="FH62" i="1" s="1"/>
  <c r="CZ61" i="1"/>
  <c r="FD61" i="1" s="1"/>
  <c r="DD59" i="1"/>
  <c r="FH59" i="1" s="1"/>
  <c r="CZ58" i="1"/>
  <c r="DD56" i="1"/>
  <c r="FH56" i="1" s="1"/>
  <c r="CZ55" i="1"/>
  <c r="FD55" i="1" s="1"/>
  <c r="DD53" i="1"/>
  <c r="FH53" i="1" s="1"/>
  <c r="CZ52" i="1"/>
  <c r="FD52" i="1" s="1"/>
  <c r="DD50" i="1"/>
  <c r="FH50" i="1" s="1"/>
  <c r="CZ49" i="1"/>
  <c r="FD49" i="1" s="1"/>
  <c r="DD47" i="1"/>
  <c r="FH47" i="1" s="1"/>
  <c r="CZ46" i="1"/>
  <c r="FD46" i="1" s="1"/>
  <c r="DD44" i="1"/>
  <c r="FH44" i="1" s="1"/>
  <c r="CZ43" i="1"/>
  <c r="FD43" i="1" s="1"/>
  <c r="DD41" i="1"/>
  <c r="FH41" i="1" s="1"/>
  <c r="CZ40" i="1"/>
  <c r="FD40" i="1" s="1"/>
  <c r="DD38" i="1"/>
  <c r="FH38" i="1" s="1"/>
  <c r="CZ37" i="1"/>
  <c r="FD37" i="1" s="1"/>
  <c r="DD35" i="1"/>
  <c r="FH35" i="1" s="1"/>
  <c r="CZ34" i="1"/>
  <c r="FD34" i="1" s="1"/>
  <c r="DD32" i="1"/>
  <c r="FH32" i="1" s="1"/>
  <c r="CZ31" i="1"/>
  <c r="FD31" i="1" s="1"/>
  <c r="DD29" i="1"/>
  <c r="FH29" i="1" s="1"/>
  <c r="CZ28" i="1"/>
  <c r="FD28" i="1" s="1"/>
  <c r="DD26" i="1"/>
  <c r="FH26" i="1" s="1"/>
  <c r="CZ25" i="1"/>
  <c r="FD25" i="1" s="1"/>
  <c r="DD23" i="1"/>
  <c r="FH23" i="1" s="1"/>
  <c r="CZ22" i="1"/>
  <c r="FD22" i="1" s="1"/>
  <c r="CZ19" i="1"/>
  <c r="FD19" i="1" s="1"/>
  <c r="DD17" i="1"/>
  <c r="FH17" i="1" s="1"/>
  <c r="CZ16" i="1"/>
  <c r="FD16" i="1" s="1"/>
  <c r="DD14" i="1"/>
  <c r="FH14" i="1" s="1"/>
  <c r="CZ13" i="1"/>
  <c r="FD13" i="1" s="1"/>
  <c r="DD11" i="1"/>
  <c r="FH11" i="1" s="1"/>
  <c r="CZ10" i="1"/>
  <c r="FD10" i="1" s="1"/>
  <c r="DD8" i="1"/>
  <c r="FH8" i="1" s="1"/>
  <c r="CZ7" i="1"/>
  <c r="FD7" i="1" s="1"/>
  <c r="CZ4" i="1"/>
  <c r="FD4" i="1" s="1"/>
  <c r="DG99" i="1"/>
  <c r="FK99" i="1" s="1"/>
  <c r="DC98" i="1"/>
  <c r="FG98" i="1" s="1"/>
  <c r="DG96" i="1"/>
  <c r="DC95" i="1"/>
  <c r="FG95" i="1" s="1"/>
  <c r="DG93" i="1"/>
  <c r="FK93" i="1" s="1"/>
  <c r="DC92" i="1"/>
  <c r="FG92" i="1" s="1"/>
  <c r="DG90" i="1"/>
  <c r="FK90" i="1" s="1"/>
  <c r="DC89" i="1"/>
  <c r="FG89" i="1" s="1"/>
  <c r="DG87" i="1"/>
  <c r="FK87" i="1" s="1"/>
  <c r="DC86" i="1"/>
  <c r="FG86" i="1" s="1"/>
  <c r="DG84" i="1"/>
  <c r="FK84" i="1" s="1"/>
  <c r="DC83" i="1"/>
  <c r="FG83" i="1" s="1"/>
  <c r="DG81" i="1"/>
  <c r="FK81" i="1" s="1"/>
  <c r="DC80" i="1"/>
  <c r="FG80" i="1" s="1"/>
  <c r="DG78" i="1"/>
  <c r="FK78" i="1" s="1"/>
  <c r="DC77" i="1"/>
  <c r="FG77" i="1" s="1"/>
  <c r="DG75" i="1"/>
  <c r="FK75" i="1" s="1"/>
  <c r="DC74" i="1"/>
  <c r="FG74" i="1" s="1"/>
  <c r="DG72" i="1"/>
  <c r="FK72" i="1" s="1"/>
  <c r="DC71" i="1"/>
  <c r="FG71" i="1" s="1"/>
  <c r="DG69" i="1"/>
  <c r="FK69" i="1" s="1"/>
  <c r="DC68" i="1"/>
  <c r="FG68" i="1" s="1"/>
  <c r="DG66" i="1"/>
  <c r="FK66" i="1" s="1"/>
  <c r="DC65" i="1"/>
  <c r="FG65" i="1" s="1"/>
  <c r="DG63" i="1"/>
  <c r="FK63" i="1" s="1"/>
  <c r="DC62" i="1"/>
  <c r="FG62" i="1" s="1"/>
  <c r="DG60" i="1"/>
  <c r="FK60" i="1" s="1"/>
  <c r="DC59" i="1"/>
  <c r="FG59" i="1" s="1"/>
  <c r="DG57" i="1"/>
  <c r="FK57" i="1" s="1"/>
  <c r="DC56" i="1"/>
  <c r="FG56" i="1" s="1"/>
  <c r="DG54" i="1"/>
  <c r="FK54" i="1" s="1"/>
  <c r="DC53" i="1"/>
  <c r="FG53" i="1" s="1"/>
  <c r="DG51" i="1"/>
  <c r="FK51" i="1" s="1"/>
  <c r="DC50" i="1"/>
  <c r="FG50" i="1" s="1"/>
  <c r="DG48" i="1"/>
  <c r="FK48" i="1" s="1"/>
  <c r="DC47" i="1"/>
  <c r="FG47" i="1" s="1"/>
  <c r="DG45" i="1"/>
  <c r="FK45" i="1" s="1"/>
  <c r="DC44" i="1"/>
  <c r="FG44" i="1" s="1"/>
  <c r="DG42" i="1"/>
  <c r="FK42" i="1" s="1"/>
  <c r="DC41" i="1"/>
  <c r="FG41" i="1" s="1"/>
  <c r="DG39" i="1"/>
  <c r="FK39" i="1" s="1"/>
  <c r="DC38" i="1"/>
  <c r="FG38" i="1" s="1"/>
  <c r="DG36" i="1"/>
  <c r="FK36" i="1" s="1"/>
  <c r="DC35" i="1"/>
  <c r="FG35" i="1" s="1"/>
  <c r="DG33" i="1"/>
  <c r="FK33" i="1" s="1"/>
  <c r="DC32" i="1"/>
  <c r="FG32" i="1" s="1"/>
  <c r="DG30" i="1"/>
  <c r="FK30" i="1" s="1"/>
  <c r="DC29" i="1"/>
  <c r="FG29" i="1" s="1"/>
  <c r="DG27" i="1"/>
  <c r="FK27" i="1" s="1"/>
  <c r="DC26" i="1"/>
  <c r="FG26" i="1" s="1"/>
  <c r="DG24" i="1"/>
  <c r="FK24" i="1" s="1"/>
  <c r="DC23" i="1"/>
  <c r="FG23" i="1" s="1"/>
  <c r="DF20" i="1"/>
  <c r="FJ20" i="1" s="1"/>
  <c r="DB19" i="1"/>
  <c r="FF19" i="1" s="1"/>
  <c r="DF17" i="1"/>
  <c r="FJ17" i="1" s="1"/>
  <c r="DB16" i="1"/>
  <c r="FF16" i="1" s="1"/>
  <c r="DF14" i="1"/>
  <c r="FJ14" i="1" s="1"/>
  <c r="DB13" i="1"/>
  <c r="FF13" i="1" s="1"/>
  <c r="DF11" i="1"/>
  <c r="FJ11" i="1" s="1"/>
  <c r="DB10" i="1"/>
  <c r="FF10" i="1" s="1"/>
  <c r="DF8" i="1"/>
  <c r="FJ8" i="1" s="1"/>
  <c r="DB7" i="1"/>
  <c r="FF7" i="1" s="1"/>
  <c r="DF5" i="1"/>
  <c r="FJ5" i="1" s="1"/>
  <c r="DB4" i="1"/>
  <c r="FF4" i="1" s="1"/>
  <c r="DF2" i="1"/>
  <c r="FJ2" i="1" s="1"/>
  <c r="DE2" i="1"/>
  <c r="FI2" i="1" s="1"/>
  <c r="DG21" i="1"/>
  <c r="FK21" i="1" s="1"/>
  <c r="DC20" i="1"/>
  <c r="FG20" i="1" s="1"/>
  <c r="DG18" i="1"/>
  <c r="FK18" i="1" s="1"/>
  <c r="DC17" i="1"/>
  <c r="FG17" i="1" s="1"/>
  <c r="DG15" i="1"/>
  <c r="FK15" i="1" s="1"/>
  <c r="DC14" i="1"/>
  <c r="FG14" i="1" s="1"/>
  <c r="DG12" i="1"/>
  <c r="FK12" i="1" s="1"/>
  <c r="DC11" i="1"/>
  <c r="FG11" i="1" s="1"/>
  <c r="DG9" i="1"/>
  <c r="FK9" i="1" s="1"/>
  <c r="DC8" i="1"/>
  <c r="FG8" i="1" s="1"/>
  <c r="DG6" i="1"/>
  <c r="FK6" i="1" s="1"/>
  <c r="DC5" i="1"/>
  <c r="FG5" i="1" s="1"/>
  <c r="DG3" i="1"/>
  <c r="FK3" i="1" s="1"/>
  <c r="DE21" i="1"/>
  <c r="FI21" i="1" s="1"/>
  <c r="DA20" i="1"/>
  <c r="FE20" i="1" s="1"/>
  <c r="DE18" i="1"/>
  <c r="FI18" i="1" s="1"/>
  <c r="DA17" i="1"/>
  <c r="FE17" i="1" s="1"/>
  <c r="DE15" i="1"/>
  <c r="FI15" i="1" s="1"/>
  <c r="DA14" i="1"/>
  <c r="FE14" i="1" s="1"/>
  <c r="DE12" i="1"/>
  <c r="FI12" i="1" s="1"/>
  <c r="DA11" i="1"/>
  <c r="FE11" i="1" s="1"/>
  <c r="DE9" i="1"/>
  <c r="FI9" i="1" s="1"/>
  <c r="DA8" i="1"/>
  <c r="FE8" i="1" s="1"/>
  <c r="DE6" i="1"/>
  <c r="FI6" i="1" s="1"/>
  <c r="DA5" i="1"/>
  <c r="FE5" i="1" s="1"/>
  <c r="DE3" i="1"/>
  <c r="FI3" i="1" s="1"/>
  <c r="DB2" i="1"/>
  <c r="FF2" i="1" s="1"/>
  <c r="CZ17" i="1"/>
  <c r="FD17" i="1" s="1"/>
  <c r="DD15" i="1"/>
  <c r="FH15" i="1" s="1"/>
  <c r="CZ14" i="1"/>
  <c r="FD14" i="1" s="1"/>
  <c r="DD12" i="1"/>
  <c r="FH12" i="1" s="1"/>
  <c r="CZ11" i="1"/>
  <c r="FD11" i="1" s="1"/>
  <c r="DD9" i="1"/>
  <c r="FH9" i="1" s="1"/>
  <c r="CZ8" i="1"/>
  <c r="FD8" i="1" s="1"/>
  <c r="DD6" i="1"/>
  <c r="FH6" i="1" s="1"/>
  <c r="CZ5" i="1"/>
  <c r="FD5" i="1" s="1"/>
  <c r="DD3" i="1"/>
  <c r="FH3" i="1" s="1"/>
  <c r="DA2" i="1"/>
  <c r="FE2" i="1" s="1"/>
  <c r="DA21" i="1"/>
  <c r="FE21" i="1" s="1"/>
  <c r="DE19" i="1"/>
  <c r="FI19" i="1" s="1"/>
  <c r="DA18" i="1"/>
  <c r="FE18" i="1" s="1"/>
  <c r="DE16" i="1"/>
  <c r="FI16" i="1" s="1"/>
  <c r="DA15" i="1"/>
  <c r="FE15" i="1" s="1"/>
  <c r="DE13" i="1"/>
  <c r="FI13" i="1" s="1"/>
  <c r="DA12" i="1"/>
  <c r="FE12" i="1" s="1"/>
  <c r="DE10" i="1"/>
  <c r="FI10" i="1" s="1"/>
  <c r="DA9" i="1"/>
  <c r="FE9" i="1" s="1"/>
  <c r="DE7" i="1"/>
  <c r="FI7" i="1" s="1"/>
  <c r="DA6" i="1"/>
  <c r="FE6" i="1" s="1"/>
  <c r="DE4" i="1"/>
  <c r="FI4" i="1" s="1"/>
  <c r="DA3" i="1"/>
  <c r="FE3" i="1" s="1"/>
  <c r="C18" i="5"/>
  <c r="C17" i="5"/>
  <c r="C19" i="5"/>
  <c r="C22" i="5"/>
  <c r="C23" i="5"/>
  <c r="FK7" i="1"/>
  <c r="FD9" i="1"/>
  <c r="FH10" i="1"/>
  <c r="FK17" i="1"/>
  <c r="FF21" i="1"/>
  <c r="FH21" i="1"/>
  <c r="FF22" i="1"/>
  <c r="FI22" i="1"/>
  <c r="FJ22" i="1"/>
  <c r="FJ23" i="1"/>
  <c r="FD27" i="1"/>
  <c r="FE31" i="1"/>
  <c r="FK35" i="1"/>
  <c r="FG37" i="1"/>
  <c r="FF39" i="1"/>
  <c r="FF40" i="1"/>
  <c r="FI40" i="1"/>
  <c r="FF41" i="1"/>
  <c r="FE42" i="1"/>
  <c r="FF43" i="1"/>
  <c r="FH46" i="1"/>
  <c r="FD48" i="1"/>
  <c r="FI48" i="1"/>
  <c r="FE49" i="1"/>
  <c r="FK49" i="1"/>
  <c r="FG55" i="1"/>
  <c r="FD56" i="1"/>
  <c r="FK56" i="1"/>
  <c r="FF57" i="1"/>
  <c r="FD58" i="1"/>
  <c r="FF58" i="1"/>
  <c r="FI58" i="1"/>
  <c r="FJ58" i="1"/>
  <c r="FF59" i="1"/>
  <c r="FJ59" i="1"/>
  <c r="FE60" i="1"/>
  <c r="FD66" i="1"/>
  <c r="FE67" i="1"/>
  <c r="FD69" i="1"/>
  <c r="FK71" i="1"/>
  <c r="FD72" i="1"/>
  <c r="FG73" i="1"/>
  <c r="FF75" i="1"/>
  <c r="FF76" i="1"/>
  <c r="FI76" i="1"/>
  <c r="FJ76" i="1"/>
  <c r="FF77" i="1"/>
  <c r="FJ77" i="1"/>
  <c r="FE78" i="1"/>
  <c r="FK80" i="1"/>
  <c r="FE85" i="1"/>
  <c r="FH85" i="1"/>
  <c r="FD87" i="1"/>
  <c r="FK89" i="1"/>
  <c r="FD92" i="1"/>
  <c r="FK92" i="1"/>
  <c r="FF93" i="1"/>
  <c r="FF94" i="1"/>
  <c r="FI94" i="1"/>
  <c r="FJ94" i="1"/>
  <c r="FF95" i="1"/>
  <c r="FJ95" i="1"/>
  <c r="FE96" i="1"/>
  <c r="FJ96" i="1"/>
  <c r="FK96" i="1"/>
  <c r="FF97" i="1"/>
  <c r="FE99" i="1"/>
  <c r="FI100" i="1"/>
  <c r="FJ100" i="1"/>
  <c r="FD2" i="1" l="1"/>
  <c r="B32" i="5"/>
  <c r="B31" i="5"/>
  <c r="B36" i="5" s="1"/>
  <c r="B34" i="5" l="1"/>
  <c r="B38" i="5" s="1"/>
  <c r="B35" i="5" l="1"/>
  <c r="B39" i="5" s="1"/>
  <c r="D34" i="5"/>
  <c r="D35" i="5" s="1"/>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1006" i="6"/>
  <c r="O1007" i="6"/>
  <c r="O1008" i="6"/>
  <c r="O1009" i="6"/>
  <c r="O1010" i="6"/>
  <c r="O1011" i="6"/>
  <c r="O1012" i="6"/>
  <c r="O1013" i="6"/>
  <c r="O1014" i="6"/>
  <c r="O1015" i="6"/>
  <c r="O1016" i="6"/>
  <c r="O1017" i="6"/>
  <c r="O1018" i="6"/>
  <c r="O1019" i="6"/>
  <c r="O1020" i="6"/>
  <c r="O1021" i="6"/>
  <c r="O1022" i="6"/>
  <c r="O1023" i="6"/>
  <c r="O1024" i="6"/>
  <c r="O1025" i="6"/>
  <c r="O1026" i="6"/>
  <c r="O1027" i="6"/>
  <c r="O1028" i="6"/>
  <c r="O1029" i="6"/>
  <c r="O1030" i="6"/>
  <c r="O1031" i="6"/>
  <c r="O1032" i="6"/>
  <c r="O1033" i="6"/>
  <c r="O1034" i="6"/>
  <c r="O1035" i="6"/>
  <c r="O1036" i="6"/>
  <c r="O1037" i="6"/>
  <c r="O1038" i="6"/>
  <c r="O1039" i="6"/>
  <c r="O1040" i="6"/>
  <c r="O1041" i="6"/>
  <c r="O1042" i="6"/>
  <c r="O1043" i="6"/>
  <c r="O1044" i="6"/>
  <c r="O1045" i="6"/>
  <c r="O1046" i="6"/>
  <c r="O1047" i="6"/>
  <c r="O1048" i="6"/>
  <c r="O1049" i="6"/>
  <c r="O1050" i="6"/>
  <c r="O1051" i="6"/>
  <c r="O1052" i="6"/>
  <c r="O1053" i="6"/>
  <c r="O1054" i="6"/>
  <c r="O1055" i="6"/>
  <c r="O1056" i="6"/>
  <c r="O1057" i="6"/>
  <c r="O1058" i="6"/>
  <c r="O1059" i="6"/>
  <c r="O1060" i="6"/>
  <c r="O1061" i="6"/>
  <c r="O1062" i="6"/>
  <c r="O1063" i="6"/>
  <c r="O1064" i="6"/>
  <c r="O1065" i="6"/>
  <c r="O1066" i="6"/>
  <c r="O1067" i="6"/>
  <c r="O1068" i="6"/>
  <c r="O1069" i="6"/>
  <c r="O1070" i="6"/>
  <c r="O1071" i="6"/>
  <c r="O1072" i="6"/>
  <c r="O1073" i="6"/>
  <c r="O1074" i="6"/>
  <c r="O1075" i="6"/>
  <c r="O1076" i="6"/>
  <c r="O1077" i="6"/>
  <c r="O1078" i="6"/>
  <c r="O1079" i="6"/>
  <c r="O1080" i="6"/>
  <c r="O1081" i="6"/>
  <c r="O1082" i="6"/>
  <c r="O1083" i="6"/>
  <c r="O1084" i="6"/>
  <c r="O1085" i="6"/>
  <c r="O1086" i="6"/>
  <c r="O1087" i="6"/>
  <c r="O1088" i="6"/>
  <c r="O1089" i="6"/>
  <c r="O1090" i="6"/>
  <c r="O1091" i="6"/>
  <c r="O1092" i="6"/>
  <c r="O1093" i="6"/>
  <c r="O1094" i="6"/>
  <c r="O1095" i="6"/>
  <c r="O1096" i="6"/>
  <c r="O1097" i="6"/>
  <c r="O1098" i="6"/>
  <c r="O1099" i="6"/>
  <c r="O1100" i="6"/>
  <c r="O1101" i="6"/>
  <c r="O1102" i="6"/>
  <c r="O1103" i="6"/>
  <c r="O1104" i="6"/>
  <c r="O1105" i="6"/>
  <c r="O1106" i="6"/>
  <c r="O1107" i="6"/>
  <c r="O1108" i="6"/>
  <c r="O1109" i="6"/>
  <c r="O1110" i="6"/>
  <c r="O1111" i="6"/>
  <c r="O1112" i="6"/>
  <c r="O1113" i="6"/>
  <c r="O1114" i="6"/>
  <c r="O1115" i="6"/>
  <c r="O1116" i="6"/>
  <c r="O1117" i="6"/>
  <c r="O1118" i="6"/>
  <c r="O1119" i="6"/>
  <c r="O1120" i="6"/>
  <c r="O1121" i="6"/>
  <c r="O1122" i="6"/>
  <c r="O1123" i="6"/>
  <c r="O1124" i="6"/>
  <c r="O1125" i="6"/>
  <c r="O1126" i="6"/>
  <c r="O1127" i="6"/>
  <c r="O1128" i="6"/>
  <c r="O1129" i="6"/>
  <c r="O1130" i="6"/>
  <c r="O1131" i="6"/>
  <c r="O1132" i="6"/>
  <c r="O1133" i="6"/>
  <c r="O1134" i="6"/>
  <c r="O1135" i="6"/>
  <c r="O1136" i="6"/>
  <c r="O1137" i="6"/>
  <c r="O1138" i="6"/>
  <c r="O1139" i="6"/>
  <c r="O1140" i="6"/>
  <c r="O1141" i="6"/>
  <c r="O1142" i="6"/>
  <c r="O1143" i="6"/>
  <c r="O1144" i="6"/>
  <c r="O1145" i="6"/>
  <c r="O1146" i="6"/>
  <c r="O1147" i="6"/>
  <c r="O1148" i="6"/>
  <c r="O1149" i="6"/>
  <c r="O1150" i="6"/>
  <c r="O1151" i="6"/>
  <c r="O1152" i="6"/>
  <c r="O1153" i="6"/>
  <c r="O1154" i="6"/>
  <c r="O1155" i="6"/>
  <c r="O1156" i="6"/>
  <c r="O1157" i="6"/>
  <c r="O1158" i="6"/>
  <c r="O1159" i="6"/>
  <c r="O1160" i="6"/>
  <c r="O1161" i="6"/>
  <c r="O1162" i="6"/>
  <c r="O1163" i="6"/>
  <c r="O1164" i="6"/>
  <c r="O1165" i="6"/>
  <c r="O1166" i="6"/>
  <c r="O1167" i="6"/>
  <c r="O1168" i="6"/>
  <c r="O1169" i="6"/>
  <c r="O1170" i="6"/>
  <c r="O1171" i="6"/>
  <c r="O1172" i="6"/>
  <c r="O1173" i="6"/>
  <c r="O1174" i="6"/>
  <c r="O1175" i="6"/>
  <c r="O1176" i="6"/>
  <c r="O1177" i="6"/>
  <c r="O1178" i="6"/>
  <c r="O1179" i="6"/>
  <c r="O1180" i="6"/>
  <c r="O1181" i="6"/>
  <c r="O1182" i="6"/>
  <c r="O1183" i="6"/>
  <c r="O1184" i="6"/>
  <c r="O1185" i="6"/>
  <c r="O1186" i="6"/>
  <c r="O1187" i="6"/>
  <c r="O1188" i="6"/>
  <c r="O1189" i="6"/>
  <c r="O1190" i="6"/>
  <c r="O1191" i="6"/>
  <c r="O1192" i="6"/>
  <c r="O1193" i="6"/>
  <c r="O1194" i="6"/>
  <c r="O1195" i="6"/>
  <c r="O1196" i="6"/>
  <c r="O1197" i="6"/>
  <c r="O1198" i="6"/>
  <c r="O1199" i="6"/>
  <c r="O1200" i="6"/>
  <c r="O1201" i="6"/>
  <c r="O1202" i="6"/>
  <c r="O1203" i="6"/>
  <c r="O1204" i="6"/>
  <c r="O1205" i="6"/>
  <c r="O1206" i="6"/>
  <c r="O1207" i="6"/>
  <c r="O1208" i="6"/>
  <c r="O1209" i="6"/>
  <c r="O1210" i="6"/>
  <c r="O1211" i="6"/>
  <c r="O1212" i="6"/>
  <c r="O1213" i="6"/>
  <c r="O1214" i="6"/>
  <c r="O1215" i="6"/>
  <c r="O1216" i="6"/>
  <c r="O1217" i="6"/>
  <c r="O1218" i="6"/>
  <c r="O1219" i="6"/>
  <c r="O1220" i="6"/>
  <c r="O1221" i="6"/>
  <c r="O1222" i="6"/>
  <c r="O1223" i="6"/>
  <c r="O1224" i="6"/>
  <c r="O1225" i="6"/>
  <c r="O1226" i="6"/>
  <c r="O1227" i="6"/>
  <c r="O1228" i="6"/>
  <c r="O1229" i="6"/>
  <c r="O1230" i="6"/>
  <c r="O1231" i="6"/>
  <c r="O1232" i="6"/>
  <c r="O1233" i="6"/>
  <c r="O1234" i="6"/>
  <c r="O1235" i="6"/>
  <c r="O1236" i="6"/>
  <c r="O1237" i="6"/>
  <c r="O1238" i="6"/>
  <c r="O1239" i="6"/>
  <c r="O1240" i="6"/>
  <c r="O1241" i="6"/>
  <c r="O1242" i="6"/>
  <c r="O1243" i="6"/>
  <c r="O1244" i="6"/>
  <c r="O1245" i="6"/>
  <c r="O1246" i="6"/>
  <c r="O1247" i="6"/>
  <c r="O1248" i="6"/>
  <c r="O1249" i="6"/>
  <c r="O1250" i="6"/>
  <c r="O1251" i="6"/>
  <c r="O1252" i="6"/>
  <c r="O1253" i="6"/>
  <c r="O1254" i="6"/>
  <c r="O1255" i="6"/>
  <c r="O1256" i="6"/>
  <c r="O1257" i="6"/>
  <c r="O1258" i="6"/>
  <c r="O1259" i="6"/>
  <c r="O1260" i="6"/>
  <c r="O1261" i="6"/>
  <c r="O1262" i="6"/>
  <c r="O1263" i="6"/>
  <c r="O1264" i="6"/>
  <c r="O1265" i="6"/>
  <c r="O1266" i="6"/>
  <c r="O1267" i="6"/>
  <c r="O1268" i="6"/>
  <c r="O1269" i="6"/>
  <c r="O1270" i="6"/>
  <c r="O1271" i="6"/>
  <c r="O1272" i="6"/>
  <c r="O1273" i="6"/>
  <c r="O1274" i="6"/>
  <c r="O1275" i="6"/>
  <c r="O1276" i="6"/>
  <c r="O1277" i="6"/>
  <c r="O1278" i="6"/>
  <c r="O1279" i="6"/>
  <c r="O1280" i="6"/>
  <c r="O1281" i="6"/>
  <c r="O1282" i="6"/>
  <c r="O1283" i="6"/>
  <c r="O1284" i="6"/>
  <c r="O1285" i="6"/>
  <c r="O1286" i="6"/>
  <c r="O1287" i="6"/>
  <c r="O1288" i="6"/>
  <c r="O1289" i="6"/>
  <c r="O1290" i="6"/>
  <c r="O1291" i="6"/>
  <c r="O1292" i="6"/>
  <c r="O1293" i="6"/>
  <c r="O1294" i="6"/>
  <c r="O1295" i="6"/>
  <c r="O1296" i="6"/>
  <c r="O1297" i="6"/>
  <c r="O1298" i="6"/>
  <c r="O1299" i="6"/>
  <c r="O1300" i="6"/>
  <c r="O1301" i="6"/>
  <c r="O1302" i="6"/>
  <c r="O1303" i="6"/>
  <c r="O1304" i="6"/>
  <c r="O1305" i="6"/>
  <c r="O1306" i="6"/>
  <c r="O1307" i="6"/>
  <c r="O1308" i="6"/>
  <c r="O1309" i="6"/>
  <c r="O1310" i="6"/>
  <c r="O1311" i="6"/>
  <c r="O1312" i="6"/>
  <c r="O1313" i="6"/>
  <c r="O1314" i="6"/>
  <c r="O1315" i="6"/>
  <c r="O1316" i="6"/>
  <c r="O1317" i="6"/>
  <c r="O1318" i="6"/>
  <c r="O1319" i="6"/>
  <c r="O1320" i="6"/>
  <c r="O1321" i="6"/>
  <c r="O1322" i="6"/>
  <c r="O1323" i="6"/>
  <c r="O1324" i="6"/>
  <c r="O1325" i="6"/>
  <c r="O1326" i="6"/>
  <c r="O1327" i="6"/>
  <c r="O1328" i="6"/>
  <c r="O1329" i="6"/>
  <c r="O1330" i="6"/>
  <c r="O1331" i="6"/>
  <c r="O1332" i="6"/>
  <c r="O1333" i="6"/>
  <c r="O1334" i="6"/>
  <c r="O1335" i="6"/>
  <c r="O1336" i="6"/>
  <c r="O1337" i="6"/>
  <c r="O1338" i="6"/>
  <c r="O1339" i="6"/>
  <c r="O1340" i="6"/>
  <c r="O1341" i="6"/>
  <c r="O1342" i="6"/>
  <c r="O1343" i="6"/>
  <c r="O1344" i="6"/>
  <c r="O1345" i="6"/>
  <c r="O1346" i="6"/>
  <c r="O1347" i="6"/>
  <c r="O1348" i="6"/>
  <c r="O1349" i="6"/>
  <c r="O1350" i="6"/>
  <c r="O1351" i="6"/>
  <c r="O1352" i="6"/>
  <c r="O1353" i="6"/>
  <c r="O1354" i="6"/>
  <c r="O1355" i="6"/>
  <c r="O1356" i="6"/>
  <c r="O1357" i="6"/>
  <c r="O1358" i="6"/>
  <c r="O1359" i="6"/>
  <c r="O1360" i="6"/>
  <c r="O1361" i="6"/>
  <c r="O1362" i="6"/>
  <c r="O1363" i="6"/>
  <c r="O1364" i="6"/>
  <c r="O1365" i="6"/>
  <c r="O1366" i="6"/>
  <c r="O1367" i="6"/>
  <c r="O1368" i="6"/>
  <c r="O1369" i="6"/>
  <c r="O1370" i="6"/>
  <c r="O1371" i="6"/>
  <c r="O1372" i="6"/>
  <c r="O1373" i="6"/>
  <c r="O1374" i="6"/>
  <c r="O1375" i="6"/>
  <c r="O1376" i="6"/>
  <c r="O1377" i="6"/>
  <c r="O1378" i="6"/>
  <c r="O1379" i="6"/>
  <c r="O1380" i="6"/>
  <c r="O1381" i="6"/>
  <c r="O1382" i="6"/>
  <c r="O1383" i="6"/>
  <c r="O1384" i="6"/>
  <c r="O1385" i="6"/>
  <c r="O1386" i="6"/>
  <c r="O1387" i="6"/>
  <c r="O1388" i="6"/>
  <c r="O1389" i="6"/>
  <c r="O1390" i="6"/>
  <c r="O1391" i="6"/>
  <c r="O1392" i="6"/>
  <c r="O1393" i="6"/>
  <c r="O1394" i="6"/>
  <c r="O1395" i="6"/>
  <c r="O1396" i="6"/>
  <c r="O1397" i="6"/>
  <c r="O1398" i="6"/>
  <c r="O1399" i="6"/>
  <c r="O1400" i="6"/>
  <c r="O1401" i="6"/>
  <c r="O1402" i="6"/>
  <c r="O1403" i="6"/>
  <c r="O1404" i="6"/>
  <c r="O1405" i="6"/>
  <c r="O1406" i="6"/>
  <c r="O1407" i="6"/>
  <c r="O1408" i="6"/>
  <c r="O1409" i="6"/>
  <c r="O1410" i="6"/>
  <c r="O1411" i="6"/>
  <c r="O1412" i="6"/>
  <c r="O1413" i="6"/>
  <c r="O1414" i="6"/>
  <c r="O1415" i="6"/>
  <c r="O1416" i="6"/>
  <c r="O1417" i="6"/>
  <c r="O1418" i="6"/>
  <c r="O1419" i="6"/>
  <c r="O1420" i="6"/>
  <c r="O1421" i="6"/>
  <c r="O1422" i="6"/>
  <c r="O1423" i="6"/>
  <c r="O1424" i="6"/>
  <c r="O1425" i="6"/>
  <c r="O1426" i="6"/>
  <c r="O1427" i="6"/>
  <c r="O1428" i="6"/>
  <c r="O1429" i="6"/>
  <c r="O1430" i="6"/>
  <c r="O1431" i="6"/>
  <c r="O1432" i="6"/>
  <c r="O1433" i="6"/>
  <c r="O1434" i="6"/>
  <c r="O1435" i="6"/>
  <c r="O1436" i="6"/>
  <c r="O1437" i="6"/>
  <c r="O1438" i="6"/>
  <c r="O1439" i="6"/>
  <c r="O1440" i="6"/>
  <c r="O1441" i="6"/>
  <c r="O1442" i="6"/>
  <c r="O1443" i="6"/>
  <c r="O1444" i="6"/>
  <c r="O1445" i="6"/>
  <c r="O1446" i="6"/>
  <c r="O1447" i="6"/>
  <c r="O1448" i="6"/>
  <c r="O1449" i="6"/>
  <c r="O1450" i="6"/>
  <c r="O1451" i="6"/>
  <c r="O1452" i="6"/>
  <c r="O1453" i="6"/>
  <c r="O1454" i="6"/>
  <c r="O1455" i="6"/>
  <c r="O1456" i="6"/>
  <c r="O1457" i="6"/>
  <c r="O1458" i="6"/>
  <c r="O1459" i="6"/>
  <c r="O1460" i="6"/>
  <c r="O1461" i="6"/>
  <c r="O1462" i="6"/>
  <c r="O1463" i="6"/>
  <c r="O1464" i="6"/>
  <c r="O1465" i="6"/>
  <c r="O1466" i="6"/>
  <c r="O1467" i="6"/>
  <c r="O1468" i="6"/>
  <c r="O1469" i="6"/>
  <c r="O1470" i="6"/>
  <c r="O1471" i="6"/>
  <c r="O1472" i="6"/>
  <c r="O1473" i="6"/>
  <c r="O1474" i="6"/>
  <c r="O1475" i="6"/>
  <c r="O1476" i="6"/>
  <c r="O1477" i="6"/>
  <c r="O1478" i="6"/>
  <c r="O1479" i="6"/>
  <c r="O1480" i="6"/>
  <c r="O1481" i="6"/>
  <c r="O1482" i="6"/>
  <c r="O1483" i="6"/>
  <c r="O1484" i="6"/>
  <c r="O1485" i="6"/>
  <c r="O1486" i="6"/>
  <c r="O1487" i="6"/>
  <c r="O1488" i="6"/>
  <c r="O1489" i="6"/>
  <c r="O1490" i="6"/>
  <c r="O1491" i="6"/>
  <c r="O1492" i="6"/>
  <c r="O1493" i="6"/>
  <c r="O1494" i="6"/>
  <c r="O1495" i="6"/>
  <c r="O1496" i="6"/>
  <c r="O1497" i="6"/>
  <c r="O1498" i="6"/>
  <c r="O1499" i="6"/>
  <c r="O1500" i="6"/>
  <c r="O1501" i="6"/>
  <c r="O1502" i="6"/>
  <c r="O1503" i="6"/>
  <c r="O1504" i="6"/>
  <c r="O1505" i="6"/>
  <c r="O1506" i="6"/>
  <c r="O1507" i="6"/>
  <c r="O1508" i="6"/>
  <c r="O1509" i="6"/>
  <c r="O1510" i="6"/>
  <c r="O1511" i="6"/>
  <c r="O1512" i="6"/>
  <c r="O1513" i="6"/>
  <c r="O1514" i="6"/>
  <c r="O1515" i="6"/>
  <c r="O1516" i="6"/>
  <c r="O1517" i="6"/>
  <c r="O1518" i="6"/>
  <c r="O1519" i="6"/>
  <c r="O1520" i="6"/>
  <c r="O1521" i="6"/>
  <c r="O1522" i="6"/>
  <c r="O1523" i="6"/>
  <c r="O1524" i="6"/>
  <c r="O1525" i="6"/>
  <c r="O1526" i="6"/>
  <c r="O1527" i="6"/>
  <c r="O1528" i="6"/>
  <c r="O1529" i="6"/>
  <c r="O1530" i="6"/>
  <c r="O1531" i="6"/>
  <c r="O1532" i="6"/>
  <c r="O1533" i="6"/>
  <c r="O1534" i="6"/>
  <c r="O1535" i="6"/>
  <c r="O1536" i="6"/>
  <c r="O1537" i="6"/>
  <c r="O1538" i="6"/>
  <c r="O1539" i="6"/>
  <c r="O1540" i="6"/>
  <c r="O1541" i="6"/>
  <c r="O1542" i="6"/>
  <c r="O1543" i="6"/>
  <c r="O1544" i="6"/>
  <c r="O1545" i="6"/>
  <c r="O1546" i="6"/>
  <c r="O1547" i="6"/>
  <c r="O1548" i="6"/>
  <c r="O1549" i="6"/>
  <c r="O1550" i="6"/>
  <c r="O1551" i="6"/>
  <c r="O1552" i="6"/>
  <c r="O1553" i="6"/>
  <c r="O1554" i="6"/>
  <c r="O1555" i="6"/>
  <c r="O1556" i="6"/>
  <c r="O1557" i="6"/>
  <c r="O1558" i="6"/>
  <c r="O1559" i="6"/>
  <c r="O1560" i="6"/>
  <c r="O1561" i="6"/>
  <c r="O1562" i="6"/>
  <c r="O1563" i="6"/>
  <c r="O1564" i="6"/>
  <c r="O1565" i="6"/>
  <c r="O1566" i="6"/>
  <c r="O1567" i="6"/>
  <c r="O1568" i="6"/>
  <c r="O1569" i="6"/>
  <c r="O1570" i="6"/>
  <c r="O1571" i="6"/>
  <c r="O1572" i="6"/>
  <c r="O1573" i="6"/>
  <c r="O1574" i="6"/>
  <c r="O1575" i="6"/>
  <c r="O1576" i="6"/>
  <c r="O1577" i="6"/>
  <c r="O1578" i="6"/>
  <c r="O1579" i="6"/>
  <c r="O1580" i="6"/>
  <c r="O1581" i="6"/>
  <c r="O1582" i="6"/>
  <c r="O1583" i="6"/>
  <c r="O1584" i="6"/>
  <c r="O1585" i="6"/>
  <c r="O1586" i="6"/>
  <c r="O1587" i="6"/>
  <c r="O1588" i="6"/>
  <c r="O1589" i="6"/>
  <c r="O1590" i="6"/>
  <c r="O1591" i="6"/>
  <c r="O1592" i="6"/>
  <c r="O1593" i="6"/>
  <c r="O1594" i="6"/>
  <c r="O1595" i="6"/>
  <c r="O1596" i="6"/>
  <c r="O1597" i="6"/>
  <c r="O1598" i="6"/>
  <c r="O1599" i="6"/>
  <c r="O1600" i="6"/>
  <c r="O1601" i="6"/>
  <c r="O1602" i="6"/>
  <c r="O1603" i="6"/>
  <c r="O1604" i="6"/>
  <c r="O1605" i="6"/>
  <c r="O1606" i="6"/>
  <c r="O1607" i="6"/>
  <c r="O1608" i="6"/>
  <c r="O1609" i="6"/>
  <c r="O1610" i="6"/>
  <c r="O1611" i="6"/>
  <c r="O1612" i="6"/>
  <c r="O1613" i="6"/>
  <c r="O1614" i="6"/>
  <c r="O1615" i="6"/>
  <c r="O1616" i="6"/>
  <c r="O1617" i="6"/>
  <c r="O1618" i="6"/>
  <c r="O1619" i="6"/>
  <c r="O1620" i="6"/>
  <c r="O1621" i="6"/>
  <c r="O1622" i="6"/>
  <c r="O1623" i="6"/>
  <c r="O1624" i="6"/>
  <c r="O1625" i="6"/>
  <c r="O1626" i="6"/>
  <c r="O1627" i="6"/>
  <c r="O1628" i="6"/>
  <c r="O1629" i="6"/>
  <c r="O1630" i="6"/>
  <c r="O1631" i="6"/>
  <c r="O1632" i="6"/>
  <c r="O1633" i="6"/>
  <c r="O1634" i="6"/>
  <c r="O1635" i="6"/>
  <c r="O1636" i="6"/>
  <c r="O1637" i="6"/>
  <c r="O1638" i="6"/>
  <c r="O1639" i="6"/>
  <c r="O1640" i="6"/>
  <c r="O1641" i="6"/>
  <c r="O1642" i="6"/>
  <c r="O1643" i="6"/>
  <c r="O1644" i="6"/>
  <c r="O1645" i="6"/>
  <c r="O1646" i="6"/>
  <c r="O1647" i="6"/>
  <c r="O1648" i="6"/>
  <c r="O1649" i="6"/>
  <c r="O1650" i="6"/>
  <c r="O1651" i="6"/>
  <c r="O1652" i="6"/>
  <c r="O1653" i="6"/>
  <c r="O1654" i="6"/>
  <c r="O1655" i="6"/>
  <c r="O1656" i="6"/>
  <c r="O1657" i="6"/>
  <c r="O1658" i="6"/>
  <c r="O1659" i="6"/>
  <c r="O1660" i="6"/>
  <c r="O1661" i="6"/>
  <c r="O1662" i="6"/>
  <c r="O1663" i="6"/>
  <c r="O1664" i="6"/>
  <c r="O1665" i="6"/>
  <c r="O1666" i="6"/>
  <c r="O1667" i="6"/>
  <c r="O1668" i="6"/>
  <c r="O1669" i="6"/>
  <c r="O1670" i="6"/>
  <c r="O1671" i="6"/>
  <c r="O1672" i="6"/>
  <c r="O1673" i="6"/>
  <c r="O1674" i="6"/>
  <c r="O1675" i="6"/>
  <c r="O1676" i="6"/>
  <c r="O1677" i="6"/>
  <c r="O1678" i="6"/>
  <c r="O1679" i="6"/>
  <c r="O1680" i="6"/>
  <c r="O1681" i="6"/>
  <c r="O1682" i="6"/>
  <c r="O1683" i="6"/>
  <c r="O1684" i="6"/>
  <c r="O1685" i="6"/>
  <c r="O1686" i="6"/>
  <c r="O1687" i="6"/>
  <c r="O1688" i="6"/>
  <c r="O1689" i="6"/>
  <c r="O1690" i="6"/>
  <c r="O1691" i="6"/>
  <c r="O1692" i="6"/>
  <c r="O1693" i="6"/>
  <c r="O1694" i="6"/>
  <c r="O1695" i="6"/>
  <c r="O1696" i="6"/>
  <c r="O1697" i="6"/>
  <c r="O1698" i="6"/>
  <c r="O1699" i="6"/>
  <c r="O1700" i="6"/>
  <c r="O1701" i="6"/>
  <c r="O1702" i="6"/>
  <c r="O1703" i="6"/>
  <c r="O1704" i="6"/>
  <c r="O1705" i="6"/>
  <c r="O1706" i="6"/>
  <c r="O1707" i="6"/>
  <c r="O1708" i="6"/>
  <c r="O1709" i="6"/>
  <c r="O1710" i="6"/>
  <c r="O1711" i="6"/>
  <c r="O1712" i="6"/>
  <c r="O1713" i="6"/>
  <c r="O1714" i="6"/>
  <c r="O1715" i="6"/>
  <c r="O1716" i="6"/>
  <c r="O1717" i="6"/>
  <c r="O1718" i="6"/>
  <c r="O1719" i="6"/>
  <c r="O1720" i="6"/>
  <c r="O1721" i="6"/>
  <c r="O1722" i="6"/>
  <c r="O1723" i="6"/>
  <c r="O1724" i="6"/>
  <c r="O1725" i="6"/>
  <c r="O1726" i="6"/>
  <c r="O1727" i="6"/>
  <c r="O1728" i="6"/>
  <c r="O1729" i="6"/>
  <c r="O1730" i="6"/>
  <c r="O1731" i="6"/>
  <c r="O1732" i="6"/>
  <c r="O1733" i="6"/>
  <c r="O1734" i="6"/>
  <c r="O1735" i="6"/>
  <c r="O1736" i="6"/>
  <c r="O1737" i="6"/>
  <c r="O1738" i="6"/>
  <c r="O1739" i="6"/>
  <c r="O1740" i="6"/>
  <c r="O1741" i="6"/>
  <c r="O1742" i="6"/>
  <c r="O1743" i="6"/>
  <c r="O1744" i="6"/>
  <c r="O1745" i="6"/>
  <c r="O1746" i="6"/>
  <c r="O1747" i="6"/>
  <c r="O1748" i="6"/>
  <c r="O1749" i="6"/>
  <c r="O1750" i="6"/>
  <c r="O1751" i="6"/>
  <c r="O1752" i="6"/>
  <c r="O1753" i="6"/>
  <c r="O1754" i="6"/>
  <c r="O1755" i="6"/>
  <c r="O1756" i="6"/>
  <c r="O1757" i="6"/>
  <c r="O1758" i="6"/>
  <c r="O1759" i="6"/>
  <c r="O1760" i="6"/>
  <c r="O1761" i="6"/>
  <c r="O1762" i="6"/>
  <c r="O1763" i="6"/>
  <c r="O1764" i="6"/>
  <c r="O1765" i="6"/>
  <c r="O1766" i="6"/>
  <c r="O1767" i="6"/>
  <c r="O1768" i="6"/>
  <c r="O1769" i="6"/>
  <c r="O1770" i="6"/>
  <c r="O1771" i="6"/>
  <c r="O1772" i="6"/>
  <c r="O1773" i="6"/>
  <c r="O1774" i="6"/>
  <c r="O1775" i="6"/>
  <c r="O1776" i="6"/>
  <c r="O1777" i="6"/>
  <c r="O1778" i="6"/>
  <c r="O1779" i="6"/>
  <c r="O1780" i="6"/>
  <c r="O1781" i="6"/>
  <c r="O1782" i="6"/>
  <c r="O1783" i="6"/>
  <c r="O1784" i="6"/>
  <c r="O1785" i="6"/>
  <c r="O1786" i="6"/>
  <c r="O1787" i="6"/>
  <c r="O1788" i="6"/>
  <c r="O1789" i="6"/>
  <c r="O1790" i="6"/>
  <c r="O1791" i="6"/>
  <c r="O1792" i="6"/>
  <c r="O1793" i="6"/>
  <c r="O1794" i="6"/>
  <c r="O1795" i="6"/>
  <c r="O1796" i="6"/>
  <c r="O1797" i="6"/>
  <c r="O1798" i="6"/>
  <c r="O1799" i="6"/>
  <c r="O1800" i="6"/>
  <c r="O1801" i="6"/>
  <c r="O1802" i="6"/>
  <c r="O1803" i="6"/>
  <c r="O1804" i="6"/>
  <c r="O1805" i="6"/>
  <c r="O1806" i="6"/>
  <c r="O1807" i="6"/>
  <c r="O1808" i="6"/>
  <c r="O1809" i="6"/>
  <c r="O1810" i="6"/>
  <c r="O1811" i="6"/>
  <c r="O1812" i="6"/>
  <c r="O1813" i="6"/>
  <c r="O1814" i="6"/>
  <c r="O1815" i="6"/>
  <c r="O1816" i="6"/>
  <c r="O1817" i="6"/>
  <c r="O1818" i="6"/>
  <c r="O1819" i="6"/>
  <c r="O1820" i="6"/>
  <c r="O1821" i="6"/>
  <c r="O1822" i="6"/>
  <c r="O1823" i="6"/>
  <c r="O1824" i="6"/>
  <c r="O1825" i="6"/>
  <c r="O1826" i="6"/>
  <c r="O1827" i="6"/>
  <c r="O1828" i="6"/>
  <c r="O1829" i="6"/>
  <c r="O1830" i="6"/>
  <c r="O1831" i="6"/>
  <c r="O1832" i="6"/>
  <c r="O1833" i="6"/>
  <c r="O1834" i="6"/>
  <c r="O1835" i="6"/>
  <c r="O1836" i="6"/>
  <c r="O1837" i="6"/>
  <c r="O1838" i="6"/>
  <c r="O1839" i="6"/>
  <c r="O1840" i="6"/>
  <c r="O1841" i="6"/>
  <c r="O1842" i="6"/>
  <c r="O1843" i="6"/>
  <c r="O1844" i="6"/>
  <c r="O1845" i="6"/>
  <c r="O1846" i="6"/>
  <c r="O1847" i="6"/>
  <c r="O1848" i="6"/>
  <c r="O1849" i="6"/>
  <c r="O1850" i="6"/>
  <c r="O1851" i="6"/>
  <c r="O1852" i="6"/>
  <c r="O1853" i="6"/>
  <c r="O1854" i="6"/>
  <c r="O1855" i="6"/>
  <c r="O1856" i="6"/>
  <c r="O1857" i="6"/>
  <c r="O1858" i="6"/>
  <c r="O1859" i="6"/>
  <c r="O1860" i="6"/>
  <c r="O1861" i="6"/>
  <c r="O1862" i="6"/>
  <c r="O1863" i="6"/>
  <c r="O1864" i="6"/>
  <c r="O1865" i="6"/>
  <c r="O1866" i="6"/>
  <c r="O1867" i="6"/>
  <c r="O1868" i="6"/>
  <c r="O1869" i="6"/>
  <c r="O1870" i="6"/>
  <c r="O1871" i="6"/>
  <c r="O1872" i="6"/>
  <c r="O1873" i="6"/>
  <c r="O1874" i="6"/>
  <c r="O1875" i="6"/>
  <c r="O1876" i="6"/>
  <c r="O1877" i="6"/>
  <c r="O1878" i="6"/>
  <c r="O1879" i="6"/>
  <c r="O1880" i="6"/>
  <c r="O1881" i="6"/>
  <c r="O1882" i="6"/>
  <c r="O1883" i="6"/>
  <c r="O1884" i="6"/>
  <c r="O1885" i="6"/>
  <c r="O1886" i="6"/>
  <c r="O1887" i="6"/>
  <c r="O1888" i="6"/>
  <c r="O1889" i="6"/>
  <c r="O1890" i="6"/>
  <c r="O1891" i="6"/>
  <c r="O1892" i="6"/>
  <c r="O1893" i="6"/>
  <c r="O1894" i="6"/>
  <c r="O1895" i="6"/>
  <c r="O1896" i="6"/>
  <c r="O1897" i="6"/>
  <c r="O1898" i="6"/>
  <c r="O1899" i="6"/>
  <c r="O1900" i="6"/>
  <c r="O1901" i="6"/>
  <c r="O1902" i="6"/>
  <c r="O1903" i="6"/>
  <c r="O1904" i="6"/>
  <c r="O1905" i="6"/>
  <c r="O1906" i="6"/>
  <c r="O1907" i="6"/>
  <c r="O1908" i="6"/>
  <c r="O1909" i="6"/>
  <c r="O1910" i="6"/>
  <c r="O1911" i="6"/>
  <c r="O1912" i="6"/>
  <c r="O1913" i="6"/>
  <c r="O1914" i="6"/>
  <c r="O1915" i="6"/>
  <c r="O1916" i="6"/>
  <c r="O1917" i="6"/>
  <c r="O1918" i="6"/>
  <c r="O1919" i="6"/>
  <c r="O1920" i="6"/>
  <c r="O1921" i="6"/>
  <c r="O1922" i="6"/>
  <c r="O1923" i="6"/>
  <c r="O1924" i="6"/>
  <c r="O1925" i="6"/>
  <c r="O1926" i="6"/>
  <c r="O1927" i="6"/>
  <c r="O1928" i="6"/>
  <c r="O1929" i="6"/>
  <c r="O1930" i="6"/>
  <c r="O1931" i="6"/>
  <c r="O1932" i="6"/>
  <c r="O1933" i="6"/>
  <c r="O1934" i="6"/>
  <c r="O1935" i="6"/>
  <c r="O1936" i="6"/>
  <c r="O1937" i="6"/>
  <c r="O1938" i="6"/>
  <c r="O1939" i="6"/>
  <c r="O1940" i="6"/>
  <c r="O1941" i="6"/>
  <c r="O1942" i="6"/>
  <c r="O1943" i="6"/>
  <c r="O1944" i="6"/>
  <c r="O1945" i="6"/>
  <c r="O1946" i="6"/>
  <c r="O1947" i="6"/>
  <c r="O1948" i="6"/>
  <c r="O1949" i="6"/>
  <c r="O1950" i="6"/>
  <c r="O1951" i="6"/>
  <c r="O1952" i="6"/>
  <c r="O1953" i="6"/>
  <c r="O1954" i="6"/>
  <c r="O1955" i="6"/>
  <c r="O1956" i="6"/>
  <c r="O1957" i="6"/>
  <c r="O1958" i="6"/>
  <c r="O1959" i="6"/>
  <c r="O1960" i="6"/>
  <c r="O1961" i="6"/>
  <c r="O1962" i="6"/>
  <c r="O1963" i="6"/>
  <c r="O1964" i="6"/>
  <c r="O1965" i="6"/>
  <c r="O1966" i="6"/>
  <c r="O1967" i="6"/>
  <c r="O1968" i="6"/>
  <c r="O1969" i="6"/>
  <c r="O1970" i="6"/>
  <c r="O1971" i="6"/>
  <c r="O1972" i="6"/>
  <c r="O1973" i="6"/>
  <c r="O1974" i="6"/>
  <c r="O1975" i="6"/>
  <c r="O1976" i="6"/>
  <c r="O1977" i="6"/>
  <c r="O1978" i="6"/>
  <c r="O1979" i="6"/>
  <c r="O1980" i="6"/>
  <c r="O1981" i="6"/>
  <c r="O1982" i="6"/>
  <c r="O1983" i="6"/>
  <c r="O1984" i="6"/>
  <c r="O1985" i="6"/>
  <c r="O1986" i="6"/>
  <c r="O1987" i="6"/>
  <c r="O1988" i="6"/>
  <c r="O1989" i="6"/>
  <c r="O1990" i="6"/>
  <c r="O1991" i="6"/>
  <c r="O1992" i="6"/>
  <c r="O1993" i="6"/>
  <c r="O1994" i="6"/>
  <c r="O1995" i="6"/>
  <c r="O1996" i="6"/>
  <c r="O1997" i="6"/>
  <c r="O1998" i="6"/>
  <c r="O1999" i="6"/>
  <c r="O2000" i="6"/>
  <c r="O2001" i="6"/>
  <c r="O2002" i="6"/>
  <c r="O2003" i="6"/>
  <c r="O2004" i="6"/>
  <c r="O2005" i="6"/>
  <c r="O2006" i="6"/>
  <c r="O2007" i="6"/>
  <c r="O2008" i="6"/>
  <c r="O2009" i="6"/>
  <c r="O2010" i="6"/>
  <c r="O2011" i="6"/>
  <c r="O2012" i="6"/>
  <c r="O2013" i="6"/>
  <c r="O2014" i="6"/>
  <c r="O2015" i="6"/>
  <c r="O2016" i="6"/>
  <c r="O2017" i="6"/>
  <c r="O2018" i="6"/>
  <c r="O2019" i="6"/>
  <c r="O2020" i="6"/>
  <c r="O2021" i="6"/>
  <c r="O2022" i="6"/>
  <c r="O2023" i="6"/>
  <c r="O2024" i="6"/>
  <c r="O2025" i="6"/>
  <c r="O2026" i="6"/>
  <c r="O2027" i="6"/>
  <c r="O2028" i="6"/>
  <c r="O2029" i="6"/>
  <c r="O2030" i="6"/>
  <c r="O2031" i="6"/>
  <c r="O2032" i="6"/>
  <c r="O2033" i="6"/>
  <c r="O2034" i="6"/>
  <c r="O2035" i="6"/>
  <c r="O2036" i="6"/>
  <c r="O2037" i="6"/>
  <c r="O2038" i="6"/>
  <c r="O2039" i="6"/>
  <c r="O2040" i="6"/>
  <c r="O2041" i="6"/>
  <c r="O2042" i="6"/>
  <c r="O2043" i="6"/>
  <c r="O2044" i="6"/>
  <c r="O2045" i="6"/>
  <c r="O2046" i="6"/>
  <c r="O2047" i="6"/>
  <c r="O2048" i="6"/>
  <c r="O2049" i="6"/>
  <c r="O2050" i="6"/>
  <c r="O2051" i="6"/>
  <c r="O2052" i="6"/>
  <c r="O2053" i="6"/>
  <c r="O2054" i="6"/>
  <c r="O2055" i="6"/>
  <c r="O2056" i="6"/>
  <c r="O2057" i="6"/>
  <c r="O2058" i="6"/>
  <c r="O2059" i="6"/>
  <c r="O2060" i="6"/>
  <c r="O2061" i="6"/>
  <c r="O2062" i="6"/>
  <c r="O2063" i="6"/>
  <c r="O2064" i="6"/>
  <c r="O2065" i="6"/>
  <c r="O2066" i="6"/>
  <c r="O2067" i="6"/>
  <c r="O2068" i="6"/>
  <c r="O2069" i="6"/>
  <c r="O2070" i="6"/>
  <c r="O2071" i="6"/>
  <c r="O2072" i="6"/>
  <c r="O2073" i="6"/>
  <c r="O2074" i="6"/>
  <c r="O2075" i="6"/>
  <c r="O2076" i="6"/>
  <c r="O2077" i="6"/>
  <c r="O2078" i="6"/>
  <c r="O2079" i="6"/>
  <c r="O2080" i="6"/>
  <c r="O2081" i="6"/>
  <c r="O2082" i="6"/>
  <c r="O2083" i="6"/>
  <c r="O2084" i="6"/>
  <c r="O2085" i="6"/>
  <c r="O2086" i="6"/>
  <c r="O2087" i="6"/>
  <c r="O2088" i="6"/>
  <c r="O2089" i="6"/>
  <c r="O2090" i="6"/>
  <c r="O2091" i="6"/>
  <c r="O2092" i="6"/>
  <c r="O2093" i="6"/>
  <c r="O2094" i="6"/>
  <c r="O2095" i="6"/>
  <c r="O2096" i="6"/>
  <c r="O2097" i="6"/>
  <c r="O2098" i="6"/>
  <c r="O2099" i="6"/>
  <c r="O2100" i="6"/>
  <c r="O2101" i="6"/>
  <c r="O2102" i="6"/>
  <c r="O2103" i="6"/>
  <c r="O2104" i="6"/>
  <c r="O2105" i="6"/>
  <c r="O2106" i="6"/>
  <c r="O2107" i="6"/>
  <c r="O2108" i="6"/>
  <c r="O2109" i="6"/>
  <c r="O2110" i="6"/>
  <c r="O2111" i="6"/>
  <c r="O2112" i="6"/>
  <c r="O2113" i="6"/>
  <c r="O2114" i="6"/>
  <c r="O2115" i="6"/>
  <c r="O2116" i="6"/>
  <c r="O2117" i="6"/>
  <c r="O2118" i="6"/>
  <c r="O2119" i="6"/>
  <c r="O2120" i="6"/>
  <c r="O2121" i="6"/>
  <c r="O2122" i="6"/>
  <c r="O2123" i="6"/>
  <c r="O2124" i="6"/>
  <c r="O2125" i="6"/>
  <c r="O2126" i="6"/>
  <c r="O2127" i="6"/>
  <c r="O2128" i="6"/>
  <c r="O2129" i="6"/>
  <c r="O2130" i="6"/>
  <c r="O2131" i="6"/>
  <c r="O2132" i="6"/>
  <c r="O2133" i="6"/>
  <c r="O2134" i="6"/>
  <c r="O2135" i="6"/>
  <c r="O2136" i="6"/>
  <c r="O2137" i="6"/>
  <c r="O2138" i="6"/>
  <c r="O2139" i="6"/>
  <c r="O2140" i="6"/>
  <c r="O2141" i="6"/>
  <c r="O2142" i="6"/>
  <c r="O2143" i="6"/>
  <c r="O2144" i="6"/>
  <c r="O2145" i="6"/>
  <c r="O2146" i="6"/>
  <c r="O2147" i="6"/>
  <c r="O2148" i="6"/>
  <c r="O2149" i="6"/>
  <c r="O2150" i="6"/>
  <c r="O2151" i="6"/>
  <c r="O2152" i="6"/>
  <c r="O2153" i="6"/>
  <c r="O2154" i="6"/>
  <c r="O2155" i="6"/>
  <c r="O2156" i="6"/>
  <c r="O2157" i="6"/>
  <c r="O2158" i="6"/>
  <c r="O2159" i="6"/>
  <c r="O2160" i="6"/>
  <c r="O2161" i="6"/>
  <c r="O2162" i="6"/>
  <c r="O2163" i="6"/>
  <c r="O2164" i="6"/>
  <c r="O2165" i="6"/>
  <c r="O2166" i="6"/>
  <c r="O2167" i="6"/>
  <c r="O2168" i="6"/>
  <c r="O2169" i="6"/>
  <c r="O2170" i="6"/>
  <c r="O2171" i="6"/>
  <c r="O2172" i="6"/>
  <c r="O2173" i="6"/>
  <c r="O2174" i="6"/>
  <c r="O2175" i="6"/>
  <c r="O2176" i="6"/>
  <c r="O2177" i="6"/>
  <c r="O2178" i="6"/>
  <c r="O2179" i="6"/>
  <c r="O2180" i="6"/>
  <c r="O2181" i="6"/>
  <c r="O2182" i="6"/>
  <c r="O2183" i="6"/>
  <c r="O2184" i="6"/>
  <c r="O2185" i="6"/>
  <c r="O2186" i="6"/>
  <c r="O2187" i="6"/>
  <c r="O2188" i="6"/>
  <c r="O2189" i="6"/>
  <c r="O2190" i="6"/>
  <c r="O2191" i="6"/>
  <c r="O2192" i="6"/>
  <c r="O2193" i="6"/>
  <c r="O2194" i="6"/>
  <c r="O2195" i="6"/>
  <c r="O2196" i="6"/>
  <c r="O2197" i="6"/>
  <c r="O2198" i="6"/>
  <c r="O2199" i="6"/>
  <c r="O2200" i="6"/>
  <c r="O2201" i="6"/>
  <c r="O2202" i="6"/>
  <c r="O2203" i="6"/>
  <c r="O2204" i="6"/>
  <c r="O2205" i="6"/>
  <c r="O2206" i="6"/>
  <c r="O2207" i="6"/>
  <c r="O2208" i="6"/>
  <c r="O2209" i="6"/>
  <c r="O2210" i="6"/>
  <c r="O2211" i="6"/>
  <c r="O2212" i="6"/>
  <c r="O2213" i="6"/>
  <c r="O2214" i="6"/>
  <c r="O2215" i="6"/>
  <c r="O2216" i="6"/>
  <c r="O2217" i="6"/>
  <c r="O2218" i="6"/>
  <c r="O2219" i="6"/>
  <c r="O2220" i="6"/>
  <c r="O2221" i="6"/>
  <c r="O2222" i="6"/>
  <c r="O2223" i="6"/>
  <c r="O2224" i="6"/>
  <c r="O2225" i="6"/>
  <c r="O2226" i="6"/>
  <c r="O2227" i="6"/>
  <c r="O2228" i="6"/>
  <c r="O2229" i="6"/>
  <c r="O2230" i="6"/>
  <c r="O2231" i="6"/>
  <c r="O2232" i="6"/>
  <c r="O2233" i="6"/>
  <c r="O2234" i="6"/>
  <c r="O2235" i="6"/>
  <c r="O2236" i="6"/>
  <c r="O2237" i="6"/>
  <c r="O2238" i="6"/>
  <c r="O2239" i="6"/>
  <c r="O2240" i="6"/>
  <c r="O2241" i="6"/>
  <c r="O2242" i="6"/>
  <c r="O2243" i="6"/>
  <c r="O2244" i="6"/>
  <c r="O2245" i="6"/>
  <c r="O2246" i="6"/>
  <c r="O2247" i="6"/>
  <c r="O2248" i="6"/>
  <c r="O2249" i="6"/>
  <c r="O2250" i="6"/>
  <c r="O2251" i="6"/>
  <c r="O2252" i="6"/>
  <c r="O2253" i="6"/>
  <c r="O2254" i="6"/>
  <c r="O2255" i="6"/>
  <c r="O2256" i="6"/>
  <c r="O2257" i="6"/>
  <c r="O2258" i="6"/>
  <c r="O2259" i="6"/>
  <c r="O2260" i="6"/>
  <c r="O2261" i="6"/>
  <c r="O2262" i="6"/>
  <c r="O2263" i="6"/>
  <c r="O2264" i="6"/>
  <c r="O2265" i="6"/>
  <c r="O2266" i="6"/>
  <c r="O2267" i="6"/>
  <c r="O2268" i="6"/>
  <c r="O2269" i="6"/>
  <c r="O2270" i="6"/>
  <c r="O2271" i="6"/>
  <c r="O2272" i="6"/>
  <c r="O2273" i="6"/>
  <c r="O2274" i="6"/>
  <c r="O2275" i="6"/>
  <c r="O2276" i="6"/>
  <c r="O2277" i="6"/>
  <c r="O2278" i="6"/>
  <c r="O2279" i="6"/>
  <c r="O2280" i="6"/>
  <c r="O2281" i="6"/>
  <c r="O2282" i="6"/>
  <c r="O2283" i="6"/>
  <c r="O2284" i="6"/>
  <c r="O2285" i="6"/>
  <c r="O2286" i="6"/>
  <c r="O2287" i="6"/>
  <c r="O2288" i="6"/>
  <c r="O2289" i="6"/>
  <c r="O2290" i="6"/>
  <c r="O2291" i="6"/>
  <c r="O2292" i="6"/>
  <c r="O2293" i="6"/>
  <c r="O2294" i="6"/>
  <c r="O2295" i="6"/>
  <c r="O2296" i="6"/>
  <c r="O2297" i="6"/>
  <c r="O2298" i="6"/>
  <c r="O2299" i="6"/>
  <c r="O2300" i="6"/>
  <c r="O2301" i="6"/>
  <c r="O2302" i="6"/>
  <c r="O2303" i="6"/>
  <c r="O2304" i="6"/>
  <c r="O2305" i="6"/>
  <c r="O2306" i="6"/>
  <c r="O2307" i="6"/>
  <c r="O2308" i="6"/>
  <c r="O2309" i="6"/>
  <c r="O2310" i="6"/>
  <c r="O2311" i="6"/>
  <c r="O2312" i="6"/>
  <c r="O2313" i="6"/>
  <c r="O2314" i="6"/>
  <c r="O2315" i="6"/>
  <c r="O2316" i="6"/>
  <c r="O2317" i="6"/>
  <c r="O2318" i="6"/>
  <c r="O2319" i="6"/>
  <c r="O2320" i="6"/>
  <c r="O2321" i="6"/>
  <c r="O2322" i="6"/>
  <c r="O2323" i="6"/>
  <c r="O2324" i="6"/>
  <c r="O2325" i="6"/>
  <c r="O2326" i="6"/>
  <c r="O2327" i="6"/>
  <c r="O2328" i="6"/>
  <c r="O2329" i="6"/>
  <c r="O2330" i="6"/>
  <c r="O2331" i="6"/>
  <c r="O2332" i="6"/>
  <c r="O2333" i="6"/>
  <c r="O2334" i="6"/>
  <c r="O2335" i="6"/>
  <c r="O2336" i="6"/>
  <c r="O2337" i="6"/>
  <c r="O2338" i="6"/>
  <c r="O2339" i="6"/>
  <c r="O2340" i="6"/>
  <c r="O2341" i="6"/>
  <c r="O2342" i="6"/>
  <c r="O2343" i="6"/>
  <c r="O2344" i="6"/>
  <c r="O2345" i="6"/>
  <c r="O2346" i="6"/>
  <c r="O2347" i="6"/>
  <c r="O2348" i="6"/>
  <c r="O2349" i="6"/>
  <c r="O2350" i="6"/>
  <c r="O2351" i="6"/>
  <c r="O2352" i="6"/>
  <c r="O2353" i="6"/>
  <c r="O2354" i="6"/>
  <c r="O2355" i="6"/>
  <c r="O2356" i="6"/>
  <c r="O2357" i="6"/>
  <c r="O2358" i="6"/>
  <c r="O2359" i="6"/>
  <c r="O2360" i="6"/>
  <c r="O2361" i="6"/>
  <c r="O2362" i="6"/>
  <c r="O2363" i="6"/>
  <c r="O2364" i="6"/>
  <c r="O2365" i="6"/>
  <c r="O2366" i="6"/>
  <c r="O2367" i="6"/>
  <c r="O2368" i="6"/>
  <c r="O2369" i="6"/>
  <c r="O2370" i="6"/>
  <c r="O2371" i="6"/>
  <c r="O2372" i="6"/>
  <c r="O2373" i="6"/>
  <c r="O2374" i="6"/>
  <c r="O2375" i="6"/>
  <c r="O2376" i="6"/>
  <c r="O2377" i="6"/>
  <c r="O2378" i="6"/>
  <c r="O2379" i="6"/>
  <c r="O2380" i="6"/>
  <c r="O2381" i="6"/>
  <c r="O2382" i="6"/>
  <c r="O2383" i="6"/>
  <c r="O2384" i="6"/>
  <c r="O2385" i="6"/>
  <c r="O2386" i="6"/>
  <c r="O2387" i="6"/>
  <c r="O2388" i="6"/>
  <c r="O2389" i="6"/>
  <c r="O2390" i="6"/>
  <c r="O2391" i="6"/>
  <c r="O2392" i="6"/>
  <c r="O2393" i="6"/>
  <c r="O2394" i="6"/>
  <c r="O2395" i="6"/>
  <c r="O2396" i="6"/>
  <c r="O2397" i="6"/>
  <c r="O2398" i="6"/>
  <c r="O2399" i="6"/>
  <c r="O2400" i="6"/>
  <c r="O2401" i="6"/>
  <c r="O2402" i="6"/>
  <c r="O2403" i="6"/>
  <c r="O2404" i="6"/>
  <c r="O2405" i="6"/>
  <c r="O2406" i="6"/>
  <c r="O2407" i="6"/>
  <c r="O2408" i="6"/>
  <c r="O2409" i="6"/>
  <c r="O2410" i="6"/>
  <c r="O2411" i="6"/>
  <c r="O2412" i="6"/>
  <c r="O2413" i="6"/>
  <c r="O2414" i="6"/>
  <c r="O2415" i="6"/>
  <c r="O2416" i="6"/>
  <c r="O2417" i="6"/>
  <c r="O2418" i="6"/>
  <c r="O2419" i="6"/>
  <c r="O2420" i="6"/>
  <c r="O2421" i="6"/>
  <c r="O2422" i="6"/>
  <c r="O2423" i="6"/>
  <c r="O2424" i="6"/>
  <c r="O2425" i="6"/>
  <c r="O2426" i="6"/>
  <c r="O2427" i="6"/>
  <c r="O2428" i="6"/>
  <c r="O2429" i="6"/>
  <c r="O2430" i="6"/>
  <c r="O2431" i="6"/>
  <c r="O2432" i="6"/>
  <c r="O2433" i="6"/>
  <c r="O2434" i="6"/>
  <c r="O2435" i="6"/>
  <c r="O2436" i="6"/>
  <c r="O2437" i="6"/>
  <c r="O2438" i="6"/>
  <c r="O2439" i="6"/>
  <c r="O2440" i="6"/>
  <c r="O2441" i="6"/>
  <c r="O2442" i="6"/>
  <c r="O2443" i="6"/>
  <c r="O2444" i="6"/>
  <c r="O2445" i="6"/>
  <c r="O2446" i="6"/>
  <c r="O2447" i="6"/>
  <c r="O2448" i="6"/>
  <c r="O2449" i="6"/>
  <c r="O2450" i="6"/>
  <c r="O2451" i="6"/>
  <c r="O2452" i="6"/>
  <c r="O2453" i="6"/>
  <c r="O2454" i="6"/>
  <c r="O2455" i="6"/>
  <c r="O2456" i="6"/>
  <c r="O2457" i="6"/>
  <c r="O2458" i="6"/>
  <c r="O2459" i="6"/>
  <c r="O2460" i="6"/>
  <c r="O2461" i="6"/>
  <c r="O2462" i="6"/>
  <c r="O2463" i="6"/>
  <c r="O2464" i="6"/>
  <c r="O2465" i="6"/>
  <c r="O2466" i="6"/>
  <c r="O2467" i="6"/>
  <c r="O2468" i="6"/>
  <c r="O2469" i="6"/>
  <c r="O2470" i="6"/>
  <c r="O2471" i="6"/>
  <c r="O2472" i="6"/>
  <c r="O2473" i="6"/>
  <c r="O2474" i="6"/>
  <c r="O2475" i="6"/>
  <c r="O2476" i="6"/>
  <c r="O2477" i="6"/>
  <c r="O2478" i="6"/>
  <c r="O2479" i="6"/>
  <c r="O2480" i="6"/>
  <c r="O2481" i="6"/>
  <c r="O2482" i="6"/>
  <c r="O2483" i="6"/>
  <c r="O2484" i="6"/>
  <c r="O2485" i="6"/>
  <c r="O2486" i="6"/>
  <c r="O2487" i="6"/>
  <c r="O2488" i="6"/>
  <c r="O2489" i="6"/>
  <c r="O2490" i="6"/>
  <c r="O2491" i="6"/>
  <c r="O2492" i="6"/>
  <c r="O2493" i="6"/>
  <c r="O2494" i="6"/>
  <c r="O2495" i="6"/>
  <c r="O2496" i="6"/>
  <c r="O2497" i="6"/>
  <c r="O2498" i="6"/>
  <c r="O2499" i="6"/>
  <c r="O2500" i="6"/>
  <c r="O2501" i="6"/>
  <c r="O2502" i="6"/>
  <c r="O2503" i="6"/>
  <c r="O2504" i="6"/>
  <c r="O2505" i="6"/>
  <c r="O2506" i="6"/>
  <c r="O2507" i="6"/>
  <c r="O2508" i="6"/>
  <c r="O2509" i="6"/>
  <c r="O2510" i="6"/>
  <c r="O2511" i="6"/>
  <c r="O2512" i="6"/>
  <c r="O2513" i="6"/>
  <c r="O2514" i="6"/>
  <c r="O2515" i="6"/>
  <c r="O2516" i="6"/>
  <c r="O2517" i="6"/>
  <c r="O2518" i="6"/>
  <c r="O2519" i="6"/>
  <c r="O2520" i="6"/>
  <c r="O2521" i="6"/>
  <c r="O2522" i="6"/>
  <c r="O2523" i="6"/>
  <c r="O2524" i="6"/>
  <c r="O2525" i="6"/>
  <c r="O2526" i="6"/>
  <c r="O2527" i="6"/>
  <c r="O2528" i="6"/>
  <c r="O2529" i="6"/>
  <c r="O2530" i="6"/>
  <c r="O2531" i="6"/>
  <c r="O2532" i="6"/>
  <c r="O2533" i="6"/>
  <c r="O2534" i="6"/>
  <c r="O2535" i="6"/>
  <c r="O2536" i="6"/>
  <c r="O2537" i="6"/>
  <c r="O2538" i="6"/>
  <c r="O2539" i="6"/>
  <c r="O2540" i="6"/>
  <c r="O2541" i="6"/>
  <c r="O2542" i="6"/>
  <c r="O2543" i="6"/>
  <c r="O2544" i="6"/>
  <c r="O2545" i="6"/>
  <c r="O2546" i="6"/>
  <c r="O2547" i="6"/>
  <c r="O2548" i="6"/>
  <c r="O2549" i="6"/>
  <c r="O2550" i="6"/>
  <c r="O2551" i="6"/>
  <c r="O2552" i="6"/>
  <c r="O2553" i="6"/>
  <c r="O2554" i="6"/>
  <c r="O2555" i="6"/>
  <c r="O2556" i="6"/>
  <c r="O2557" i="6"/>
  <c r="O2558" i="6"/>
  <c r="O2559" i="6"/>
  <c r="O2560" i="6"/>
  <c r="O2561" i="6"/>
  <c r="O2562" i="6"/>
  <c r="O2563" i="6"/>
  <c r="O2564" i="6"/>
  <c r="O2565" i="6"/>
  <c r="O2566" i="6"/>
  <c r="O2567" i="6"/>
  <c r="O2568" i="6"/>
  <c r="O2569" i="6"/>
  <c r="O2570" i="6"/>
  <c r="O2571" i="6"/>
  <c r="O2572" i="6"/>
  <c r="O2573" i="6"/>
  <c r="O2574" i="6"/>
  <c r="O2575" i="6"/>
  <c r="O2576" i="6"/>
  <c r="O2577" i="6"/>
  <c r="O2578" i="6"/>
  <c r="O2579" i="6"/>
  <c r="O2580" i="6"/>
  <c r="O2581" i="6"/>
  <c r="O2582" i="6"/>
  <c r="O2583" i="6"/>
  <c r="O2584" i="6"/>
  <c r="O2585" i="6"/>
  <c r="O2586" i="6"/>
  <c r="O2587" i="6"/>
  <c r="O2588" i="6"/>
  <c r="O2589" i="6"/>
  <c r="O2590" i="6"/>
  <c r="O2591" i="6"/>
  <c r="O2592" i="6"/>
  <c r="O2593" i="6"/>
  <c r="O2594" i="6"/>
  <c r="O2595" i="6"/>
  <c r="O2596" i="6"/>
  <c r="O2597" i="6"/>
  <c r="O2598" i="6"/>
  <c r="O2599" i="6"/>
  <c r="O2600" i="6"/>
  <c r="O2601" i="6"/>
  <c r="O2602" i="6"/>
  <c r="O2603" i="6"/>
  <c r="O2604" i="6"/>
  <c r="O2605" i="6"/>
  <c r="O2606" i="6"/>
  <c r="O2607" i="6"/>
  <c r="O2608" i="6"/>
  <c r="O2609" i="6"/>
  <c r="O2610" i="6"/>
  <c r="O2611" i="6"/>
  <c r="O2612" i="6"/>
  <c r="O2613" i="6"/>
  <c r="O2614" i="6"/>
  <c r="O2615" i="6"/>
  <c r="O2616" i="6"/>
  <c r="O2617" i="6"/>
  <c r="O2618" i="6"/>
  <c r="O2619" i="6"/>
  <c r="O2620" i="6"/>
  <c r="O2621" i="6"/>
  <c r="O2622" i="6"/>
  <c r="O2623" i="6"/>
  <c r="O2624" i="6"/>
  <c r="O2625" i="6"/>
  <c r="O2626" i="6"/>
  <c r="O2627" i="6"/>
  <c r="O2628" i="6"/>
  <c r="O2629" i="6"/>
  <c r="O2630" i="6"/>
  <c r="O2631" i="6"/>
  <c r="O2632" i="6"/>
  <c r="O2633" i="6"/>
  <c r="O2634" i="6"/>
  <c r="O2635" i="6"/>
  <c r="O2636" i="6"/>
  <c r="O2637" i="6"/>
  <c r="O2638" i="6"/>
  <c r="O2639" i="6"/>
  <c r="O2640" i="6"/>
  <c r="O2641" i="6"/>
  <c r="O2642" i="6"/>
  <c r="O2643" i="6"/>
  <c r="O2644" i="6"/>
  <c r="O2645" i="6"/>
  <c r="O2646" i="6"/>
  <c r="O2647" i="6"/>
  <c r="O2648" i="6"/>
  <c r="O2649" i="6"/>
  <c r="O2650" i="6"/>
  <c r="O2651" i="6"/>
  <c r="O2652" i="6"/>
  <c r="O2653" i="6"/>
  <c r="O2654" i="6"/>
  <c r="O2655" i="6"/>
  <c r="O2656" i="6"/>
  <c r="O2657" i="6"/>
  <c r="O2658" i="6"/>
  <c r="O2659" i="6"/>
  <c r="O2660" i="6"/>
  <c r="O2661" i="6"/>
  <c r="O2662" i="6"/>
  <c r="O2663" i="6"/>
  <c r="O2664" i="6"/>
  <c r="O2665" i="6"/>
  <c r="O2666" i="6"/>
  <c r="O2667" i="6"/>
  <c r="O2668" i="6"/>
  <c r="O2669" i="6"/>
  <c r="O2670" i="6"/>
  <c r="O2671" i="6"/>
  <c r="O2672" i="6"/>
  <c r="O2673" i="6"/>
  <c r="O2674" i="6"/>
  <c r="O2675" i="6"/>
  <c r="O2676" i="6"/>
  <c r="O2677" i="6"/>
  <c r="O2678" i="6"/>
  <c r="O2679" i="6"/>
  <c r="O2680" i="6"/>
  <c r="O2681" i="6"/>
  <c r="O2682" i="6"/>
  <c r="O2683" i="6"/>
  <c r="O2684" i="6"/>
  <c r="O2685" i="6"/>
  <c r="O2686" i="6"/>
  <c r="O2687" i="6"/>
  <c r="O2688" i="6"/>
  <c r="O2689" i="6"/>
  <c r="O2690" i="6"/>
  <c r="O2691" i="6"/>
  <c r="O2692" i="6"/>
  <c r="O2693" i="6"/>
  <c r="O2694" i="6"/>
  <c r="O2695" i="6"/>
  <c r="O2696" i="6"/>
  <c r="O2697" i="6"/>
  <c r="O2698" i="6"/>
  <c r="O2699" i="6"/>
  <c r="O2700" i="6"/>
  <c r="O2701" i="6"/>
  <c r="O2702" i="6"/>
  <c r="O2703" i="6"/>
  <c r="O2704" i="6"/>
  <c r="O2705" i="6"/>
  <c r="O2706" i="6"/>
  <c r="O2707" i="6"/>
  <c r="O2708" i="6"/>
  <c r="O2709" i="6"/>
  <c r="O2710" i="6"/>
  <c r="O2711" i="6"/>
  <c r="O2712" i="6"/>
  <c r="O2713" i="6"/>
  <c r="O2714" i="6"/>
  <c r="O2715" i="6"/>
  <c r="O2716" i="6"/>
  <c r="O2717" i="6"/>
  <c r="O2718" i="6"/>
  <c r="O2719" i="6"/>
  <c r="O2720" i="6"/>
  <c r="O2721" i="6"/>
  <c r="O2722" i="6"/>
  <c r="O2723" i="6"/>
  <c r="O2724" i="6"/>
  <c r="O2725" i="6"/>
  <c r="O2726" i="6"/>
  <c r="O2727" i="6"/>
  <c r="O2728" i="6"/>
  <c r="O2729" i="6"/>
  <c r="O2730" i="6"/>
  <c r="O2731" i="6"/>
  <c r="O2732" i="6"/>
  <c r="O2733" i="6"/>
  <c r="O2734" i="6"/>
  <c r="O2735" i="6"/>
  <c r="O2736" i="6"/>
  <c r="O2737" i="6"/>
  <c r="O2738" i="6"/>
  <c r="O2739" i="6"/>
  <c r="O2740" i="6"/>
  <c r="O2741" i="6"/>
  <c r="O2742" i="6"/>
  <c r="O2743" i="6"/>
  <c r="O2744" i="6"/>
  <c r="O2745" i="6"/>
  <c r="O2746" i="6"/>
  <c r="O2747" i="6"/>
  <c r="O2748" i="6"/>
  <c r="O2749" i="6"/>
  <c r="O2750" i="6"/>
  <c r="O2751" i="6"/>
  <c r="O2752" i="6"/>
  <c r="O2753" i="6"/>
  <c r="O2754" i="6"/>
  <c r="O2755" i="6"/>
  <c r="O2756" i="6"/>
  <c r="O2757" i="6"/>
  <c r="O2758" i="6"/>
  <c r="O2759" i="6"/>
  <c r="O2760" i="6"/>
  <c r="O2761" i="6"/>
  <c r="O2762" i="6"/>
  <c r="O2763" i="6"/>
  <c r="O2764" i="6"/>
  <c r="O2765" i="6"/>
  <c r="O2766" i="6"/>
  <c r="O2767" i="6"/>
  <c r="O2768" i="6"/>
  <c r="O2769" i="6"/>
  <c r="O2770" i="6"/>
  <c r="O2771" i="6"/>
  <c r="O2772" i="6"/>
  <c r="O2773" i="6"/>
  <c r="O2774" i="6"/>
  <c r="O2775" i="6"/>
  <c r="O2776" i="6"/>
  <c r="O2777" i="6"/>
  <c r="O2778" i="6"/>
  <c r="O2779" i="6"/>
  <c r="O2780" i="6"/>
  <c r="O2781" i="6"/>
  <c r="O2782" i="6"/>
  <c r="O2783" i="6"/>
  <c r="O2784" i="6"/>
  <c r="O2785" i="6"/>
  <c r="O2786" i="6"/>
  <c r="O2787" i="6"/>
  <c r="O2788" i="6"/>
  <c r="O2789" i="6"/>
  <c r="O2790" i="6"/>
  <c r="O2791" i="6"/>
  <c r="O2792" i="6"/>
  <c r="O2793" i="6"/>
  <c r="O2794" i="6"/>
  <c r="O2795" i="6"/>
  <c r="O2796" i="6"/>
  <c r="O2797" i="6"/>
  <c r="O2798" i="6"/>
  <c r="O2799" i="6"/>
  <c r="O2800" i="6"/>
  <c r="O2801" i="6"/>
  <c r="O2802" i="6"/>
  <c r="O2803" i="6"/>
  <c r="O2804" i="6"/>
  <c r="O2805" i="6"/>
  <c r="O2806" i="6"/>
  <c r="O2807" i="6"/>
  <c r="O2808" i="6"/>
  <c r="O2809" i="6"/>
  <c r="O2810" i="6"/>
  <c r="O2811" i="6"/>
  <c r="O2812" i="6"/>
  <c r="O2813" i="6"/>
  <c r="O2814" i="6"/>
  <c r="O2815" i="6"/>
  <c r="O2816" i="6"/>
  <c r="O2817" i="6"/>
  <c r="O2818" i="6"/>
  <c r="O2819" i="6"/>
  <c r="O2820" i="6"/>
  <c r="O2821" i="6"/>
  <c r="O2822" i="6"/>
  <c r="O2823" i="6"/>
  <c r="O2824" i="6"/>
  <c r="O2825" i="6"/>
  <c r="O2826" i="6"/>
  <c r="O2827" i="6"/>
  <c r="O2828" i="6"/>
  <c r="O2829" i="6"/>
  <c r="O2830" i="6"/>
  <c r="O2831" i="6"/>
  <c r="O2832" i="6"/>
  <c r="O2833" i="6"/>
  <c r="O2834" i="6"/>
  <c r="O2835" i="6"/>
  <c r="O2836" i="6"/>
  <c r="O2837" i="6"/>
  <c r="O2838" i="6"/>
  <c r="O2839" i="6"/>
  <c r="O2840" i="6"/>
  <c r="O2841" i="6"/>
  <c r="O2842" i="6"/>
  <c r="O2843" i="6"/>
  <c r="O2844" i="6"/>
  <c r="O2845" i="6"/>
  <c r="O2846" i="6"/>
  <c r="O2847" i="6"/>
  <c r="O2848" i="6"/>
  <c r="O2849" i="6"/>
  <c r="O2850" i="6"/>
  <c r="O2851" i="6"/>
  <c r="O2852" i="6"/>
  <c r="O2853" i="6"/>
  <c r="O2854" i="6"/>
  <c r="O2855" i="6"/>
  <c r="O2856" i="6"/>
  <c r="O2857" i="6"/>
  <c r="O2858" i="6"/>
  <c r="O2859" i="6"/>
  <c r="O2860" i="6"/>
  <c r="O2861" i="6"/>
  <c r="O2862" i="6"/>
  <c r="O2863" i="6"/>
  <c r="O2864" i="6"/>
  <c r="O2865" i="6"/>
  <c r="O2866" i="6"/>
  <c r="O2867" i="6"/>
  <c r="O2868" i="6"/>
  <c r="O2869" i="6"/>
  <c r="O2870" i="6"/>
  <c r="O2871" i="6"/>
  <c r="O2872" i="6"/>
  <c r="O2873" i="6"/>
  <c r="O2874" i="6"/>
  <c r="O2875" i="6"/>
  <c r="O2876" i="6"/>
  <c r="O2877" i="6"/>
  <c r="O2878" i="6"/>
  <c r="O2879" i="6"/>
  <c r="O2880" i="6"/>
  <c r="O2881" i="6"/>
  <c r="O2882" i="6"/>
  <c r="O2883" i="6"/>
  <c r="O2884" i="6"/>
  <c r="O2885" i="6"/>
  <c r="O2886" i="6"/>
  <c r="O2887" i="6"/>
  <c r="O2888" i="6"/>
  <c r="O2889" i="6"/>
  <c r="O2890" i="6"/>
  <c r="O2891" i="6"/>
  <c r="O2892" i="6"/>
  <c r="O2893" i="6"/>
  <c r="O2894" i="6"/>
  <c r="O2895" i="6"/>
  <c r="O2896" i="6"/>
  <c r="O2897" i="6"/>
  <c r="O2898" i="6"/>
  <c r="O2899" i="6"/>
  <c r="O2900" i="6"/>
  <c r="O2901" i="6"/>
  <c r="O2902" i="6"/>
  <c r="O2903" i="6"/>
  <c r="O2904" i="6"/>
  <c r="O2905" i="6"/>
  <c r="O2906" i="6"/>
  <c r="O2907" i="6"/>
  <c r="O2908" i="6"/>
  <c r="O2909" i="6"/>
  <c r="O2910" i="6"/>
  <c r="O2911" i="6"/>
  <c r="O2912" i="6"/>
  <c r="O2913" i="6"/>
  <c r="O2914" i="6"/>
  <c r="O2915" i="6"/>
  <c r="O2916" i="6"/>
  <c r="O2917" i="6"/>
  <c r="O2918" i="6"/>
  <c r="O2919" i="6"/>
  <c r="O2920" i="6"/>
  <c r="O2921" i="6"/>
  <c r="O2922" i="6"/>
  <c r="O2923" i="6"/>
  <c r="O2924" i="6"/>
  <c r="O2925" i="6"/>
  <c r="O2926" i="6"/>
  <c r="O2927" i="6"/>
  <c r="O2928" i="6"/>
  <c r="O2929" i="6"/>
  <c r="O2930" i="6"/>
  <c r="O2931" i="6"/>
  <c r="O2932" i="6"/>
  <c r="O2933" i="6"/>
  <c r="O2934" i="6"/>
  <c r="O2935" i="6"/>
  <c r="O2936" i="6"/>
  <c r="O2937" i="6"/>
  <c r="O2938" i="6"/>
  <c r="O2939" i="6"/>
  <c r="O2940" i="6"/>
  <c r="O2941" i="6"/>
  <c r="O2942" i="6"/>
  <c r="O2943" i="6"/>
  <c r="O2944" i="6"/>
  <c r="O2945" i="6"/>
  <c r="O2946" i="6"/>
  <c r="O2947" i="6"/>
  <c r="O2948" i="6"/>
  <c r="O2949" i="6"/>
  <c r="O2950" i="6"/>
  <c r="O2951" i="6"/>
  <c r="O2952" i="6"/>
  <c r="O2953" i="6"/>
  <c r="O2954" i="6"/>
  <c r="O2955" i="6"/>
  <c r="O2956" i="6"/>
  <c r="O2957" i="6"/>
  <c r="O2958" i="6"/>
  <c r="O2959" i="6"/>
  <c r="O2960" i="6"/>
  <c r="O2961" i="6"/>
  <c r="O2962" i="6"/>
  <c r="O2963" i="6"/>
  <c r="O2964" i="6"/>
  <c r="O2965" i="6"/>
  <c r="O2966" i="6"/>
  <c r="O2967" i="6"/>
  <c r="O2968" i="6"/>
  <c r="O2969" i="6"/>
  <c r="O2970" i="6"/>
  <c r="O2971" i="6"/>
  <c r="O2972" i="6"/>
  <c r="O2973" i="6"/>
  <c r="O2974" i="6"/>
  <c r="O2975" i="6"/>
  <c r="O2976" i="6"/>
  <c r="O2977" i="6"/>
  <c r="O2978" i="6"/>
  <c r="O2979" i="6"/>
  <c r="O2980" i="6"/>
  <c r="O2981" i="6"/>
  <c r="O2982" i="6"/>
  <c r="O2983" i="6"/>
  <c r="O2984" i="6"/>
  <c r="O2985" i="6"/>
  <c r="O2986" i="6"/>
  <c r="O2987" i="6"/>
  <c r="O2988" i="6"/>
  <c r="O2989" i="6"/>
  <c r="O2990" i="6"/>
  <c r="O2991" i="6"/>
  <c r="O2992" i="6"/>
  <c r="O2993" i="6"/>
  <c r="O2994" i="6"/>
  <c r="O2995" i="6"/>
  <c r="O2996" i="6"/>
  <c r="O2997" i="6"/>
  <c r="O2998" i="6"/>
  <c r="O2999" i="6"/>
  <c r="O3000" i="6"/>
  <c r="O3001" i="6"/>
  <c r="O3002" i="6"/>
  <c r="O3003" i="6"/>
  <c r="O3004" i="6"/>
  <c r="O3005" i="6"/>
  <c r="O3006" i="6"/>
  <c r="O3007" i="6"/>
  <c r="O3008" i="6"/>
  <c r="O3009" i="6"/>
  <c r="O3010" i="6"/>
  <c r="O3011" i="6"/>
  <c r="O3012" i="6"/>
  <c r="O3013" i="6"/>
  <c r="O3014" i="6"/>
  <c r="O3015" i="6"/>
  <c r="O3016" i="6"/>
  <c r="O3017" i="6"/>
  <c r="O3018" i="6"/>
  <c r="O3019" i="6"/>
  <c r="O3020" i="6"/>
  <c r="O3021" i="6"/>
  <c r="O3022" i="6"/>
  <c r="O3023" i="6"/>
  <c r="O3024" i="6"/>
  <c r="O3025" i="6"/>
  <c r="O3026" i="6"/>
  <c r="O3027" i="6"/>
  <c r="O3028" i="6"/>
  <c r="O3029" i="6"/>
  <c r="O3030" i="6"/>
  <c r="O3031" i="6"/>
  <c r="O3032" i="6"/>
  <c r="O3033" i="6"/>
  <c r="O3034" i="6"/>
  <c r="O3035" i="6"/>
  <c r="O3036" i="6"/>
  <c r="O3037" i="6"/>
  <c r="O3038" i="6"/>
  <c r="O3039" i="6"/>
  <c r="O3040" i="6"/>
  <c r="O3041" i="6"/>
  <c r="O3042" i="6"/>
  <c r="O3043" i="6"/>
  <c r="O3044" i="6"/>
  <c r="O3045" i="6"/>
  <c r="O3046" i="6"/>
  <c r="O3047" i="6"/>
  <c r="O3048" i="6"/>
  <c r="O3049" i="6"/>
  <c r="O3050" i="6"/>
  <c r="O3051" i="6"/>
  <c r="O3052" i="6"/>
  <c r="O3053" i="6"/>
  <c r="O3054" i="6"/>
  <c r="O3055" i="6"/>
  <c r="O3056" i="6"/>
  <c r="O3057" i="6"/>
  <c r="O3058" i="6"/>
  <c r="O3059" i="6"/>
  <c r="O3060" i="6"/>
  <c r="O3061" i="6"/>
  <c r="O3062" i="6"/>
  <c r="O3063" i="6"/>
  <c r="O3064" i="6"/>
  <c r="O3065" i="6"/>
  <c r="O3066" i="6"/>
  <c r="O3067" i="6"/>
  <c r="O3068" i="6"/>
  <c r="O3069" i="6"/>
  <c r="O3070" i="6"/>
  <c r="O3071" i="6"/>
  <c r="O3072" i="6"/>
  <c r="O3073" i="6"/>
  <c r="O3074" i="6"/>
  <c r="O3075" i="6"/>
  <c r="O3076" i="6"/>
  <c r="O3077" i="6"/>
  <c r="O3078" i="6"/>
  <c r="O3079" i="6"/>
  <c r="O3080" i="6"/>
  <c r="O3081" i="6"/>
  <c r="O3082" i="6"/>
  <c r="O3083" i="6"/>
  <c r="O3084" i="6"/>
  <c r="O3085" i="6"/>
  <c r="O3086" i="6"/>
  <c r="O3087" i="6"/>
  <c r="O3088" i="6"/>
  <c r="O3089" i="6"/>
  <c r="O3090" i="6"/>
  <c r="O3091" i="6"/>
  <c r="O3092" i="6"/>
  <c r="O3093" i="6"/>
  <c r="O3094" i="6"/>
  <c r="O3095" i="6"/>
  <c r="O3096" i="6"/>
  <c r="O3097" i="6"/>
  <c r="O3098" i="6"/>
  <c r="O3099" i="6"/>
  <c r="O3100" i="6"/>
  <c r="O3101" i="6"/>
  <c r="O3102" i="6"/>
  <c r="O3103" i="6"/>
  <c r="O3104" i="6"/>
  <c r="O3105" i="6"/>
  <c r="O3106" i="6"/>
  <c r="O3107" i="6"/>
  <c r="O3108" i="6"/>
  <c r="O3109" i="6"/>
  <c r="O3110" i="6"/>
  <c r="O3111" i="6"/>
  <c r="O3112" i="6"/>
  <c r="O3113" i="6"/>
  <c r="O3114" i="6"/>
  <c r="O3115" i="6"/>
  <c r="O3116" i="6"/>
  <c r="O3117" i="6"/>
  <c r="O3118" i="6"/>
  <c r="O3119" i="6"/>
  <c r="O3120" i="6"/>
  <c r="O3121" i="6"/>
  <c r="O3122" i="6"/>
  <c r="O3123" i="6"/>
  <c r="O3124" i="6"/>
  <c r="O3125" i="6"/>
  <c r="O3126" i="6"/>
  <c r="O3127" i="6"/>
  <c r="O3128" i="6"/>
  <c r="O3129" i="6"/>
  <c r="O3130" i="6"/>
  <c r="O3131" i="6"/>
  <c r="O3132" i="6"/>
  <c r="O3133" i="6"/>
  <c r="O3134" i="6"/>
  <c r="O3135" i="6"/>
  <c r="O3136" i="6"/>
  <c r="O3137" i="6"/>
  <c r="O3138" i="6"/>
  <c r="O3139" i="6"/>
  <c r="O3140" i="6"/>
  <c r="O3141" i="6"/>
  <c r="O3142" i="6"/>
  <c r="O3143" i="6"/>
  <c r="O3144" i="6"/>
  <c r="O3145" i="6"/>
  <c r="O3146" i="6"/>
  <c r="O3147" i="6"/>
  <c r="O3148" i="6"/>
  <c r="O3149" i="6"/>
  <c r="O3150" i="6"/>
  <c r="O3151" i="6"/>
  <c r="O3152" i="6"/>
  <c r="O3153" i="6"/>
  <c r="O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 r="B1554" i="6"/>
  <c r="B1555" i="6"/>
  <c r="B1556" i="6"/>
  <c r="B1557" i="6"/>
  <c r="B1558" i="6"/>
  <c r="B1559" i="6"/>
  <c r="B1560" i="6"/>
  <c r="B1561" i="6"/>
  <c r="B1562" i="6"/>
  <c r="B1563" i="6"/>
  <c r="B1564" i="6"/>
  <c r="B1565" i="6"/>
  <c r="B1566" i="6"/>
  <c r="B1567" i="6"/>
  <c r="B1568" i="6"/>
  <c r="B1569" i="6"/>
  <c r="B1570" i="6"/>
  <c r="B1571" i="6"/>
  <c r="B1572" i="6"/>
  <c r="B1573" i="6"/>
  <c r="B1574" i="6"/>
  <c r="B1575" i="6"/>
  <c r="B1576" i="6"/>
  <c r="B1577" i="6"/>
  <c r="B1578" i="6"/>
  <c r="B1579" i="6"/>
  <c r="B1580" i="6"/>
  <c r="B1581" i="6"/>
  <c r="B1582" i="6"/>
  <c r="B1583" i="6"/>
  <c r="B1584" i="6"/>
  <c r="B1585" i="6"/>
  <c r="B1586" i="6"/>
  <c r="B1587" i="6"/>
  <c r="B1588" i="6"/>
  <c r="B1589" i="6"/>
  <c r="B1590" i="6"/>
  <c r="B1591" i="6"/>
  <c r="B1592" i="6"/>
  <c r="B1593" i="6"/>
  <c r="B1594" i="6"/>
  <c r="B1595" i="6"/>
  <c r="B1596" i="6"/>
  <c r="B1597" i="6"/>
  <c r="B1598" i="6"/>
  <c r="B1599" i="6"/>
  <c r="B1600" i="6"/>
  <c r="B1601" i="6"/>
  <c r="B1602" i="6"/>
  <c r="B1603" i="6"/>
  <c r="B1604" i="6"/>
  <c r="B1605" i="6"/>
  <c r="B1606" i="6"/>
  <c r="B1607" i="6"/>
  <c r="B1608" i="6"/>
  <c r="B1609" i="6"/>
  <c r="B1610" i="6"/>
  <c r="B1611" i="6"/>
  <c r="B1612" i="6"/>
  <c r="B1613" i="6"/>
  <c r="B1614" i="6"/>
  <c r="B1615" i="6"/>
  <c r="B1616" i="6"/>
  <c r="B1617" i="6"/>
  <c r="B1618" i="6"/>
  <c r="B1619" i="6"/>
  <c r="B1620" i="6"/>
  <c r="B1621" i="6"/>
  <c r="B1622" i="6"/>
  <c r="B1623" i="6"/>
  <c r="B1624" i="6"/>
  <c r="B1625" i="6"/>
  <c r="B1626" i="6"/>
  <c r="B1627" i="6"/>
  <c r="B1628" i="6"/>
  <c r="B1629" i="6"/>
  <c r="B1630" i="6"/>
  <c r="B1631" i="6"/>
  <c r="B1632" i="6"/>
  <c r="B1633" i="6"/>
  <c r="B1634" i="6"/>
  <c r="B1635" i="6"/>
  <c r="B1636" i="6"/>
  <c r="B1637" i="6"/>
  <c r="B1638" i="6"/>
  <c r="B1639" i="6"/>
  <c r="B1640" i="6"/>
  <c r="B1641" i="6"/>
  <c r="B1642" i="6"/>
  <c r="B1643" i="6"/>
  <c r="B1644" i="6"/>
  <c r="B1645" i="6"/>
  <c r="B1646" i="6"/>
  <c r="B1647" i="6"/>
  <c r="B1648" i="6"/>
  <c r="B1649" i="6"/>
  <c r="B1650" i="6"/>
  <c r="B1651" i="6"/>
  <c r="B1652" i="6"/>
  <c r="B1653" i="6"/>
  <c r="B1654" i="6"/>
  <c r="B1655" i="6"/>
  <c r="B1656" i="6"/>
  <c r="B1657" i="6"/>
  <c r="B1658" i="6"/>
  <c r="B1659" i="6"/>
  <c r="B1660" i="6"/>
  <c r="B1661" i="6"/>
  <c r="B1662" i="6"/>
  <c r="B1663" i="6"/>
  <c r="B1664" i="6"/>
  <c r="B1665" i="6"/>
  <c r="B1666" i="6"/>
  <c r="B1667" i="6"/>
  <c r="B1668" i="6"/>
  <c r="B1669" i="6"/>
  <c r="B1670" i="6"/>
  <c r="B1671" i="6"/>
  <c r="B1672" i="6"/>
  <c r="B1673" i="6"/>
  <c r="B1674" i="6"/>
  <c r="B1675" i="6"/>
  <c r="B1676" i="6"/>
  <c r="B1677" i="6"/>
  <c r="B1678" i="6"/>
  <c r="B1679" i="6"/>
  <c r="B1680" i="6"/>
  <c r="B1681" i="6"/>
  <c r="B1682" i="6"/>
  <c r="B1683" i="6"/>
  <c r="B1684" i="6"/>
  <c r="B1685" i="6"/>
  <c r="B1686" i="6"/>
  <c r="B1687" i="6"/>
  <c r="B1688" i="6"/>
  <c r="B1689" i="6"/>
  <c r="B1690" i="6"/>
  <c r="B1691" i="6"/>
  <c r="B1692" i="6"/>
  <c r="B1693" i="6"/>
  <c r="B1694" i="6"/>
  <c r="B1695" i="6"/>
  <c r="B1696" i="6"/>
  <c r="B1697" i="6"/>
  <c r="B1698" i="6"/>
  <c r="B1699" i="6"/>
  <c r="B1700" i="6"/>
  <c r="B1701" i="6"/>
  <c r="B1702" i="6"/>
  <c r="B1703" i="6"/>
  <c r="B1704" i="6"/>
  <c r="B1705" i="6"/>
  <c r="B1706" i="6"/>
  <c r="B1707" i="6"/>
  <c r="B1708" i="6"/>
  <c r="B1709" i="6"/>
  <c r="B1710" i="6"/>
  <c r="B1711" i="6"/>
  <c r="B1712" i="6"/>
  <c r="B1713" i="6"/>
  <c r="B1714" i="6"/>
  <c r="B1715" i="6"/>
  <c r="B1716" i="6"/>
  <c r="B1717" i="6"/>
  <c r="B1718" i="6"/>
  <c r="B1719" i="6"/>
  <c r="B1720" i="6"/>
  <c r="B1721" i="6"/>
  <c r="B1722" i="6"/>
  <c r="B1723" i="6"/>
  <c r="B1724" i="6"/>
  <c r="B1725" i="6"/>
  <c r="B1726" i="6"/>
  <c r="B1727" i="6"/>
  <c r="B1728" i="6"/>
  <c r="B1729" i="6"/>
  <c r="B1730" i="6"/>
  <c r="B1731" i="6"/>
  <c r="B1732" i="6"/>
  <c r="B1733" i="6"/>
  <c r="B1734" i="6"/>
  <c r="B1735" i="6"/>
  <c r="B1736" i="6"/>
  <c r="B1737" i="6"/>
  <c r="B1738" i="6"/>
  <c r="B1739" i="6"/>
  <c r="B1740" i="6"/>
  <c r="B1741" i="6"/>
  <c r="B1742" i="6"/>
  <c r="B1743" i="6"/>
  <c r="B1744" i="6"/>
  <c r="B1745" i="6"/>
  <c r="B1746" i="6"/>
  <c r="B1747" i="6"/>
  <c r="B1748" i="6"/>
  <c r="B1749" i="6"/>
  <c r="B1750" i="6"/>
  <c r="B1751" i="6"/>
  <c r="B1752" i="6"/>
  <c r="B1753" i="6"/>
  <c r="B1754" i="6"/>
  <c r="B1755" i="6"/>
  <c r="B1756" i="6"/>
  <c r="B1757" i="6"/>
  <c r="B1758" i="6"/>
  <c r="B1759" i="6"/>
  <c r="B1760" i="6"/>
  <c r="B1761" i="6"/>
  <c r="B1762" i="6"/>
  <c r="B1763" i="6"/>
  <c r="B1764" i="6"/>
  <c r="B1765" i="6"/>
  <c r="B1766" i="6"/>
  <c r="B1767" i="6"/>
  <c r="B1768" i="6"/>
  <c r="B1769" i="6"/>
  <c r="B1770" i="6"/>
  <c r="B1771" i="6"/>
  <c r="B1772" i="6"/>
  <c r="B1773" i="6"/>
  <c r="B1774" i="6"/>
  <c r="B1775" i="6"/>
  <c r="B1776" i="6"/>
  <c r="B1777" i="6"/>
  <c r="B1778" i="6"/>
  <c r="B1779" i="6"/>
  <c r="B1780" i="6"/>
  <c r="B1781" i="6"/>
  <c r="B1782" i="6"/>
  <c r="B1783" i="6"/>
  <c r="B1784" i="6"/>
  <c r="B1785" i="6"/>
  <c r="B1786" i="6"/>
  <c r="B1787" i="6"/>
  <c r="B1788" i="6"/>
  <c r="B1789" i="6"/>
  <c r="B1790" i="6"/>
  <c r="B1791" i="6"/>
  <c r="B1792" i="6"/>
  <c r="B1793" i="6"/>
  <c r="B1794" i="6"/>
  <c r="B1795" i="6"/>
  <c r="B1796" i="6"/>
  <c r="B1797" i="6"/>
  <c r="B1798" i="6"/>
  <c r="B1799" i="6"/>
  <c r="B1800" i="6"/>
  <c r="B1801" i="6"/>
  <c r="B1802" i="6"/>
  <c r="B1803" i="6"/>
  <c r="B1804" i="6"/>
  <c r="B1805" i="6"/>
  <c r="B1806" i="6"/>
  <c r="B1807" i="6"/>
  <c r="B1808" i="6"/>
  <c r="B1809" i="6"/>
  <c r="B1810" i="6"/>
  <c r="B1811" i="6"/>
  <c r="B1812" i="6"/>
  <c r="B1813" i="6"/>
  <c r="B1814" i="6"/>
  <c r="B1815" i="6"/>
  <c r="B1816" i="6"/>
  <c r="B1817" i="6"/>
  <c r="B1818" i="6"/>
  <c r="B1819" i="6"/>
  <c r="B1820" i="6"/>
  <c r="B1821" i="6"/>
  <c r="B1822" i="6"/>
  <c r="B1823" i="6"/>
  <c r="B1824" i="6"/>
  <c r="B1825" i="6"/>
  <c r="B1826" i="6"/>
  <c r="B1827" i="6"/>
  <c r="B1828" i="6"/>
  <c r="B1829" i="6"/>
  <c r="B1830" i="6"/>
  <c r="B1831" i="6"/>
  <c r="B1832" i="6"/>
  <c r="B1833" i="6"/>
  <c r="B1834" i="6"/>
  <c r="B1835" i="6"/>
  <c r="B1836" i="6"/>
  <c r="B1837" i="6"/>
  <c r="B1838" i="6"/>
  <c r="B1839" i="6"/>
  <c r="B1840" i="6"/>
  <c r="B1841" i="6"/>
  <c r="B1842" i="6"/>
  <c r="B1843" i="6"/>
  <c r="B1844" i="6"/>
  <c r="B1845" i="6"/>
  <c r="B1846" i="6"/>
  <c r="B1847" i="6"/>
  <c r="B1848" i="6"/>
  <c r="B1849" i="6"/>
  <c r="B1850" i="6"/>
  <c r="B1851" i="6"/>
  <c r="B1852" i="6"/>
  <c r="B1853" i="6"/>
  <c r="B1854" i="6"/>
  <c r="B1855" i="6"/>
  <c r="B1856" i="6"/>
  <c r="B1857" i="6"/>
  <c r="B1858" i="6"/>
  <c r="B1859" i="6"/>
  <c r="B1860" i="6"/>
  <c r="B1861" i="6"/>
  <c r="B1862" i="6"/>
  <c r="B1863" i="6"/>
  <c r="B1864" i="6"/>
  <c r="B1865" i="6"/>
  <c r="B1866" i="6"/>
  <c r="B1867" i="6"/>
  <c r="B1868" i="6"/>
  <c r="B1869" i="6"/>
  <c r="B1870" i="6"/>
  <c r="B1871" i="6"/>
  <c r="B1872" i="6"/>
  <c r="B1873" i="6"/>
  <c r="B1874" i="6"/>
  <c r="B1875" i="6"/>
  <c r="B1876" i="6"/>
  <c r="B1877" i="6"/>
  <c r="B1878" i="6"/>
  <c r="B1879" i="6"/>
  <c r="B1880" i="6"/>
  <c r="B1881" i="6"/>
  <c r="B1882" i="6"/>
  <c r="B1883" i="6"/>
  <c r="B1884" i="6"/>
  <c r="B1885" i="6"/>
  <c r="B1886" i="6"/>
  <c r="B1887" i="6"/>
  <c r="B1888" i="6"/>
  <c r="B1889" i="6"/>
  <c r="B1890" i="6"/>
  <c r="B1891" i="6"/>
  <c r="B1892" i="6"/>
  <c r="B1893" i="6"/>
  <c r="B1894" i="6"/>
  <c r="B1895" i="6"/>
  <c r="B1896" i="6"/>
  <c r="B1897" i="6"/>
  <c r="B1898" i="6"/>
  <c r="B1899" i="6"/>
  <c r="B1900" i="6"/>
  <c r="B1901" i="6"/>
  <c r="B1902" i="6"/>
  <c r="B1903" i="6"/>
  <c r="B1904" i="6"/>
  <c r="B1905" i="6"/>
  <c r="B1906" i="6"/>
  <c r="B1907" i="6"/>
  <c r="B1908" i="6"/>
  <c r="B1909" i="6"/>
  <c r="B1910" i="6"/>
  <c r="B1911" i="6"/>
  <c r="B1912" i="6"/>
  <c r="B1913" i="6"/>
  <c r="B1914" i="6"/>
  <c r="B1915" i="6"/>
  <c r="B1916" i="6"/>
  <c r="B1917" i="6"/>
  <c r="B1918" i="6"/>
  <c r="B1919" i="6"/>
  <c r="B1920" i="6"/>
  <c r="B1921" i="6"/>
  <c r="B1922" i="6"/>
  <c r="B1923" i="6"/>
  <c r="B1924" i="6"/>
  <c r="B1925" i="6"/>
  <c r="B1926" i="6"/>
  <c r="B1927" i="6"/>
  <c r="B1928" i="6"/>
  <c r="B1929" i="6"/>
  <c r="B1930" i="6"/>
  <c r="B1931" i="6"/>
  <c r="B1932" i="6"/>
  <c r="B1933" i="6"/>
  <c r="B1934" i="6"/>
  <c r="B1935" i="6"/>
  <c r="B1936" i="6"/>
  <c r="B1937" i="6"/>
  <c r="B1938" i="6"/>
  <c r="B1939" i="6"/>
  <c r="B1940" i="6"/>
  <c r="B1941" i="6"/>
  <c r="B1942" i="6"/>
  <c r="B1943" i="6"/>
  <c r="B1944" i="6"/>
  <c r="B1945" i="6"/>
  <c r="B1946" i="6"/>
  <c r="B1947" i="6"/>
  <c r="B1948" i="6"/>
  <c r="B1949" i="6"/>
  <c r="B1950" i="6"/>
  <c r="B1951" i="6"/>
  <c r="B1952" i="6"/>
  <c r="B1953" i="6"/>
  <c r="B1954" i="6"/>
  <c r="B1955" i="6"/>
  <c r="B1956" i="6"/>
  <c r="B1957" i="6"/>
  <c r="B1958" i="6"/>
  <c r="B1959" i="6"/>
  <c r="B1960" i="6"/>
  <c r="B1961" i="6"/>
  <c r="B1962" i="6"/>
  <c r="B1963" i="6"/>
  <c r="B1964" i="6"/>
  <c r="B1965" i="6"/>
  <c r="B1966" i="6"/>
  <c r="B1967" i="6"/>
  <c r="B1968" i="6"/>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c r="B1996" i="6"/>
  <c r="B1997" i="6"/>
  <c r="B1998" i="6"/>
  <c r="B1999" i="6"/>
  <c r="B2000" i="6"/>
  <c r="B2001" i="6"/>
  <c r="B2002" i="6"/>
  <c r="B2003" i="6"/>
  <c r="B2004" i="6"/>
  <c r="B2005" i="6"/>
  <c r="B2006" i="6"/>
  <c r="B2007" i="6"/>
  <c r="B2008" i="6"/>
  <c r="B2009" i="6"/>
  <c r="B2010" i="6"/>
  <c r="B2011" i="6"/>
  <c r="B2012" i="6"/>
  <c r="B2013" i="6"/>
  <c r="B2014" i="6"/>
  <c r="B2015" i="6"/>
  <c r="B2016" i="6"/>
  <c r="B2017" i="6"/>
  <c r="B2018" i="6"/>
  <c r="B2019" i="6"/>
  <c r="B2020" i="6"/>
  <c r="B2021" i="6"/>
  <c r="B2022" i="6"/>
  <c r="B2023" i="6"/>
  <c r="B2024" i="6"/>
  <c r="B2025" i="6"/>
  <c r="B2026" i="6"/>
  <c r="B2027" i="6"/>
  <c r="B2028" i="6"/>
  <c r="B2029" i="6"/>
  <c r="B2030" i="6"/>
  <c r="B2031" i="6"/>
  <c r="B2032" i="6"/>
  <c r="B2033" i="6"/>
  <c r="B2034" i="6"/>
  <c r="B2035" i="6"/>
  <c r="B2036" i="6"/>
  <c r="B2037" i="6"/>
  <c r="B2038" i="6"/>
  <c r="B2039" i="6"/>
  <c r="B2040" i="6"/>
  <c r="B2041" i="6"/>
  <c r="B2042" i="6"/>
  <c r="B2043" i="6"/>
  <c r="B2044" i="6"/>
  <c r="B2045" i="6"/>
  <c r="B2046" i="6"/>
  <c r="B2047" i="6"/>
  <c r="B2048" i="6"/>
  <c r="B2049" i="6"/>
  <c r="B2050" i="6"/>
  <c r="B2051" i="6"/>
  <c r="B2052" i="6"/>
  <c r="B2053" i="6"/>
  <c r="B2054" i="6"/>
  <c r="B2055" i="6"/>
  <c r="B2056" i="6"/>
  <c r="B2057" i="6"/>
  <c r="B2058" i="6"/>
  <c r="B2059" i="6"/>
  <c r="B2060" i="6"/>
  <c r="B2061" i="6"/>
  <c r="B2062" i="6"/>
  <c r="B2063" i="6"/>
  <c r="B2064" i="6"/>
  <c r="B2065" i="6"/>
  <c r="B2066" i="6"/>
  <c r="B2067" i="6"/>
  <c r="B2068" i="6"/>
  <c r="B2069" i="6"/>
  <c r="B2070" i="6"/>
  <c r="B2071" i="6"/>
  <c r="B2072" i="6"/>
  <c r="B2073" i="6"/>
  <c r="B2074" i="6"/>
  <c r="B2075" i="6"/>
  <c r="B2076" i="6"/>
  <c r="B2077" i="6"/>
  <c r="B2078" i="6"/>
  <c r="B2079" i="6"/>
  <c r="B2080" i="6"/>
  <c r="B2081" i="6"/>
  <c r="B2082" i="6"/>
  <c r="B2083" i="6"/>
  <c r="B2084" i="6"/>
  <c r="B2085" i="6"/>
  <c r="B2086" i="6"/>
  <c r="B2087" i="6"/>
  <c r="B2088" i="6"/>
  <c r="B2089" i="6"/>
  <c r="B2090" i="6"/>
  <c r="B2091" i="6"/>
  <c r="B2092" i="6"/>
  <c r="B2093" i="6"/>
  <c r="B2094" i="6"/>
  <c r="B2095" i="6"/>
  <c r="B2096" i="6"/>
  <c r="B2097" i="6"/>
  <c r="B2098" i="6"/>
  <c r="B2099" i="6"/>
  <c r="B2100" i="6"/>
  <c r="B2101" i="6"/>
  <c r="B2102" i="6"/>
  <c r="B2103" i="6"/>
  <c r="B2104" i="6"/>
  <c r="B2105" i="6"/>
  <c r="B2106" i="6"/>
  <c r="B2107" i="6"/>
  <c r="B2108" i="6"/>
  <c r="B2109" i="6"/>
  <c r="B2110" i="6"/>
  <c r="B2111" i="6"/>
  <c r="B2112" i="6"/>
  <c r="B2113" i="6"/>
  <c r="B2114" i="6"/>
  <c r="B2115" i="6"/>
  <c r="B2116" i="6"/>
  <c r="B2117" i="6"/>
  <c r="B2118" i="6"/>
  <c r="B2119" i="6"/>
  <c r="B2120" i="6"/>
  <c r="B2121" i="6"/>
  <c r="B2122" i="6"/>
  <c r="B2123" i="6"/>
  <c r="B2124" i="6"/>
  <c r="B2125" i="6"/>
  <c r="B2126" i="6"/>
  <c r="B2127" i="6"/>
  <c r="B2128" i="6"/>
  <c r="B2129" i="6"/>
  <c r="B2130" i="6"/>
  <c r="B2131" i="6"/>
  <c r="B2132" i="6"/>
  <c r="B2133" i="6"/>
  <c r="B2134" i="6"/>
  <c r="B2135" i="6"/>
  <c r="B2136" i="6"/>
  <c r="B2137" i="6"/>
  <c r="B2138" i="6"/>
  <c r="B2139" i="6"/>
  <c r="B2140" i="6"/>
  <c r="B2141" i="6"/>
  <c r="B2142" i="6"/>
  <c r="B2143" i="6"/>
  <c r="B2144" i="6"/>
  <c r="B2145" i="6"/>
  <c r="B2146" i="6"/>
  <c r="B2147" i="6"/>
  <c r="B2148" i="6"/>
  <c r="B2149" i="6"/>
  <c r="B2150" i="6"/>
  <c r="B2151" i="6"/>
  <c r="B2152" i="6"/>
  <c r="B2153" i="6"/>
  <c r="B2154" i="6"/>
  <c r="B2155" i="6"/>
  <c r="B2156" i="6"/>
  <c r="B2157" i="6"/>
  <c r="B2158" i="6"/>
  <c r="B2159" i="6"/>
  <c r="B2160" i="6"/>
  <c r="B2161" i="6"/>
  <c r="B2162" i="6"/>
  <c r="B2163" i="6"/>
  <c r="B2164" i="6"/>
  <c r="B2165" i="6"/>
  <c r="B2166" i="6"/>
  <c r="B2167" i="6"/>
  <c r="B2168" i="6"/>
  <c r="B2169" i="6"/>
  <c r="B2170" i="6"/>
  <c r="B2171" i="6"/>
  <c r="B2172" i="6"/>
  <c r="B2173" i="6"/>
  <c r="B2174" i="6"/>
  <c r="B2175" i="6"/>
  <c r="B2176" i="6"/>
  <c r="B2177" i="6"/>
  <c r="B2178" i="6"/>
  <c r="B2179" i="6"/>
  <c r="B2180" i="6"/>
  <c r="B2181" i="6"/>
  <c r="B2182" i="6"/>
  <c r="B2183" i="6"/>
  <c r="B2184" i="6"/>
  <c r="B2185" i="6"/>
  <c r="B2186" i="6"/>
  <c r="B2187" i="6"/>
  <c r="B2188" i="6"/>
  <c r="B2189" i="6"/>
  <c r="B2190" i="6"/>
  <c r="B2191" i="6"/>
  <c r="B2192" i="6"/>
  <c r="B2193" i="6"/>
  <c r="B2194" i="6"/>
  <c r="B2195" i="6"/>
  <c r="B2196" i="6"/>
  <c r="B2197" i="6"/>
  <c r="B2198" i="6"/>
  <c r="B2199" i="6"/>
  <c r="B2200" i="6"/>
  <c r="B2201" i="6"/>
  <c r="B2202" i="6"/>
  <c r="B2203" i="6"/>
  <c r="B2204" i="6"/>
  <c r="B2205" i="6"/>
  <c r="B2206" i="6"/>
  <c r="B2207" i="6"/>
  <c r="B2208" i="6"/>
  <c r="B2209" i="6"/>
  <c r="B2210" i="6"/>
  <c r="B2211" i="6"/>
  <c r="B2212" i="6"/>
  <c r="B2213" i="6"/>
  <c r="B2214" i="6"/>
  <c r="B2215" i="6"/>
  <c r="B2216" i="6"/>
  <c r="B2217" i="6"/>
  <c r="B2218" i="6"/>
  <c r="B2219" i="6"/>
  <c r="B2220" i="6"/>
  <c r="B2221" i="6"/>
  <c r="B2222" i="6"/>
  <c r="B2223" i="6"/>
  <c r="B2224" i="6"/>
  <c r="B2225" i="6"/>
  <c r="B2226" i="6"/>
  <c r="B2227" i="6"/>
  <c r="B2228" i="6"/>
  <c r="B2229" i="6"/>
  <c r="B2230" i="6"/>
  <c r="B2231" i="6"/>
  <c r="B2232" i="6"/>
  <c r="B2233" i="6"/>
  <c r="B2234" i="6"/>
  <c r="B2235" i="6"/>
  <c r="B2236" i="6"/>
  <c r="B2237" i="6"/>
  <c r="B2238" i="6"/>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c r="B2267" i="6"/>
  <c r="B2268" i="6"/>
  <c r="B2269" i="6"/>
  <c r="B2270" i="6"/>
  <c r="B2271" i="6"/>
  <c r="B2272" i="6"/>
  <c r="B2273" i="6"/>
  <c r="B2274" i="6"/>
  <c r="B2275" i="6"/>
  <c r="B2276" i="6"/>
  <c r="B2277" i="6"/>
  <c r="B2278" i="6"/>
  <c r="B2279" i="6"/>
  <c r="B2280" i="6"/>
  <c r="B2281" i="6"/>
  <c r="B2282" i="6"/>
  <c r="B2283" i="6"/>
  <c r="B2284" i="6"/>
  <c r="B2285" i="6"/>
  <c r="B2286" i="6"/>
  <c r="B2287" i="6"/>
  <c r="B2288" i="6"/>
  <c r="B2289" i="6"/>
  <c r="B2290" i="6"/>
  <c r="B2291" i="6"/>
  <c r="B2292" i="6"/>
  <c r="B2293" i="6"/>
  <c r="B2294" i="6"/>
  <c r="B2295" i="6"/>
  <c r="B2296" i="6"/>
  <c r="B2297" i="6"/>
  <c r="B2298" i="6"/>
  <c r="B2299" i="6"/>
  <c r="B2300" i="6"/>
  <c r="B2301" i="6"/>
  <c r="B2302" i="6"/>
  <c r="B2303" i="6"/>
  <c r="B2304" i="6"/>
  <c r="B2305" i="6"/>
  <c r="B2306" i="6"/>
  <c r="B2307" i="6"/>
  <c r="B2308" i="6"/>
  <c r="B2309" i="6"/>
  <c r="B2310" i="6"/>
  <c r="B2311" i="6"/>
  <c r="B2312" i="6"/>
  <c r="B2313" i="6"/>
  <c r="B2314" i="6"/>
  <c r="B2315" i="6"/>
  <c r="B2316" i="6"/>
  <c r="B2317" i="6"/>
  <c r="B2318" i="6"/>
  <c r="B2319" i="6"/>
  <c r="B2320" i="6"/>
  <c r="B2321" i="6"/>
  <c r="B2322" i="6"/>
  <c r="B2323" i="6"/>
  <c r="B2324" i="6"/>
  <c r="B2325" i="6"/>
  <c r="B2326" i="6"/>
  <c r="B2327" i="6"/>
  <c r="B2328" i="6"/>
  <c r="B2329" i="6"/>
  <c r="B2330" i="6"/>
  <c r="B2331" i="6"/>
  <c r="B2332" i="6"/>
  <c r="B2333" i="6"/>
  <c r="B2334" i="6"/>
  <c r="B2335" i="6"/>
  <c r="B2336" i="6"/>
  <c r="B2337" i="6"/>
  <c r="B2338" i="6"/>
  <c r="B2339" i="6"/>
  <c r="B2340" i="6"/>
  <c r="B2341" i="6"/>
  <c r="B2342" i="6"/>
  <c r="B2343" i="6"/>
  <c r="B2344" i="6"/>
  <c r="B2345" i="6"/>
  <c r="B2346" i="6"/>
  <c r="B2347" i="6"/>
  <c r="B2348" i="6"/>
  <c r="B2349" i="6"/>
  <c r="B2350" i="6"/>
  <c r="B2351" i="6"/>
  <c r="B2352" i="6"/>
  <c r="B2353" i="6"/>
  <c r="B2354" i="6"/>
  <c r="B2355" i="6"/>
  <c r="B2356" i="6"/>
  <c r="B2357" i="6"/>
  <c r="B2358" i="6"/>
  <c r="B2359" i="6"/>
  <c r="B2360" i="6"/>
  <c r="B2361" i="6"/>
  <c r="B2362" i="6"/>
  <c r="B2363" i="6"/>
  <c r="B2364" i="6"/>
  <c r="B2365" i="6"/>
  <c r="B2366" i="6"/>
  <c r="B2367" i="6"/>
  <c r="B2368" i="6"/>
  <c r="B2369" i="6"/>
  <c r="B2370" i="6"/>
  <c r="B2371" i="6"/>
  <c r="B2372" i="6"/>
  <c r="B2373" i="6"/>
  <c r="B2374" i="6"/>
  <c r="B2375" i="6"/>
  <c r="B2376" i="6"/>
  <c r="B2377" i="6"/>
  <c r="B2378" i="6"/>
  <c r="B2379" i="6"/>
  <c r="B2380" i="6"/>
  <c r="B2381" i="6"/>
  <c r="B2382" i="6"/>
  <c r="B2383" i="6"/>
  <c r="B2384" i="6"/>
  <c r="B2385" i="6"/>
  <c r="B2386" i="6"/>
  <c r="B2387" i="6"/>
  <c r="B2388" i="6"/>
  <c r="B2389" i="6"/>
  <c r="B2390" i="6"/>
  <c r="B2391" i="6"/>
  <c r="B2392" i="6"/>
  <c r="B2393" i="6"/>
  <c r="B2394" i="6"/>
  <c r="B2395" i="6"/>
  <c r="B2396" i="6"/>
  <c r="B2397" i="6"/>
  <c r="B2398" i="6"/>
  <c r="B2399" i="6"/>
  <c r="B2400" i="6"/>
  <c r="B2401" i="6"/>
  <c r="B2402" i="6"/>
  <c r="B2403" i="6"/>
  <c r="B2404" i="6"/>
  <c r="B2405" i="6"/>
  <c r="B2406" i="6"/>
  <c r="B2407" i="6"/>
  <c r="B2408" i="6"/>
  <c r="B2409" i="6"/>
  <c r="B2410" i="6"/>
  <c r="B2411" i="6"/>
  <c r="B2412" i="6"/>
  <c r="B2413" i="6"/>
  <c r="B2414" i="6"/>
  <c r="B2415" i="6"/>
  <c r="B2416" i="6"/>
  <c r="B2417" i="6"/>
  <c r="B2418" i="6"/>
  <c r="B2419" i="6"/>
  <c r="B2420" i="6"/>
  <c r="B2421" i="6"/>
  <c r="B2422" i="6"/>
  <c r="B2423" i="6"/>
  <c r="B2424" i="6"/>
  <c r="B2425" i="6"/>
  <c r="B2426" i="6"/>
  <c r="B2427" i="6"/>
  <c r="B2428" i="6"/>
  <c r="B2429" i="6"/>
  <c r="B2430" i="6"/>
  <c r="B2431" i="6"/>
  <c r="B2432" i="6"/>
  <c r="B2433" i="6"/>
  <c r="B2434" i="6"/>
  <c r="B2435" i="6"/>
  <c r="B2436" i="6"/>
  <c r="B2437" i="6"/>
  <c r="B2438" i="6"/>
  <c r="B2439" i="6"/>
  <c r="B2440" i="6"/>
  <c r="B2441" i="6"/>
  <c r="B2442" i="6"/>
  <c r="B2443" i="6"/>
  <c r="B2444" i="6"/>
  <c r="B2445" i="6"/>
  <c r="B2446" i="6"/>
  <c r="B2447" i="6"/>
  <c r="B2448" i="6"/>
  <c r="B2449" i="6"/>
  <c r="B2450" i="6"/>
  <c r="B2451" i="6"/>
  <c r="B2452" i="6"/>
  <c r="B2453" i="6"/>
  <c r="B2454" i="6"/>
  <c r="B2455" i="6"/>
  <c r="B2456" i="6"/>
  <c r="B2457" i="6"/>
  <c r="B2458" i="6"/>
  <c r="B2459" i="6"/>
  <c r="B2460" i="6"/>
  <c r="B2461" i="6"/>
  <c r="B2462" i="6"/>
  <c r="B2463" i="6"/>
  <c r="B2464" i="6"/>
  <c r="B2465" i="6"/>
  <c r="B2466" i="6"/>
  <c r="B2467" i="6"/>
  <c r="B2468" i="6"/>
  <c r="B2469" i="6"/>
  <c r="B2470" i="6"/>
  <c r="B2471" i="6"/>
  <c r="B2472" i="6"/>
  <c r="B2473" i="6"/>
  <c r="B2474" i="6"/>
  <c r="B2475" i="6"/>
  <c r="B2476" i="6"/>
  <c r="B2477" i="6"/>
  <c r="B2478" i="6"/>
  <c r="B2479" i="6"/>
  <c r="B2480" i="6"/>
  <c r="B2481" i="6"/>
  <c r="B2482" i="6"/>
  <c r="B2483" i="6"/>
  <c r="B2484" i="6"/>
  <c r="B2485" i="6"/>
  <c r="B2486" i="6"/>
  <c r="B2487" i="6"/>
  <c r="B2488" i="6"/>
  <c r="B2489" i="6"/>
  <c r="B2490" i="6"/>
  <c r="B2491" i="6"/>
  <c r="B2492" i="6"/>
  <c r="B2493" i="6"/>
  <c r="B2494" i="6"/>
  <c r="B2495" i="6"/>
  <c r="B2496" i="6"/>
  <c r="B2497" i="6"/>
  <c r="B2498" i="6"/>
  <c r="B2499" i="6"/>
  <c r="B2500" i="6"/>
  <c r="B2501" i="6"/>
  <c r="B2502" i="6"/>
  <c r="B2503" i="6"/>
  <c r="B2504" i="6"/>
  <c r="B2505" i="6"/>
  <c r="B2506" i="6"/>
  <c r="B2507" i="6"/>
  <c r="B2508" i="6"/>
  <c r="B2509" i="6"/>
  <c r="B2510" i="6"/>
  <c r="B2511" i="6"/>
  <c r="B2512" i="6"/>
  <c r="B2513" i="6"/>
  <c r="B2514" i="6"/>
  <c r="B2515" i="6"/>
  <c r="B2516" i="6"/>
  <c r="B2517" i="6"/>
  <c r="B2518" i="6"/>
  <c r="B2519" i="6"/>
  <c r="B2520" i="6"/>
  <c r="B2521" i="6"/>
  <c r="B2522" i="6"/>
  <c r="B2523" i="6"/>
  <c r="B2524" i="6"/>
  <c r="B2525" i="6"/>
  <c r="B2526" i="6"/>
  <c r="B2527" i="6"/>
  <c r="B2528" i="6"/>
  <c r="B2529" i="6"/>
  <c r="B2530" i="6"/>
  <c r="B2531" i="6"/>
  <c r="B2532" i="6"/>
  <c r="B2533" i="6"/>
  <c r="B2534" i="6"/>
  <c r="B2535" i="6"/>
  <c r="B2536" i="6"/>
  <c r="B2537" i="6"/>
  <c r="B2538" i="6"/>
  <c r="B2539" i="6"/>
  <c r="B2540" i="6"/>
  <c r="B2541" i="6"/>
  <c r="B2542" i="6"/>
  <c r="B2543" i="6"/>
  <c r="B2544" i="6"/>
  <c r="B2545" i="6"/>
  <c r="B2546" i="6"/>
  <c r="B2547" i="6"/>
  <c r="B2548" i="6"/>
  <c r="B2549" i="6"/>
  <c r="B2550" i="6"/>
  <c r="B2551" i="6"/>
  <c r="B2552" i="6"/>
  <c r="B2553" i="6"/>
  <c r="B2554" i="6"/>
  <c r="B2555" i="6"/>
  <c r="B2556" i="6"/>
  <c r="B2557" i="6"/>
  <c r="B2558" i="6"/>
  <c r="B2559" i="6"/>
  <c r="B2560" i="6"/>
  <c r="B2561" i="6"/>
  <c r="B2562" i="6"/>
  <c r="B2563" i="6"/>
  <c r="B2564" i="6"/>
  <c r="B2565" i="6"/>
  <c r="B2566" i="6"/>
  <c r="B2567" i="6"/>
  <c r="B2568" i="6"/>
  <c r="B2569" i="6"/>
  <c r="B2570" i="6"/>
  <c r="B2571" i="6"/>
  <c r="B2572" i="6"/>
  <c r="B2573" i="6"/>
  <c r="B2574" i="6"/>
  <c r="B2575" i="6"/>
  <c r="B2576" i="6"/>
  <c r="B2577" i="6"/>
  <c r="B2578" i="6"/>
  <c r="B2579" i="6"/>
  <c r="B2580" i="6"/>
  <c r="B2581" i="6"/>
  <c r="B2582" i="6"/>
  <c r="B2583" i="6"/>
  <c r="B2584" i="6"/>
  <c r="B2585" i="6"/>
  <c r="B2586" i="6"/>
  <c r="B2587" i="6"/>
  <c r="B2588" i="6"/>
  <c r="B2589" i="6"/>
  <c r="B2590" i="6"/>
  <c r="B2591" i="6"/>
  <c r="B2592" i="6"/>
  <c r="B2593" i="6"/>
  <c r="B2594" i="6"/>
  <c r="B2595" i="6"/>
  <c r="B2596" i="6"/>
  <c r="B2597" i="6"/>
  <c r="B2598" i="6"/>
  <c r="B2599" i="6"/>
  <c r="B2600" i="6"/>
  <c r="B2601" i="6"/>
  <c r="B2602" i="6"/>
  <c r="B2603" i="6"/>
  <c r="B2604" i="6"/>
  <c r="B2605" i="6"/>
  <c r="B2606" i="6"/>
  <c r="B2607" i="6"/>
  <c r="B2608" i="6"/>
  <c r="B2609" i="6"/>
  <c r="B2610" i="6"/>
  <c r="B2611" i="6"/>
  <c r="B2612" i="6"/>
  <c r="B2613" i="6"/>
  <c r="B2614" i="6"/>
  <c r="B2615" i="6"/>
  <c r="B2616" i="6"/>
  <c r="B2617" i="6"/>
  <c r="B2618" i="6"/>
  <c r="B2619" i="6"/>
  <c r="B2620" i="6"/>
  <c r="B2621" i="6"/>
  <c r="B2622" i="6"/>
  <c r="B2623" i="6"/>
  <c r="B2624" i="6"/>
  <c r="B2625" i="6"/>
  <c r="B2626" i="6"/>
  <c r="B2627" i="6"/>
  <c r="B2628" i="6"/>
  <c r="B2629" i="6"/>
  <c r="B2630" i="6"/>
  <c r="B2631" i="6"/>
  <c r="B2632" i="6"/>
  <c r="B2633" i="6"/>
  <c r="B2634" i="6"/>
  <c r="B2635" i="6"/>
  <c r="B2636" i="6"/>
  <c r="B2637" i="6"/>
  <c r="B2638" i="6"/>
  <c r="B2639" i="6"/>
  <c r="B2640" i="6"/>
  <c r="B2641" i="6"/>
  <c r="B2642" i="6"/>
  <c r="B2643" i="6"/>
  <c r="B2644" i="6"/>
  <c r="B2645" i="6"/>
  <c r="B2646" i="6"/>
  <c r="B2647" i="6"/>
  <c r="B2648" i="6"/>
  <c r="B2649" i="6"/>
  <c r="B2650" i="6"/>
  <c r="B2651" i="6"/>
  <c r="B2652" i="6"/>
  <c r="B2653" i="6"/>
  <c r="B2654" i="6"/>
  <c r="B2655" i="6"/>
  <c r="B2656" i="6"/>
  <c r="B2657" i="6"/>
  <c r="B2658" i="6"/>
  <c r="B2659" i="6"/>
  <c r="B2660" i="6"/>
  <c r="B2661" i="6"/>
  <c r="B2662" i="6"/>
  <c r="B2663" i="6"/>
  <c r="B2664" i="6"/>
  <c r="B2665" i="6"/>
  <c r="B2666" i="6"/>
  <c r="B2667" i="6"/>
  <c r="B2668" i="6"/>
  <c r="B2669" i="6"/>
  <c r="B2670" i="6"/>
  <c r="B2671" i="6"/>
  <c r="B2672" i="6"/>
  <c r="B2673" i="6"/>
  <c r="B2674" i="6"/>
  <c r="B2675" i="6"/>
  <c r="B2676" i="6"/>
  <c r="B2677" i="6"/>
  <c r="B2678" i="6"/>
  <c r="B2679" i="6"/>
  <c r="B2680" i="6"/>
  <c r="B2681" i="6"/>
  <c r="B2682" i="6"/>
  <c r="B2683" i="6"/>
  <c r="B2684" i="6"/>
  <c r="B2685" i="6"/>
  <c r="B2686" i="6"/>
  <c r="B2687" i="6"/>
  <c r="B2688" i="6"/>
  <c r="B2689" i="6"/>
  <c r="B2690" i="6"/>
  <c r="B2691" i="6"/>
  <c r="B2692" i="6"/>
  <c r="B2693" i="6"/>
  <c r="B2694" i="6"/>
  <c r="B2695" i="6"/>
  <c r="B2696" i="6"/>
  <c r="B2697" i="6"/>
  <c r="B2698" i="6"/>
  <c r="B2699" i="6"/>
  <c r="B2700" i="6"/>
  <c r="B2701" i="6"/>
  <c r="B2702" i="6"/>
  <c r="B2703" i="6"/>
  <c r="B2704" i="6"/>
  <c r="B2705" i="6"/>
  <c r="B2706" i="6"/>
  <c r="B2707" i="6"/>
  <c r="B2708" i="6"/>
  <c r="B2709" i="6"/>
  <c r="B2710" i="6"/>
  <c r="B2711" i="6"/>
  <c r="B2712" i="6"/>
  <c r="B2713" i="6"/>
  <c r="B2714" i="6"/>
  <c r="B2715" i="6"/>
  <c r="B2716" i="6"/>
  <c r="B2717" i="6"/>
  <c r="B2718" i="6"/>
  <c r="B2719" i="6"/>
  <c r="B2720" i="6"/>
  <c r="B2721" i="6"/>
  <c r="B2722" i="6"/>
  <c r="B2723" i="6"/>
  <c r="B2724" i="6"/>
  <c r="B2725" i="6"/>
  <c r="B2726" i="6"/>
  <c r="B2727" i="6"/>
  <c r="B2728" i="6"/>
  <c r="B2729" i="6"/>
  <c r="B2730" i="6"/>
  <c r="B2731" i="6"/>
  <c r="B2732" i="6"/>
  <c r="B2733" i="6"/>
  <c r="B2734" i="6"/>
  <c r="B2735" i="6"/>
  <c r="B2736" i="6"/>
  <c r="B2737" i="6"/>
  <c r="B2738" i="6"/>
  <c r="B2739" i="6"/>
  <c r="B2740" i="6"/>
  <c r="B2741" i="6"/>
  <c r="B2742" i="6"/>
  <c r="B2743" i="6"/>
  <c r="B2744" i="6"/>
  <c r="B2745" i="6"/>
  <c r="B2746" i="6"/>
  <c r="B2747" i="6"/>
  <c r="B2748" i="6"/>
  <c r="B2749" i="6"/>
  <c r="B2750" i="6"/>
  <c r="B2751" i="6"/>
  <c r="B2752" i="6"/>
  <c r="B2753" i="6"/>
  <c r="B2754" i="6"/>
  <c r="B2755" i="6"/>
  <c r="B2756" i="6"/>
  <c r="B2757" i="6"/>
  <c r="B2758" i="6"/>
  <c r="B2759" i="6"/>
  <c r="B2760" i="6"/>
  <c r="B2761" i="6"/>
  <c r="B2762" i="6"/>
  <c r="B2763" i="6"/>
  <c r="B2764" i="6"/>
  <c r="B2765" i="6"/>
  <c r="B2766" i="6"/>
  <c r="B2767" i="6"/>
  <c r="B2768" i="6"/>
  <c r="B2769" i="6"/>
  <c r="B2770" i="6"/>
  <c r="B2771" i="6"/>
  <c r="B2772" i="6"/>
  <c r="B2773" i="6"/>
  <c r="B2774" i="6"/>
  <c r="B2775" i="6"/>
  <c r="B2776" i="6"/>
  <c r="B2777" i="6"/>
  <c r="B2778" i="6"/>
  <c r="B2779" i="6"/>
  <c r="B2780" i="6"/>
  <c r="B2781" i="6"/>
  <c r="B2782" i="6"/>
  <c r="B2783" i="6"/>
  <c r="B2784" i="6"/>
  <c r="B2785" i="6"/>
  <c r="B2786" i="6"/>
  <c r="B2787" i="6"/>
  <c r="B2788" i="6"/>
  <c r="B2789" i="6"/>
  <c r="B2790" i="6"/>
  <c r="B2791" i="6"/>
  <c r="B2792" i="6"/>
  <c r="B2793" i="6"/>
  <c r="B2794" i="6"/>
  <c r="B2795" i="6"/>
  <c r="B2796" i="6"/>
  <c r="B2797" i="6"/>
  <c r="B2798" i="6"/>
  <c r="B2799" i="6"/>
  <c r="B2800" i="6"/>
  <c r="B2801" i="6"/>
  <c r="B2802" i="6"/>
  <c r="B2803" i="6"/>
  <c r="B2804" i="6"/>
  <c r="B2805" i="6"/>
  <c r="B2806" i="6"/>
  <c r="B2807" i="6"/>
  <c r="B2808" i="6"/>
  <c r="B2809" i="6"/>
  <c r="B2810" i="6"/>
  <c r="B2811" i="6"/>
  <c r="B2812" i="6"/>
  <c r="B2813" i="6"/>
  <c r="B2814" i="6"/>
  <c r="B2815" i="6"/>
  <c r="B2816" i="6"/>
  <c r="B2817" i="6"/>
  <c r="B2818" i="6"/>
  <c r="B2819" i="6"/>
  <c r="B2820" i="6"/>
  <c r="B2821" i="6"/>
  <c r="B2822" i="6"/>
  <c r="B2823" i="6"/>
  <c r="B2824" i="6"/>
  <c r="B2825" i="6"/>
  <c r="B2826" i="6"/>
  <c r="B2827" i="6"/>
  <c r="B2828" i="6"/>
  <c r="B2829" i="6"/>
  <c r="B2830" i="6"/>
  <c r="B2831" i="6"/>
  <c r="B2832" i="6"/>
  <c r="B2833" i="6"/>
  <c r="B2834" i="6"/>
  <c r="B2835" i="6"/>
  <c r="B2836" i="6"/>
  <c r="B2837" i="6"/>
  <c r="B2838" i="6"/>
  <c r="B2839" i="6"/>
  <c r="B2840" i="6"/>
  <c r="B2841" i="6"/>
  <c r="B2842" i="6"/>
  <c r="B2843" i="6"/>
  <c r="B2844" i="6"/>
  <c r="B2845" i="6"/>
  <c r="B2846" i="6"/>
  <c r="B2847" i="6"/>
  <c r="B2848" i="6"/>
  <c r="B2849" i="6"/>
  <c r="B2850" i="6"/>
  <c r="B2851" i="6"/>
  <c r="B2852" i="6"/>
  <c r="B2853" i="6"/>
  <c r="B2854" i="6"/>
  <c r="B2855" i="6"/>
  <c r="B2856" i="6"/>
  <c r="B2857" i="6"/>
  <c r="B2858" i="6"/>
  <c r="B2859" i="6"/>
  <c r="B2860" i="6"/>
  <c r="B2861" i="6"/>
  <c r="B2862" i="6"/>
  <c r="B2863" i="6"/>
  <c r="B2864" i="6"/>
  <c r="B2865" i="6"/>
  <c r="B2866" i="6"/>
  <c r="B2867" i="6"/>
  <c r="B2868" i="6"/>
  <c r="B2869" i="6"/>
  <c r="B2870" i="6"/>
  <c r="B2871" i="6"/>
  <c r="B2872" i="6"/>
  <c r="B2873" i="6"/>
  <c r="B2874" i="6"/>
  <c r="B2875" i="6"/>
  <c r="B2876" i="6"/>
  <c r="B2877" i="6"/>
  <c r="B2878" i="6"/>
  <c r="B2879" i="6"/>
  <c r="B2880" i="6"/>
  <c r="B2881" i="6"/>
  <c r="B2882" i="6"/>
  <c r="B2883" i="6"/>
  <c r="B2884" i="6"/>
  <c r="B2885" i="6"/>
  <c r="B2886" i="6"/>
  <c r="B2887" i="6"/>
  <c r="B2888" i="6"/>
  <c r="B2889" i="6"/>
  <c r="B2890" i="6"/>
  <c r="B2891" i="6"/>
  <c r="B2892" i="6"/>
  <c r="B2893" i="6"/>
  <c r="B2894" i="6"/>
  <c r="B2895" i="6"/>
  <c r="B2896" i="6"/>
  <c r="B2897" i="6"/>
  <c r="B2898" i="6"/>
  <c r="B2899" i="6"/>
  <c r="B2900" i="6"/>
  <c r="B2901" i="6"/>
  <c r="B2902" i="6"/>
  <c r="B2903" i="6"/>
  <c r="B2904" i="6"/>
  <c r="B2905" i="6"/>
  <c r="B2906" i="6"/>
  <c r="B2907" i="6"/>
  <c r="B2908" i="6"/>
  <c r="B2909" i="6"/>
  <c r="B2910" i="6"/>
  <c r="B2911" i="6"/>
  <c r="B2912" i="6"/>
  <c r="B2913" i="6"/>
  <c r="B2914" i="6"/>
  <c r="B2915" i="6"/>
  <c r="B2916" i="6"/>
  <c r="B2917" i="6"/>
  <c r="B2918" i="6"/>
  <c r="B2919" i="6"/>
  <c r="B2920" i="6"/>
  <c r="B2921" i="6"/>
  <c r="B2922" i="6"/>
  <c r="B2923" i="6"/>
  <c r="B2924" i="6"/>
  <c r="B2925" i="6"/>
  <c r="B2926" i="6"/>
  <c r="B2927" i="6"/>
  <c r="B2928" i="6"/>
  <c r="B2929" i="6"/>
  <c r="B2930" i="6"/>
  <c r="B2931" i="6"/>
  <c r="B2932" i="6"/>
  <c r="B2933" i="6"/>
  <c r="B2934" i="6"/>
  <c r="B2935" i="6"/>
  <c r="B2936" i="6"/>
  <c r="B2937" i="6"/>
  <c r="B2938" i="6"/>
  <c r="B2939" i="6"/>
  <c r="B2940" i="6"/>
  <c r="B2941" i="6"/>
  <c r="B2942" i="6"/>
  <c r="B2943" i="6"/>
  <c r="B2944" i="6"/>
  <c r="B2945" i="6"/>
  <c r="B2946" i="6"/>
  <c r="B2947" i="6"/>
  <c r="B2948" i="6"/>
  <c r="B2949" i="6"/>
  <c r="B2950" i="6"/>
  <c r="B2951" i="6"/>
  <c r="B2952" i="6"/>
  <c r="B2953" i="6"/>
  <c r="B2954" i="6"/>
  <c r="B2956" i="6"/>
  <c r="B2957" i="6"/>
  <c r="B2958" i="6"/>
  <c r="B2959" i="6"/>
  <c r="B2960" i="6"/>
  <c r="B2961" i="6"/>
  <c r="B2962" i="6"/>
  <c r="B2963" i="6"/>
  <c r="B2964" i="6"/>
  <c r="B2965" i="6"/>
  <c r="B2966" i="6"/>
  <c r="B2967" i="6"/>
  <c r="B2968" i="6"/>
  <c r="B2969" i="6"/>
  <c r="B2970" i="6"/>
  <c r="B2971" i="6"/>
  <c r="B2972" i="6"/>
  <c r="B2973" i="6"/>
  <c r="B2974" i="6"/>
  <c r="B2975" i="6"/>
  <c r="B2976" i="6"/>
  <c r="B2977" i="6"/>
  <c r="B2978" i="6"/>
  <c r="B2979" i="6"/>
  <c r="B2980" i="6"/>
  <c r="B2981" i="6"/>
  <c r="B2982" i="6"/>
  <c r="B2983" i="6"/>
  <c r="B2984" i="6"/>
  <c r="B2985" i="6"/>
  <c r="B2986" i="6"/>
  <c r="B2987" i="6"/>
  <c r="B2988" i="6"/>
  <c r="B2989" i="6"/>
  <c r="B2990" i="6"/>
  <c r="B2991" i="6"/>
  <c r="B2992" i="6"/>
  <c r="B2993" i="6"/>
  <c r="B2994" i="6"/>
  <c r="B2995" i="6"/>
  <c r="B2996" i="6"/>
  <c r="B2997" i="6"/>
  <c r="B2998" i="6"/>
  <c r="B2999" i="6"/>
  <c r="B3000" i="6"/>
  <c r="B3001" i="6"/>
  <c r="B3002" i="6"/>
  <c r="B3003" i="6"/>
  <c r="B3004" i="6"/>
  <c r="B3005" i="6"/>
  <c r="B3006" i="6"/>
  <c r="B3007" i="6"/>
  <c r="B3008" i="6"/>
  <c r="B3009" i="6"/>
  <c r="B3010" i="6"/>
  <c r="B3011" i="6"/>
  <c r="B3012" i="6"/>
  <c r="B3013" i="6"/>
  <c r="B3014" i="6"/>
  <c r="B3015" i="6"/>
  <c r="B3016" i="6"/>
  <c r="B3017" i="6"/>
  <c r="B3018" i="6"/>
  <c r="B3019" i="6"/>
  <c r="B3020" i="6"/>
  <c r="B3021" i="6"/>
  <c r="B3022" i="6"/>
  <c r="B3023" i="6"/>
  <c r="B3024" i="6"/>
  <c r="B3025" i="6"/>
  <c r="B3026" i="6"/>
  <c r="B3027" i="6"/>
  <c r="B3028" i="6"/>
  <c r="B3029" i="6"/>
  <c r="B3030" i="6"/>
  <c r="B3031" i="6"/>
  <c r="B3032" i="6"/>
  <c r="B3033" i="6"/>
  <c r="B3034" i="6"/>
  <c r="B3035" i="6"/>
  <c r="B3036" i="6"/>
  <c r="B3037" i="6"/>
  <c r="B3038" i="6"/>
  <c r="B3039" i="6"/>
  <c r="B3040" i="6"/>
  <c r="B3041" i="6"/>
  <c r="B3042" i="6"/>
  <c r="B3043" i="6"/>
  <c r="B3044" i="6"/>
  <c r="B3045" i="6"/>
  <c r="B3046" i="6"/>
  <c r="B3047" i="6"/>
  <c r="B3048" i="6"/>
  <c r="B3049" i="6"/>
  <c r="B3050" i="6"/>
  <c r="B3051" i="6"/>
  <c r="B3052" i="6"/>
  <c r="B3053" i="6"/>
  <c r="B3054" i="6"/>
  <c r="B3055" i="6"/>
  <c r="B3056" i="6"/>
  <c r="B3057" i="6"/>
  <c r="B3058" i="6"/>
  <c r="B3059" i="6"/>
  <c r="B3060" i="6"/>
  <c r="B3061" i="6"/>
  <c r="B3062" i="6"/>
  <c r="B3063" i="6"/>
  <c r="B3064" i="6"/>
  <c r="B3065" i="6"/>
  <c r="B3066" i="6"/>
  <c r="B3067" i="6"/>
  <c r="B3068" i="6"/>
  <c r="B3069" i="6"/>
  <c r="B3070" i="6"/>
  <c r="B3071" i="6"/>
  <c r="B3072" i="6"/>
  <c r="B3073" i="6"/>
  <c r="B3074" i="6"/>
  <c r="B3075" i="6"/>
  <c r="B3076" i="6"/>
  <c r="B3077" i="6"/>
  <c r="B3078" i="6"/>
  <c r="B3079" i="6"/>
  <c r="B3080" i="6"/>
  <c r="B3081" i="6"/>
  <c r="B3082" i="6"/>
  <c r="B3083" i="6"/>
  <c r="B3084" i="6"/>
  <c r="B3085" i="6"/>
  <c r="B3086" i="6"/>
  <c r="B3087" i="6"/>
  <c r="B3088" i="6"/>
  <c r="B3089" i="6"/>
  <c r="B3090" i="6"/>
  <c r="B3091" i="6"/>
  <c r="B3092" i="6"/>
  <c r="B3093" i="6"/>
  <c r="B3094" i="6"/>
  <c r="B3095" i="6"/>
  <c r="B3096" i="6"/>
  <c r="B3097" i="6"/>
  <c r="B3098" i="6"/>
  <c r="B3099" i="6"/>
  <c r="B3100" i="6"/>
  <c r="B3101" i="6"/>
  <c r="B3102" i="6"/>
  <c r="B3103" i="6"/>
  <c r="B3104" i="6"/>
  <c r="B3105" i="6"/>
  <c r="B3106" i="6"/>
  <c r="B3107" i="6"/>
  <c r="B3108" i="6"/>
  <c r="B3109" i="6"/>
  <c r="B3110" i="6"/>
  <c r="B3111" i="6"/>
  <c r="B3112" i="6"/>
  <c r="B3113" i="6"/>
  <c r="B3114" i="6"/>
  <c r="B3115" i="6"/>
  <c r="B3116" i="6"/>
  <c r="B3117" i="6"/>
  <c r="B3118" i="6"/>
  <c r="B3119" i="6"/>
  <c r="B3120" i="6"/>
  <c r="B3121" i="6"/>
  <c r="B3122" i="6"/>
  <c r="B3123" i="6"/>
  <c r="B3124" i="6"/>
  <c r="B3125" i="6"/>
  <c r="B3126" i="6"/>
  <c r="B3127" i="6"/>
  <c r="B3128" i="6"/>
  <c r="B3129" i="6"/>
  <c r="B3130" i="6"/>
  <c r="B3131" i="6"/>
  <c r="B3132" i="6"/>
  <c r="B3133" i="6"/>
  <c r="B3134" i="6"/>
  <c r="B3135" i="6"/>
  <c r="B3136" i="6"/>
  <c r="B3137" i="6"/>
  <c r="B3138" i="6"/>
  <c r="B3139" i="6"/>
  <c r="B3140" i="6"/>
  <c r="B3141" i="6"/>
  <c r="B3142" i="6"/>
  <c r="B3143" i="6"/>
  <c r="B3144" i="6"/>
  <c r="B3145" i="6"/>
  <c r="B3146" i="6"/>
  <c r="B3147" i="6"/>
  <c r="B6" i="6"/>
  <c r="F10" i="4" s="1"/>
  <c r="F93" i="4" l="1"/>
  <c r="E93" i="4"/>
  <c r="F94" i="4"/>
  <c r="E94" i="4"/>
  <c r="F95" i="4"/>
  <c r="E95" i="4"/>
  <c r="F96" i="4"/>
  <c r="E96" i="4"/>
  <c r="F97" i="4"/>
  <c r="E97" i="4"/>
  <c r="F98" i="4"/>
  <c r="E98" i="4"/>
  <c r="F99" i="4"/>
  <c r="E99" i="4"/>
  <c r="F100" i="4"/>
  <c r="E100" i="4"/>
  <c r="B37" i="5"/>
  <c r="F24" i="4"/>
  <c r="F4" i="4"/>
  <c r="E37" i="4"/>
  <c r="E37" i="1" s="1"/>
  <c r="F37" i="4"/>
  <c r="F34" i="4"/>
  <c r="E34" i="4"/>
  <c r="E34" i="1" s="1"/>
  <c r="E33" i="4"/>
  <c r="E33" i="1" s="1"/>
  <c r="E19" i="4"/>
  <c r="E7" i="4"/>
  <c r="F38" i="4"/>
  <c r="F21" i="4"/>
  <c r="F9" i="4"/>
  <c r="E31" i="4"/>
  <c r="E31" i="1" s="1"/>
  <c r="E18" i="4"/>
  <c r="E6" i="4"/>
  <c r="F35" i="4"/>
  <c r="F20" i="4"/>
  <c r="F8" i="4"/>
  <c r="E87" i="4"/>
  <c r="E87" i="1" s="1"/>
  <c r="F87" i="4"/>
  <c r="E88" i="4"/>
  <c r="E88" i="1" s="1"/>
  <c r="E94" i="1"/>
  <c r="E100" i="1"/>
  <c r="F88" i="4"/>
  <c r="E89" i="4"/>
  <c r="E89" i="1" s="1"/>
  <c r="E95" i="1"/>
  <c r="E83" i="4"/>
  <c r="E83" i="1" s="1"/>
  <c r="F83" i="4"/>
  <c r="E90" i="4"/>
  <c r="E90" i="1" s="1"/>
  <c r="E96" i="1"/>
  <c r="F89" i="4"/>
  <c r="F90" i="4"/>
  <c r="E85" i="4"/>
  <c r="E85" i="1" s="1"/>
  <c r="E91" i="4"/>
  <c r="E91" i="1" s="1"/>
  <c r="E97" i="1"/>
  <c r="E92" i="4"/>
  <c r="E92" i="1" s="1"/>
  <c r="E98" i="1"/>
  <c r="E99" i="1"/>
  <c r="F85" i="4"/>
  <c r="F91" i="4"/>
  <c r="E93" i="1"/>
  <c r="E86" i="4"/>
  <c r="E86" i="1" s="1"/>
  <c r="F86" i="4"/>
  <c r="F92" i="4"/>
  <c r="E63" i="4"/>
  <c r="E63" i="1" s="1"/>
  <c r="E69" i="4"/>
  <c r="E69" i="1" s="1"/>
  <c r="F63" i="4"/>
  <c r="F69" i="4"/>
  <c r="E59" i="4"/>
  <c r="E59" i="1" s="1"/>
  <c r="F65" i="4"/>
  <c r="E68" i="4"/>
  <c r="E68" i="1" s="1"/>
  <c r="E64" i="4"/>
  <c r="E64" i="1" s="1"/>
  <c r="E70" i="4"/>
  <c r="E70" i="1" s="1"/>
  <c r="F64" i="4"/>
  <c r="F70" i="4"/>
  <c r="E58" i="4"/>
  <c r="E58" i="1" s="1"/>
  <c r="F59" i="4"/>
  <c r="F58" i="4"/>
  <c r="E65" i="4"/>
  <c r="E65" i="1" s="1"/>
  <c r="E60" i="4"/>
  <c r="E60" i="1" s="1"/>
  <c r="E66" i="4"/>
  <c r="E66" i="1" s="1"/>
  <c r="F66" i="4"/>
  <c r="E61" i="4"/>
  <c r="E61" i="1" s="1"/>
  <c r="E67" i="4"/>
  <c r="E67" i="1" s="1"/>
  <c r="E62" i="4"/>
  <c r="E62" i="1" s="1"/>
  <c r="F62" i="4"/>
  <c r="F60" i="4"/>
  <c r="F68" i="4"/>
  <c r="F61" i="4"/>
  <c r="F67" i="4"/>
  <c r="E2" i="4"/>
  <c r="E2" i="1" s="1"/>
  <c r="E30" i="4"/>
  <c r="E30" i="1" s="1"/>
  <c r="E17" i="4"/>
  <c r="E5" i="4"/>
  <c r="F33" i="4"/>
  <c r="F19" i="4"/>
  <c r="F7" i="4"/>
  <c r="E47" i="4"/>
  <c r="E47" i="1" s="1"/>
  <c r="E29" i="4"/>
  <c r="E29" i="1" s="1"/>
  <c r="E16" i="4"/>
  <c r="E3" i="4"/>
  <c r="F31" i="4"/>
  <c r="F18" i="4"/>
  <c r="F6" i="4"/>
  <c r="F36" i="4"/>
  <c r="E36" i="4"/>
  <c r="E36" i="1" s="1"/>
  <c r="E46" i="4"/>
  <c r="E46" i="1" s="1"/>
  <c r="E28" i="4"/>
  <c r="E28" i="1" s="1"/>
  <c r="E15" i="4"/>
  <c r="F2" i="4"/>
  <c r="F30" i="4"/>
  <c r="F17" i="4"/>
  <c r="F5" i="4"/>
  <c r="E45" i="4"/>
  <c r="E45" i="1" s="1"/>
  <c r="E27" i="4"/>
  <c r="E27" i="1" s="1"/>
  <c r="E14" i="4"/>
  <c r="F47" i="4"/>
  <c r="F29" i="4"/>
  <c r="F16" i="4"/>
  <c r="F3" i="4"/>
  <c r="F84" i="4"/>
  <c r="E84" i="4"/>
  <c r="E84" i="1" s="1"/>
  <c r="E49" i="4"/>
  <c r="E49" i="1" s="1"/>
  <c r="F49" i="4"/>
  <c r="E52" i="4"/>
  <c r="E52" i="1" s="1"/>
  <c r="F56" i="4"/>
  <c r="E53" i="4"/>
  <c r="E53" i="1" s="1"/>
  <c r="F48" i="4"/>
  <c r="E56" i="4"/>
  <c r="E56" i="1" s="1"/>
  <c r="E54" i="4"/>
  <c r="E54" i="1" s="1"/>
  <c r="E44" i="4"/>
  <c r="E44" i="1" s="1"/>
  <c r="E55" i="4"/>
  <c r="E55" i="1" s="1"/>
  <c r="F44" i="4"/>
  <c r="E48" i="4"/>
  <c r="E48" i="1" s="1"/>
  <c r="E50" i="4"/>
  <c r="E50" i="1" s="1"/>
  <c r="F55" i="4"/>
  <c r="F50" i="4"/>
  <c r="F52" i="4"/>
  <c r="E51" i="4"/>
  <c r="E51" i="1" s="1"/>
  <c r="F51" i="4"/>
  <c r="F53" i="4"/>
  <c r="F54" i="4"/>
  <c r="E43" i="4"/>
  <c r="E43" i="1" s="1"/>
  <c r="E26" i="4"/>
  <c r="E26" i="1" s="1"/>
  <c r="E13" i="4"/>
  <c r="F46" i="4"/>
  <c r="F28" i="4"/>
  <c r="F15" i="4"/>
  <c r="E4" i="4"/>
  <c r="E41" i="4"/>
  <c r="E41" i="1" s="1"/>
  <c r="E25" i="4"/>
  <c r="E25" i="1" s="1"/>
  <c r="E12" i="4"/>
  <c r="F45" i="4"/>
  <c r="F27" i="4"/>
  <c r="F14" i="4"/>
  <c r="E42" i="4"/>
  <c r="E42" i="1" s="1"/>
  <c r="F42" i="4"/>
  <c r="F32" i="4"/>
  <c r="E32" i="4"/>
  <c r="E32" i="1" s="1"/>
  <c r="E40" i="4"/>
  <c r="E40" i="1" s="1"/>
  <c r="E23" i="4"/>
  <c r="E23" i="1" s="1"/>
  <c r="E11" i="4"/>
  <c r="F43" i="4"/>
  <c r="F26" i="4"/>
  <c r="F13" i="4"/>
  <c r="E24" i="4"/>
  <c r="E24" i="1" s="1"/>
  <c r="E39" i="4"/>
  <c r="E39" i="1" s="1"/>
  <c r="E22" i="4"/>
  <c r="E22" i="1" s="1"/>
  <c r="E10" i="4"/>
  <c r="F41" i="4"/>
  <c r="F25" i="4"/>
  <c r="F12" i="4"/>
  <c r="E76" i="4"/>
  <c r="E76" i="1" s="1"/>
  <c r="E82" i="4"/>
  <c r="E82" i="1" s="1"/>
  <c r="F76" i="4"/>
  <c r="F82" i="4"/>
  <c r="F78" i="4"/>
  <c r="E77" i="4"/>
  <c r="E77" i="1" s="1"/>
  <c r="E71" i="4"/>
  <c r="E71" i="1" s="1"/>
  <c r="F77" i="4"/>
  <c r="F71" i="4"/>
  <c r="E72" i="4"/>
  <c r="E72" i="1" s="1"/>
  <c r="E78" i="4"/>
  <c r="E78" i="1" s="1"/>
  <c r="F72" i="4"/>
  <c r="F81" i="4"/>
  <c r="E73" i="4"/>
  <c r="E73" i="1" s="1"/>
  <c r="E79" i="4"/>
  <c r="E79" i="1" s="1"/>
  <c r="E57" i="4"/>
  <c r="E57" i="1" s="1"/>
  <c r="F79" i="4"/>
  <c r="F57" i="4"/>
  <c r="E80" i="4"/>
  <c r="E80" i="1" s="1"/>
  <c r="F75" i="4"/>
  <c r="F73" i="4"/>
  <c r="E74" i="4"/>
  <c r="E74" i="1" s="1"/>
  <c r="E81" i="4"/>
  <c r="E81" i="1" s="1"/>
  <c r="F74" i="4"/>
  <c r="F80" i="4"/>
  <c r="E75" i="4"/>
  <c r="E75" i="1" s="1"/>
  <c r="E38" i="4"/>
  <c r="E38" i="1" s="1"/>
  <c r="E21" i="4"/>
  <c r="E21" i="1" s="1"/>
  <c r="E9" i="4"/>
  <c r="F40" i="4"/>
  <c r="F23" i="4"/>
  <c r="F11" i="4"/>
  <c r="E35" i="4"/>
  <c r="E35" i="1" s="1"/>
  <c r="E20" i="4"/>
  <c r="E20" i="1" s="1"/>
  <c r="E8" i="4"/>
  <c r="E8" i="1" s="1"/>
  <c r="F39" i="4"/>
  <c r="F22" i="4"/>
  <c r="E19" i="1"/>
  <c r="E7" i="1"/>
  <c r="E16" i="1"/>
  <c r="E4" i="1"/>
  <c r="E13" i="1"/>
  <c r="E3" i="1"/>
  <c r="E10" i="1"/>
  <c r="E15" i="1"/>
  <c r="E14" i="1"/>
  <c r="G3" i="1"/>
  <c r="BL3" i="1" s="1"/>
  <c r="G4" i="1"/>
  <c r="BP4" i="1" s="1"/>
  <c r="G5" i="1"/>
  <c r="BL5" i="1" s="1"/>
  <c r="G6" i="1"/>
  <c r="BL6" i="1" s="1"/>
  <c r="G7" i="1"/>
  <c r="BP7" i="1" s="1"/>
  <c r="G8" i="1"/>
  <c r="BL8" i="1" s="1"/>
  <c r="G9" i="1"/>
  <c r="BL9" i="1" s="1"/>
  <c r="G10" i="1"/>
  <c r="BP10" i="1" s="1"/>
  <c r="G11" i="1"/>
  <c r="BL11" i="1" s="1"/>
  <c r="G12" i="1"/>
  <c r="BL12" i="1" s="1"/>
  <c r="G13" i="1"/>
  <c r="BP13" i="1" s="1"/>
  <c r="G14" i="1"/>
  <c r="BL14" i="1" s="1"/>
  <c r="G15" i="1"/>
  <c r="BL15" i="1" s="1"/>
  <c r="G16" i="1"/>
  <c r="BP16" i="1" s="1"/>
  <c r="G17" i="1"/>
  <c r="BL17" i="1" s="1"/>
  <c r="G18" i="1"/>
  <c r="BL18" i="1" s="1"/>
  <c r="G19" i="1"/>
  <c r="BP19" i="1" s="1"/>
  <c r="G20" i="1"/>
  <c r="BL20" i="1" s="1"/>
  <c r="G21" i="1"/>
  <c r="BL21" i="1" s="1"/>
  <c r="G22" i="1"/>
  <c r="BP22" i="1" s="1"/>
  <c r="G23" i="1"/>
  <c r="BL23" i="1" s="1"/>
  <c r="G24" i="1"/>
  <c r="BL24" i="1" s="1"/>
  <c r="G25" i="1"/>
  <c r="BS25" i="1" s="1"/>
  <c r="G26" i="1"/>
  <c r="BM26" i="1" s="1"/>
  <c r="G27" i="1"/>
  <c r="BO27" i="1" s="1"/>
  <c r="G28" i="1"/>
  <c r="BS28" i="1" s="1"/>
  <c r="G29" i="1"/>
  <c r="BM29" i="1" s="1"/>
  <c r="G30" i="1"/>
  <c r="BO30" i="1" s="1"/>
  <c r="G31" i="1"/>
  <c r="BS31" i="1" s="1"/>
  <c r="G32" i="1"/>
  <c r="BM32" i="1" s="1"/>
  <c r="G33" i="1"/>
  <c r="BO33" i="1" s="1"/>
  <c r="G34" i="1"/>
  <c r="BS34" i="1" s="1"/>
  <c r="G35" i="1"/>
  <c r="BM35" i="1" s="1"/>
  <c r="G36" i="1"/>
  <c r="BO36" i="1" s="1"/>
  <c r="G37" i="1"/>
  <c r="BS37" i="1" s="1"/>
  <c r="G38" i="1"/>
  <c r="BM38" i="1" s="1"/>
  <c r="G39" i="1"/>
  <c r="BO39" i="1" s="1"/>
  <c r="G40" i="1"/>
  <c r="BS40" i="1" s="1"/>
  <c r="G41" i="1"/>
  <c r="BM41" i="1" s="1"/>
  <c r="G42" i="1"/>
  <c r="BO42" i="1" s="1"/>
  <c r="G43" i="1"/>
  <c r="BS43" i="1" s="1"/>
  <c r="G44" i="1"/>
  <c r="BM44" i="1" s="1"/>
  <c r="G45" i="1"/>
  <c r="BO45" i="1" s="1"/>
  <c r="G46" i="1"/>
  <c r="BS46" i="1" s="1"/>
  <c r="G47" i="1"/>
  <c r="BM47" i="1" s="1"/>
  <c r="G48" i="1"/>
  <c r="BO48" i="1" s="1"/>
  <c r="G49" i="1"/>
  <c r="BR49" i="1" s="1"/>
  <c r="G50" i="1"/>
  <c r="BM50" i="1" s="1"/>
  <c r="G51" i="1"/>
  <c r="BO51" i="1" s="1"/>
  <c r="G52" i="1"/>
  <c r="BS52" i="1" s="1"/>
  <c r="G53" i="1"/>
  <c r="BM53" i="1" s="1"/>
  <c r="G54" i="1"/>
  <c r="BO54" i="1" s="1"/>
  <c r="G55" i="1"/>
  <c r="BS55" i="1" s="1"/>
  <c r="G56" i="1"/>
  <c r="BM56" i="1" s="1"/>
  <c r="G57" i="1"/>
  <c r="BO57" i="1" s="1"/>
  <c r="G58" i="1"/>
  <c r="BS58" i="1" s="1"/>
  <c r="G59" i="1"/>
  <c r="BM59" i="1" s="1"/>
  <c r="G60" i="1"/>
  <c r="BO60" i="1" s="1"/>
  <c r="G61" i="1"/>
  <c r="BS61" i="1" s="1"/>
  <c r="G62" i="1"/>
  <c r="BM62" i="1" s="1"/>
  <c r="G63" i="1"/>
  <c r="BO63" i="1" s="1"/>
  <c r="G64" i="1"/>
  <c r="BS64" i="1" s="1"/>
  <c r="G65" i="1"/>
  <c r="BM65" i="1" s="1"/>
  <c r="G66" i="1"/>
  <c r="BO66" i="1" s="1"/>
  <c r="G67" i="1"/>
  <c r="BS67" i="1" s="1"/>
  <c r="G68" i="1"/>
  <c r="BM68" i="1" s="1"/>
  <c r="G69" i="1"/>
  <c r="BO69" i="1" s="1"/>
  <c r="G70" i="1"/>
  <c r="BS70" i="1" s="1"/>
  <c r="G71" i="1"/>
  <c r="BM71" i="1" s="1"/>
  <c r="G72" i="1"/>
  <c r="BO72" i="1" s="1"/>
  <c r="G73" i="1"/>
  <c r="BS73" i="1" s="1"/>
  <c r="G74" i="1"/>
  <c r="BM74" i="1" s="1"/>
  <c r="G75" i="1"/>
  <c r="BO75" i="1" s="1"/>
  <c r="G76" i="1"/>
  <c r="BS76" i="1" s="1"/>
  <c r="G77" i="1"/>
  <c r="BM77" i="1" s="1"/>
  <c r="G78" i="1"/>
  <c r="BO78" i="1" s="1"/>
  <c r="G79" i="1"/>
  <c r="BS79" i="1" s="1"/>
  <c r="G80" i="1"/>
  <c r="BM80" i="1" s="1"/>
  <c r="G81" i="1"/>
  <c r="BO81" i="1" s="1"/>
  <c r="G82" i="1"/>
  <c r="BS82" i="1" s="1"/>
  <c r="G83" i="1"/>
  <c r="BM83" i="1" s="1"/>
  <c r="G84" i="1"/>
  <c r="BO84" i="1" s="1"/>
  <c r="G85" i="1"/>
  <c r="BS85" i="1" s="1"/>
  <c r="G86" i="1"/>
  <c r="BM86" i="1" s="1"/>
  <c r="G87" i="1"/>
  <c r="BO87" i="1" s="1"/>
  <c r="G88" i="1"/>
  <c r="BS88" i="1" s="1"/>
  <c r="G89" i="1"/>
  <c r="BM89" i="1" s="1"/>
  <c r="G90" i="1"/>
  <c r="BO90" i="1" s="1"/>
  <c r="G91" i="1"/>
  <c r="BS91" i="1" s="1"/>
  <c r="G92" i="1"/>
  <c r="BM92" i="1" s="1"/>
  <c r="G93" i="1"/>
  <c r="BO93" i="1" s="1"/>
  <c r="G94" i="1"/>
  <c r="BS94" i="1" s="1"/>
  <c r="G95" i="1"/>
  <c r="BM95" i="1" s="1"/>
  <c r="G96" i="1"/>
  <c r="BO96" i="1" s="1"/>
  <c r="G97" i="1"/>
  <c r="BS97" i="1" s="1"/>
  <c r="G98" i="1"/>
  <c r="BM98" i="1" s="1"/>
  <c r="G99" i="1"/>
  <c r="BO99" i="1" s="1"/>
  <c r="G100" i="1"/>
  <c r="BS100" i="1" s="1"/>
  <c r="G2" i="1"/>
  <c r="BL2"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2"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E18" i="1" l="1"/>
  <c r="E17" i="1"/>
  <c r="E9" i="1"/>
  <c r="E12" i="1"/>
  <c r="E6" i="1"/>
  <c r="E11" i="1"/>
  <c r="E5" i="1"/>
  <c r="BN72" i="1"/>
  <c r="BR40" i="1"/>
  <c r="BR71" i="1"/>
  <c r="BL35" i="1"/>
  <c r="BR67" i="1"/>
  <c r="BR34" i="1"/>
  <c r="BL100" i="1"/>
  <c r="BP66" i="1"/>
  <c r="BM30" i="1"/>
  <c r="BL94" i="1"/>
  <c r="BR62" i="1"/>
  <c r="BR29" i="1"/>
  <c r="BN93" i="1"/>
  <c r="BR56" i="1"/>
  <c r="BS23" i="1"/>
  <c r="BL89" i="1"/>
  <c r="BP56" i="1"/>
  <c r="BR23" i="1"/>
  <c r="BR88" i="1"/>
  <c r="BN52" i="1"/>
  <c r="BS18" i="1"/>
  <c r="BL83" i="1"/>
  <c r="BL52" i="1"/>
  <c r="BQ18" i="1"/>
  <c r="BR82" i="1"/>
  <c r="BN46" i="1"/>
  <c r="BO14" i="1"/>
  <c r="BM78" i="1"/>
  <c r="BL46" i="1"/>
  <c r="BM8" i="1"/>
  <c r="BR77" i="1"/>
  <c r="BL41" i="1"/>
  <c r="BO7" i="1"/>
  <c r="BR98" i="1"/>
  <c r="BR92" i="1"/>
  <c r="BQ88" i="1"/>
  <c r="BQ82" i="1"/>
  <c r="BP77" i="1"/>
  <c r="BP71" i="1"/>
  <c r="BN66" i="1"/>
  <c r="BL62" i="1"/>
  <c r="BL56" i="1"/>
  <c r="BN51" i="1"/>
  <c r="BN45" i="1"/>
  <c r="BQ40" i="1"/>
  <c r="BQ34" i="1"/>
  <c r="BP29" i="1"/>
  <c r="BO23" i="1"/>
  <c r="BM18" i="1"/>
  <c r="BS11" i="1"/>
  <c r="BS6" i="1"/>
  <c r="BM14" i="1"/>
  <c r="BP98" i="1"/>
  <c r="BP92" i="1"/>
  <c r="BN88" i="1"/>
  <c r="BN82" i="1"/>
  <c r="BL77" i="1"/>
  <c r="BL71" i="1"/>
  <c r="BM66" i="1"/>
  <c r="BN60" i="1"/>
  <c r="BR55" i="1"/>
  <c r="BR50" i="1"/>
  <c r="BR44" i="1"/>
  <c r="BN40" i="1"/>
  <c r="BN34" i="1"/>
  <c r="BL29" i="1"/>
  <c r="BM23" i="1"/>
  <c r="BS17" i="1"/>
  <c r="BR11" i="1"/>
  <c r="BQ6" i="1"/>
  <c r="BL98" i="1"/>
  <c r="BL92" i="1"/>
  <c r="BL88" i="1"/>
  <c r="BL82" i="1"/>
  <c r="BR76" i="1"/>
  <c r="BR70" i="1"/>
  <c r="BR65" i="1"/>
  <c r="BR59" i="1"/>
  <c r="BP54" i="1"/>
  <c r="BP50" i="1"/>
  <c r="BP44" i="1"/>
  <c r="BL40" i="1"/>
  <c r="BL34" i="1"/>
  <c r="BR28" i="1"/>
  <c r="BQ22" i="1"/>
  <c r="BR17" i="1"/>
  <c r="BO11" i="1"/>
  <c r="BM6" i="1"/>
  <c r="BP62" i="1"/>
  <c r="BN96" i="1"/>
  <c r="BR91" i="1"/>
  <c r="BN87" i="1"/>
  <c r="BN81" i="1"/>
  <c r="BQ76" i="1"/>
  <c r="BQ70" i="1"/>
  <c r="BP65" i="1"/>
  <c r="BP59" i="1"/>
  <c r="BN54" i="1"/>
  <c r="BL50" i="1"/>
  <c r="BL44" i="1"/>
  <c r="BN39" i="1"/>
  <c r="BN33" i="1"/>
  <c r="BQ28" i="1"/>
  <c r="BO22" i="1"/>
  <c r="BO17" i="1"/>
  <c r="BM11" i="1"/>
  <c r="BS5" i="1"/>
  <c r="BM2" i="1"/>
  <c r="BR95" i="1"/>
  <c r="BN91" i="1"/>
  <c r="BR86" i="1"/>
  <c r="BR80" i="1"/>
  <c r="BN76" i="1"/>
  <c r="BN70" i="1"/>
  <c r="BL65" i="1"/>
  <c r="BL59" i="1"/>
  <c r="BM54" i="1"/>
  <c r="BN48" i="1"/>
  <c r="BR43" i="1"/>
  <c r="BR38" i="1"/>
  <c r="BR32" i="1"/>
  <c r="BN28" i="1"/>
  <c r="BN22" i="1"/>
  <c r="BM17" i="1"/>
  <c r="BQ10" i="1"/>
  <c r="BR5" i="1"/>
  <c r="BO2" i="1"/>
  <c r="BP95" i="1"/>
  <c r="BP90" i="1"/>
  <c r="BP86" i="1"/>
  <c r="BP80" i="1"/>
  <c r="BL76" i="1"/>
  <c r="BL70" i="1"/>
  <c r="BR64" i="1"/>
  <c r="BR58" i="1"/>
  <c r="BR53" i="1"/>
  <c r="BR47" i="1"/>
  <c r="BP42" i="1"/>
  <c r="BP38" i="1"/>
  <c r="BP32" i="1"/>
  <c r="BL28" i="1"/>
  <c r="BS20" i="1"/>
  <c r="BQ16" i="1"/>
  <c r="BO10" i="1"/>
  <c r="BO5" i="1"/>
  <c r="BS2" i="1"/>
  <c r="BL95" i="1"/>
  <c r="BN90" i="1"/>
  <c r="BL86" i="1"/>
  <c r="BL80" i="1"/>
  <c r="BN75" i="1"/>
  <c r="BN69" i="1"/>
  <c r="BQ64" i="1"/>
  <c r="BQ58" i="1"/>
  <c r="BP53" i="1"/>
  <c r="BP47" i="1"/>
  <c r="BN42" i="1"/>
  <c r="BL38" i="1"/>
  <c r="BL32" i="1"/>
  <c r="BN27" i="1"/>
  <c r="BR20" i="1"/>
  <c r="BO16" i="1"/>
  <c r="BN10" i="1"/>
  <c r="BM5" i="1"/>
  <c r="BR100" i="1"/>
  <c r="BR94" i="1"/>
  <c r="BM90" i="1"/>
  <c r="BN84" i="1"/>
  <c r="BR79" i="1"/>
  <c r="BR74" i="1"/>
  <c r="BR68" i="1"/>
  <c r="BN64" i="1"/>
  <c r="BN58" i="1"/>
  <c r="BL53" i="1"/>
  <c r="BL47" i="1"/>
  <c r="BM42" i="1"/>
  <c r="BN36" i="1"/>
  <c r="BR31" i="1"/>
  <c r="BR26" i="1"/>
  <c r="BO20" i="1"/>
  <c r="BN16" i="1"/>
  <c r="BS8" i="1"/>
  <c r="BQ4" i="1"/>
  <c r="BN99" i="1"/>
  <c r="BQ100" i="1"/>
  <c r="BQ94" i="1"/>
  <c r="BR89" i="1"/>
  <c r="BR83" i="1"/>
  <c r="BP78" i="1"/>
  <c r="BP74" i="1"/>
  <c r="BP68" i="1"/>
  <c r="BL64" i="1"/>
  <c r="BL58" i="1"/>
  <c r="BR52" i="1"/>
  <c r="BR46" i="1"/>
  <c r="BR41" i="1"/>
  <c r="BR35" i="1"/>
  <c r="BP30" i="1"/>
  <c r="BP26" i="1"/>
  <c r="BM20" i="1"/>
  <c r="BS14" i="1"/>
  <c r="BR8" i="1"/>
  <c r="BO4" i="1"/>
  <c r="BN100" i="1"/>
  <c r="BN94" i="1"/>
  <c r="BP89" i="1"/>
  <c r="BP83" i="1"/>
  <c r="BN78" i="1"/>
  <c r="BL74" i="1"/>
  <c r="BL68" i="1"/>
  <c r="BN63" i="1"/>
  <c r="BN57" i="1"/>
  <c r="BQ52" i="1"/>
  <c r="BQ46" i="1"/>
  <c r="BP41" i="1"/>
  <c r="BP35" i="1"/>
  <c r="BN30" i="1"/>
  <c r="BL26" i="1"/>
  <c r="BO19" i="1"/>
  <c r="BR14" i="1"/>
  <c r="BO8" i="1"/>
  <c r="BN4" i="1"/>
  <c r="BR97" i="1"/>
  <c r="BQ97" i="1"/>
  <c r="BM96" i="1"/>
  <c r="BQ79" i="1"/>
  <c r="BM75" i="1"/>
  <c r="BQ73" i="1"/>
  <c r="BM72" i="1"/>
  <c r="BM69" i="1"/>
  <c r="BM63" i="1"/>
  <c r="BM60" i="1"/>
  <c r="BM57" i="1"/>
  <c r="BQ55" i="1"/>
  <c r="BM51" i="1"/>
  <c r="BQ49" i="1"/>
  <c r="BM45" i="1"/>
  <c r="BQ43" i="1"/>
  <c r="BM39" i="1"/>
  <c r="BQ37" i="1"/>
  <c r="BM36" i="1"/>
  <c r="BM33" i="1"/>
  <c r="BQ31" i="1"/>
  <c r="BM27" i="1"/>
  <c r="BP25" i="1"/>
  <c r="BN19" i="1"/>
  <c r="BN13" i="1"/>
  <c r="BN7" i="1"/>
  <c r="BR61" i="1"/>
  <c r="BR37" i="1"/>
  <c r="BQ85" i="1"/>
  <c r="BM81" i="1"/>
  <c r="BQ67" i="1"/>
  <c r="BP100" i="1"/>
  <c r="BL99" i="1"/>
  <c r="BP97" i="1"/>
  <c r="BL96" i="1"/>
  <c r="BP94" i="1"/>
  <c r="BL93" i="1"/>
  <c r="BP91" i="1"/>
  <c r="BL90" i="1"/>
  <c r="BP88" i="1"/>
  <c r="BL87" i="1"/>
  <c r="BP85" i="1"/>
  <c r="BL84" i="1"/>
  <c r="BP82" i="1"/>
  <c r="BL81" i="1"/>
  <c r="BP79" i="1"/>
  <c r="BL78" i="1"/>
  <c r="BP76" i="1"/>
  <c r="BL75" i="1"/>
  <c r="BP73" i="1"/>
  <c r="BL72" i="1"/>
  <c r="BP70" i="1"/>
  <c r="BL69" i="1"/>
  <c r="BP67" i="1"/>
  <c r="BL66" i="1"/>
  <c r="BP64" i="1"/>
  <c r="BL63" i="1"/>
  <c r="BP61" i="1"/>
  <c r="BL60" i="1"/>
  <c r="BP58" i="1"/>
  <c r="BL57" i="1"/>
  <c r="BP55" i="1"/>
  <c r="BL54" i="1"/>
  <c r="BP52" i="1"/>
  <c r="BL51" i="1"/>
  <c r="BP49" i="1"/>
  <c r="BL48" i="1"/>
  <c r="BP46" i="1"/>
  <c r="BL45" i="1"/>
  <c r="BP43" i="1"/>
  <c r="BL42" i="1"/>
  <c r="BP40" i="1"/>
  <c r="BL39" i="1"/>
  <c r="BP37" i="1"/>
  <c r="BL36" i="1"/>
  <c r="BP34" i="1"/>
  <c r="BL33" i="1"/>
  <c r="BP31" i="1"/>
  <c r="BL30" i="1"/>
  <c r="BP28" i="1"/>
  <c r="BL27" i="1"/>
  <c r="BN25" i="1"/>
  <c r="BQ23" i="1"/>
  <c r="BM22" i="1"/>
  <c r="BQ20" i="1"/>
  <c r="BM19" i="1"/>
  <c r="BQ17" i="1"/>
  <c r="BM16" i="1"/>
  <c r="BQ14" i="1"/>
  <c r="BM13" i="1"/>
  <c r="BQ11" i="1"/>
  <c r="BM10" i="1"/>
  <c r="BQ8" i="1"/>
  <c r="BM7" i="1"/>
  <c r="BQ5" i="1"/>
  <c r="BM4" i="1"/>
  <c r="BO13" i="1"/>
  <c r="BM99" i="1"/>
  <c r="BM93" i="1"/>
  <c r="BQ91" i="1"/>
  <c r="BM87" i="1"/>
  <c r="BM84" i="1"/>
  <c r="BQ61" i="1"/>
  <c r="BM48" i="1"/>
  <c r="BO100" i="1"/>
  <c r="BS98" i="1"/>
  <c r="BO97" i="1"/>
  <c r="BS95" i="1"/>
  <c r="BO94" i="1"/>
  <c r="BS92" i="1"/>
  <c r="BO91" i="1"/>
  <c r="BS89" i="1"/>
  <c r="BO88" i="1"/>
  <c r="BS86" i="1"/>
  <c r="BO85" i="1"/>
  <c r="BS83" i="1"/>
  <c r="BO82" i="1"/>
  <c r="BS80" i="1"/>
  <c r="BO79" i="1"/>
  <c r="BS77" i="1"/>
  <c r="BO76" i="1"/>
  <c r="BS74" i="1"/>
  <c r="BO73" i="1"/>
  <c r="BS71" i="1"/>
  <c r="BO70" i="1"/>
  <c r="BS68" i="1"/>
  <c r="BO67" i="1"/>
  <c r="BS65" i="1"/>
  <c r="BO64" i="1"/>
  <c r="BS62" i="1"/>
  <c r="BO61" i="1"/>
  <c r="BS59" i="1"/>
  <c r="BO58" i="1"/>
  <c r="BS56" i="1"/>
  <c r="BO55" i="1"/>
  <c r="BS53" i="1"/>
  <c r="BO52" i="1"/>
  <c r="BS50" i="1"/>
  <c r="BO49" i="1"/>
  <c r="BS47" i="1"/>
  <c r="BO46" i="1"/>
  <c r="BS44" i="1"/>
  <c r="BO43" i="1"/>
  <c r="BS41" i="1"/>
  <c r="BO40" i="1"/>
  <c r="BS38" i="1"/>
  <c r="BO37" i="1"/>
  <c r="BS35" i="1"/>
  <c r="BO34" i="1"/>
  <c r="BS32" i="1"/>
  <c r="BO31" i="1"/>
  <c r="BS29" i="1"/>
  <c r="BO28" i="1"/>
  <c r="BS26" i="1"/>
  <c r="BM25" i="1"/>
  <c r="BP23" i="1"/>
  <c r="BL22" i="1"/>
  <c r="BP20" i="1"/>
  <c r="BL19" i="1"/>
  <c r="BP17" i="1"/>
  <c r="BL16" i="1"/>
  <c r="BP14" i="1"/>
  <c r="BL13" i="1"/>
  <c r="BP11" i="1"/>
  <c r="BL10" i="1"/>
  <c r="BP8" i="1"/>
  <c r="BL7" i="1"/>
  <c r="BP5" i="1"/>
  <c r="BL4" i="1"/>
  <c r="BS3" i="1"/>
  <c r="BN85" i="1"/>
  <c r="BN79" i="1"/>
  <c r="BN73" i="1"/>
  <c r="BN67" i="1"/>
  <c r="BN61" i="1"/>
  <c r="BN55" i="1"/>
  <c r="BN49" i="1"/>
  <c r="BN43" i="1"/>
  <c r="BN37" i="1"/>
  <c r="BN31" i="1"/>
  <c r="BS24" i="1"/>
  <c r="BS21" i="1"/>
  <c r="BS15" i="1"/>
  <c r="BS12" i="1"/>
  <c r="BS9" i="1"/>
  <c r="BN2" i="1"/>
  <c r="BM100" i="1"/>
  <c r="BQ98" i="1"/>
  <c r="BM97" i="1"/>
  <c r="BQ95" i="1"/>
  <c r="BM94" i="1"/>
  <c r="BQ92" i="1"/>
  <c r="BM91" i="1"/>
  <c r="BQ89" i="1"/>
  <c r="BM88" i="1"/>
  <c r="BQ86" i="1"/>
  <c r="BM85" i="1"/>
  <c r="BQ83" i="1"/>
  <c r="BM82" i="1"/>
  <c r="BQ80" i="1"/>
  <c r="BM79" i="1"/>
  <c r="BQ77" i="1"/>
  <c r="BM76" i="1"/>
  <c r="BQ74" i="1"/>
  <c r="BM73" i="1"/>
  <c r="BQ71" i="1"/>
  <c r="BM70" i="1"/>
  <c r="BQ68" i="1"/>
  <c r="BM67" i="1"/>
  <c r="BQ65" i="1"/>
  <c r="BM64" i="1"/>
  <c r="BQ62" i="1"/>
  <c r="BM61" i="1"/>
  <c r="BQ59" i="1"/>
  <c r="BM58" i="1"/>
  <c r="BQ56" i="1"/>
  <c r="BM55" i="1"/>
  <c r="BQ53" i="1"/>
  <c r="BM52" i="1"/>
  <c r="BQ50" i="1"/>
  <c r="BM49" i="1"/>
  <c r="BQ47" i="1"/>
  <c r="BM46" i="1"/>
  <c r="BQ44" i="1"/>
  <c r="BM43" i="1"/>
  <c r="BQ41" i="1"/>
  <c r="BM40" i="1"/>
  <c r="BQ38" i="1"/>
  <c r="BM37" i="1"/>
  <c r="BQ35" i="1"/>
  <c r="BM34" i="1"/>
  <c r="BQ32" i="1"/>
  <c r="BM31" i="1"/>
  <c r="BQ29" i="1"/>
  <c r="BM28" i="1"/>
  <c r="BQ26" i="1"/>
  <c r="BR24" i="1"/>
  <c r="BN23" i="1"/>
  <c r="BR21" i="1"/>
  <c r="BN20" i="1"/>
  <c r="BR18" i="1"/>
  <c r="BN17" i="1"/>
  <c r="BR15" i="1"/>
  <c r="BN14" i="1"/>
  <c r="BR12" i="1"/>
  <c r="BN11" i="1"/>
  <c r="BR9" i="1"/>
  <c r="BN8" i="1"/>
  <c r="BR6" i="1"/>
  <c r="BN5" i="1"/>
  <c r="BR3" i="1"/>
  <c r="BQ3" i="1"/>
  <c r="BR73" i="1"/>
  <c r="BL97" i="1"/>
  <c r="BL91" i="1"/>
  <c r="BL85" i="1"/>
  <c r="BL79" i="1"/>
  <c r="BL73" i="1"/>
  <c r="BL61" i="1"/>
  <c r="BL55" i="1"/>
  <c r="BL37" i="1"/>
  <c r="BL31" i="1"/>
  <c r="BP2" i="1"/>
  <c r="BS99" i="1"/>
  <c r="BO98" i="1"/>
  <c r="BS96" i="1"/>
  <c r="BO95" i="1"/>
  <c r="BS93" i="1"/>
  <c r="BO92" i="1"/>
  <c r="BS90" i="1"/>
  <c r="BO89" i="1"/>
  <c r="BS87" i="1"/>
  <c r="BO86" i="1"/>
  <c r="BS84" i="1"/>
  <c r="BO83" i="1"/>
  <c r="BS81" i="1"/>
  <c r="BO80" i="1"/>
  <c r="BS78" i="1"/>
  <c r="BO77" i="1"/>
  <c r="BS75" i="1"/>
  <c r="BO74" i="1"/>
  <c r="BS72" i="1"/>
  <c r="BO71" i="1"/>
  <c r="BS69" i="1"/>
  <c r="BO68" i="1"/>
  <c r="BS66" i="1"/>
  <c r="BO65" i="1"/>
  <c r="BS63" i="1"/>
  <c r="BO62" i="1"/>
  <c r="BS60" i="1"/>
  <c r="BO59" i="1"/>
  <c r="BS57" i="1"/>
  <c r="BO56" i="1"/>
  <c r="BS54" i="1"/>
  <c r="BO53" i="1"/>
  <c r="BS51" i="1"/>
  <c r="BO50" i="1"/>
  <c r="BS48" i="1"/>
  <c r="BO47" i="1"/>
  <c r="BS45" i="1"/>
  <c r="BO44" i="1"/>
  <c r="BS42" i="1"/>
  <c r="BO41" i="1"/>
  <c r="BS39" i="1"/>
  <c r="BO38" i="1"/>
  <c r="BS36" i="1"/>
  <c r="BO35" i="1"/>
  <c r="BS33" i="1"/>
  <c r="BO32" i="1"/>
  <c r="BS30" i="1"/>
  <c r="BO29" i="1"/>
  <c r="BS27" i="1"/>
  <c r="BO26" i="1"/>
  <c r="BP24" i="1"/>
  <c r="BP21" i="1"/>
  <c r="BP18" i="1"/>
  <c r="BP15" i="1"/>
  <c r="BP12" i="1"/>
  <c r="BP9" i="1"/>
  <c r="BP6" i="1"/>
  <c r="BP3" i="1"/>
  <c r="BQ2" i="1"/>
  <c r="BR99" i="1"/>
  <c r="BN98" i="1"/>
  <c r="BR96" i="1"/>
  <c r="BN95" i="1"/>
  <c r="BR93" i="1"/>
  <c r="BN92" i="1"/>
  <c r="BR90" i="1"/>
  <c r="BN89" i="1"/>
  <c r="BR87" i="1"/>
  <c r="BN86" i="1"/>
  <c r="BR84" i="1"/>
  <c r="BN83" i="1"/>
  <c r="BR81" i="1"/>
  <c r="BN80" i="1"/>
  <c r="BR78" i="1"/>
  <c r="BN77" i="1"/>
  <c r="BR75" i="1"/>
  <c r="BN74" i="1"/>
  <c r="BR72" i="1"/>
  <c r="BN71" i="1"/>
  <c r="BR69" i="1"/>
  <c r="BN68" i="1"/>
  <c r="BR66" i="1"/>
  <c r="BN65" i="1"/>
  <c r="BR63" i="1"/>
  <c r="BN62" i="1"/>
  <c r="BR60" i="1"/>
  <c r="BN59" i="1"/>
  <c r="BR57" i="1"/>
  <c r="BN56" i="1"/>
  <c r="BR54" i="1"/>
  <c r="BN53" i="1"/>
  <c r="BR51" i="1"/>
  <c r="BN50" i="1"/>
  <c r="BR48" i="1"/>
  <c r="BN47" i="1"/>
  <c r="BR45" i="1"/>
  <c r="BN44" i="1"/>
  <c r="BR42" i="1"/>
  <c r="BN41" i="1"/>
  <c r="BR39" i="1"/>
  <c r="BN38" i="1"/>
  <c r="BR36" i="1"/>
  <c r="BN35" i="1"/>
  <c r="BR33" i="1"/>
  <c r="BN32" i="1"/>
  <c r="BR30" i="1"/>
  <c r="BN29" i="1"/>
  <c r="BR27" i="1"/>
  <c r="BN26" i="1"/>
  <c r="BO24" i="1"/>
  <c r="BS22" i="1"/>
  <c r="BO21" i="1"/>
  <c r="BS19" i="1"/>
  <c r="BO18" i="1"/>
  <c r="BS16" i="1"/>
  <c r="BO15" i="1"/>
  <c r="BS13" i="1"/>
  <c r="BO12" i="1"/>
  <c r="BS10" i="1"/>
  <c r="BO9" i="1"/>
  <c r="BS7" i="1"/>
  <c r="BO6" i="1"/>
  <c r="BS4" i="1"/>
  <c r="BO3" i="1"/>
  <c r="BQ25" i="1"/>
  <c r="BL67" i="1"/>
  <c r="BL49" i="1"/>
  <c r="BL43" i="1"/>
  <c r="BQ24" i="1"/>
  <c r="BQ21" i="1"/>
  <c r="BQ15" i="1"/>
  <c r="BQ12" i="1"/>
  <c r="BQ9" i="1"/>
  <c r="BR2" i="1"/>
  <c r="BQ99" i="1"/>
  <c r="BQ96" i="1"/>
  <c r="BQ93" i="1"/>
  <c r="BQ90" i="1"/>
  <c r="BQ87" i="1"/>
  <c r="BQ84" i="1"/>
  <c r="BQ81" i="1"/>
  <c r="BQ78" i="1"/>
  <c r="BQ75" i="1"/>
  <c r="BQ72" i="1"/>
  <c r="BQ69" i="1"/>
  <c r="BQ66" i="1"/>
  <c r="BQ63" i="1"/>
  <c r="BQ60" i="1"/>
  <c r="BQ57" i="1"/>
  <c r="BQ54" i="1"/>
  <c r="BQ51" i="1"/>
  <c r="BQ48" i="1"/>
  <c r="BQ45" i="1"/>
  <c r="BQ42" i="1"/>
  <c r="BQ39" i="1"/>
  <c r="BQ36" i="1"/>
  <c r="BQ33" i="1"/>
  <c r="BQ30" i="1"/>
  <c r="BQ27" i="1"/>
  <c r="BN24" i="1"/>
  <c r="BR22" i="1"/>
  <c r="BN21" i="1"/>
  <c r="BR19" i="1"/>
  <c r="BN18" i="1"/>
  <c r="BR16" i="1"/>
  <c r="BN15" i="1"/>
  <c r="BR13" i="1"/>
  <c r="BN12" i="1"/>
  <c r="BR10" i="1"/>
  <c r="BN9" i="1"/>
  <c r="BR7" i="1"/>
  <c r="BN6" i="1"/>
  <c r="BR4" i="1"/>
  <c r="BN3" i="1"/>
  <c r="BR85" i="1"/>
  <c r="BP93" i="1"/>
  <c r="BP84" i="1"/>
  <c r="BP81" i="1"/>
  <c r="BP75" i="1"/>
  <c r="BP72" i="1"/>
  <c r="BP69" i="1"/>
  <c r="BP63" i="1"/>
  <c r="BP60" i="1"/>
  <c r="BP57" i="1"/>
  <c r="BP51" i="1"/>
  <c r="BP48" i="1"/>
  <c r="BP45" i="1"/>
  <c r="BP39" i="1"/>
  <c r="BP36" i="1"/>
  <c r="BP33" i="1"/>
  <c r="BP27" i="1"/>
  <c r="BM24" i="1"/>
  <c r="BM21" i="1"/>
  <c r="BQ19" i="1"/>
  <c r="BM15" i="1"/>
  <c r="BQ13" i="1"/>
  <c r="BM12" i="1"/>
  <c r="BM9" i="1"/>
  <c r="BQ7" i="1"/>
  <c r="BM3" i="1"/>
  <c r="BN97" i="1"/>
  <c r="BP99" i="1"/>
  <c r="BP96" i="1"/>
  <c r="BP87" i="1"/>
  <c r="BS49" i="1"/>
  <c r="BR25" i="1"/>
  <c r="BO25" i="1"/>
  <c r="BL25" i="1"/>
  <c r="I2" i="1"/>
  <c r="J2" i="1"/>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J100" i="1"/>
  <c r="J1" i="1"/>
  <c r="I1" i="1"/>
  <c r="B2" i="1"/>
  <c r="D2" i="1"/>
  <c r="B3" i="1"/>
  <c r="D3" i="1"/>
  <c r="B4" i="1"/>
  <c r="D4" i="1"/>
  <c r="B5" i="1"/>
  <c r="D5" i="1"/>
  <c r="B6" i="1"/>
  <c r="D6" i="1"/>
  <c r="B7" i="1"/>
  <c r="D7" i="1"/>
  <c r="B8" i="1"/>
  <c r="D8" i="1"/>
  <c r="B9" i="1"/>
  <c r="D9" i="1"/>
  <c r="B10" i="1"/>
  <c r="D10" i="1"/>
  <c r="B11" i="1"/>
  <c r="D11" i="1"/>
  <c r="B12" i="1"/>
  <c r="D12" i="1"/>
  <c r="B13" i="1"/>
  <c r="D13" i="1"/>
  <c r="B14" i="1"/>
  <c r="D14" i="1"/>
  <c r="B15" i="1"/>
  <c r="D15" i="1"/>
  <c r="B16" i="1"/>
  <c r="D16" i="1"/>
  <c r="B17" i="1"/>
  <c r="D17" i="1"/>
  <c r="B18" i="1"/>
  <c r="D18" i="1"/>
  <c r="B19" i="1"/>
  <c r="D19" i="1"/>
  <c r="B20" i="1"/>
  <c r="D20" i="1"/>
  <c r="B21" i="1"/>
  <c r="D21" i="1"/>
  <c r="B22" i="1"/>
  <c r="D22" i="1"/>
  <c r="B23" i="1"/>
  <c r="D23" i="1"/>
  <c r="B24" i="1"/>
  <c r="D24" i="1"/>
  <c r="B25" i="1"/>
  <c r="D25" i="1"/>
  <c r="B26" i="1"/>
  <c r="D26" i="1"/>
  <c r="B27" i="1"/>
  <c r="D27" i="1"/>
  <c r="B28" i="1"/>
  <c r="D28" i="1"/>
  <c r="B29" i="1"/>
  <c r="D29" i="1"/>
  <c r="B30" i="1"/>
  <c r="D30" i="1"/>
  <c r="B31" i="1"/>
  <c r="D31" i="1"/>
  <c r="B32" i="1"/>
  <c r="D32" i="1"/>
  <c r="B33" i="1"/>
  <c r="D33" i="1"/>
  <c r="B34" i="1"/>
  <c r="D34" i="1"/>
  <c r="B35" i="1"/>
  <c r="D35" i="1"/>
  <c r="B36" i="1"/>
  <c r="D36" i="1"/>
  <c r="B37" i="1"/>
  <c r="D37" i="1"/>
  <c r="B38" i="1"/>
  <c r="D38" i="1"/>
  <c r="B39" i="1"/>
  <c r="D39" i="1"/>
  <c r="B40" i="1"/>
  <c r="D40" i="1"/>
  <c r="B41" i="1"/>
  <c r="D41" i="1"/>
  <c r="B42" i="1"/>
  <c r="D42" i="1"/>
  <c r="B43" i="1"/>
  <c r="D43" i="1"/>
  <c r="B44" i="1"/>
  <c r="D44" i="1"/>
  <c r="B45" i="1"/>
  <c r="D45" i="1"/>
  <c r="B46" i="1"/>
  <c r="D46" i="1"/>
  <c r="B47" i="1"/>
  <c r="D47" i="1"/>
  <c r="B48" i="1"/>
  <c r="D48" i="1"/>
  <c r="B49" i="1"/>
  <c r="D49" i="1"/>
  <c r="B50" i="1"/>
  <c r="D50" i="1"/>
  <c r="B51" i="1"/>
  <c r="D51" i="1"/>
  <c r="B52" i="1"/>
  <c r="D52" i="1"/>
  <c r="B53" i="1"/>
  <c r="D53" i="1"/>
  <c r="B54" i="1"/>
  <c r="D54" i="1"/>
  <c r="B55" i="1"/>
  <c r="D55" i="1"/>
  <c r="B56" i="1"/>
  <c r="D56" i="1"/>
  <c r="B57" i="1"/>
  <c r="D57" i="1"/>
  <c r="B58" i="1"/>
  <c r="D58" i="1"/>
  <c r="B59" i="1"/>
  <c r="D59" i="1"/>
  <c r="B60" i="1"/>
  <c r="D60" i="1"/>
  <c r="B61" i="1"/>
  <c r="D61" i="1"/>
  <c r="B62" i="1"/>
  <c r="D62" i="1"/>
  <c r="B63" i="1"/>
  <c r="D63" i="1"/>
  <c r="B64" i="1"/>
  <c r="D64" i="1"/>
  <c r="B65" i="1"/>
  <c r="D65" i="1"/>
  <c r="B66" i="1"/>
  <c r="D66" i="1"/>
  <c r="B67" i="1"/>
  <c r="D67" i="1"/>
  <c r="B68" i="1"/>
  <c r="D68" i="1"/>
  <c r="B69" i="1"/>
  <c r="D69" i="1"/>
  <c r="B70" i="1"/>
  <c r="D70" i="1"/>
  <c r="B71" i="1"/>
  <c r="D71" i="1"/>
  <c r="B72" i="1"/>
  <c r="D72" i="1"/>
  <c r="B73" i="1"/>
  <c r="D73" i="1"/>
  <c r="B74" i="1"/>
  <c r="D74" i="1"/>
  <c r="B75" i="1"/>
  <c r="D75" i="1"/>
  <c r="B76" i="1"/>
  <c r="D76" i="1"/>
  <c r="B77" i="1"/>
  <c r="D77" i="1"/>
  <c r="B78" i="1"/>
  <c r="D78" i="1"/>
  <c r="B79" i="1"/>
  <c r="D79" i="1"/>
  <c r="B80" i="1"/>
  <c r="D80" i="1"/>
  <c r="B81" i="1"/>
  <c r="D81" i="1"/>
  <c r="B82" i="1"/>
  <c r="D82" i="1"/>
  <c r="B83" i="1"/>
  <c r="D83" i="1"/>
  <c r="B84" i="1"/>
  <c r="D84" i="1"/>
  <c r="B85" i="1"/>
  <c r="D85" i="1"/>
  <c r="B86" i="1"/>
  <c r="D86" i="1"/>
  <c r="B87" i="1"/>
  <c r="D87" i="1"/>
  <c r="B88" i="1"/>
  <c r="D88" i="1"/>
  <c r="B89" i="1"/>
  <c r="D89" i="1"/>
  <c r="B90" i="1"/>
  <c r="D90" i="1"/>
  <c r="B91" i="1"/>
  <c r="D91" i="1"/>
  <c r="B92" i="1"/>
  <c r="D92" i="1"/>
  <c r="B93" i="1"/>
  <c r="D93" i="1"/>
  <c r="B94" i="1"/>
  <c r="D94" i="1"/>
  <c r="B95" i="1"/>
  <c r="D95" i="1"/>
  <c r="B96" i="1"/>
  <c r="D96" i="1"/>
  <c r="B97" i="1"/>
  <c r="D97" i="1"/>
  <c r="B98" i="1"/>
  <c r="D98" i="1"/>
  <c r="B99" i="1"/>
  <c r="D99" i="1"/>
  <c r="B100" i="1"/>
  <c r="D100" i="1"/>
  <c r="F1" i="1"/>
  <c r="D1" i="1"/>
  <c r="B1" i="1"/>
  <c r="BI3" i="1"/>
  <c r="BJ3" i="1"/>
  <c r="BI4" i="1"/>
  <c r="BJ4" i="1"/>
  <c r="BI5" i="1"/>
  <c r="BJ5" i="1"/>
  <c r="BI6" i="1"/>
  <c r="BJ6" i="1"/>
  <c r="BI7" i="1"/>
  <c r="BJ7" i="1"/>
  <c r="BI8" i="1"/>
  <c r="BJ8" i="1"/>
  <c r="BI9" i="1"/>
  <c r="BJ9" i="1"/>
  <c r="BI10" i="1"/>
  <c r="BJ10" i="1"/>
  <c r="BI11" i="1"/>
  <c r="BJ11" i="1"/>
  <c r="BI12" i="1"/>
  <c r="BJ12" i="1"/>
  <c r="BI13" i="1"/>
  <c r="BJ13" i="1"/>
  <c r="BI14" i="1"/>
  <c r="BJ14" i="1"/>
  <c r="BI15" i="1"/>
  <c r="BJ15" i="1"/>
  <c r="BI16" i="1"/>
  <c r="BJ16" i="1"/>
  <c r="BI17" i="1"/>
  <c r="BJ17" i="1"/>
  <c r="BI18" i="1"/>
  <c r="BJ18" i="1"/>
  <c r="BI19" i="1"/>
  <c r="BJ19" i="1"/>
  <c r="BI20" i="1"/>
  <c r="BJ20" i="1"/>
  <c r="BI21" i="1"/>
  <c r="BJ21" i="1"/>
  <c r="BI22" i="1"/>
  <c r="BJ22" i="1"/>
  <c r="BI23" i="1"/>
  <c r="BJ23" i="1"/>
  <c r="BI24" i="1"/>
  <c r="BJ24" i="1"/>
  <c r="BI25" i="1"/>
  <c r="BJ25" i="1"/>
  <c r="BI26" i="1"/>
  <c r="BJ26" i="1"/>
  <c r="BI27" i="1"/>
  <c r="BJ27" i="1"/>
  <c r="BI28" i="1"/>
  <c r="BJ28" i="1"/>
  <c r="BI29" i="1"/>
  <c r="BJ29" i="1"/>
  <c r="BI30" i="1"/>
  <c r="BJ30" i="1"/>
  <c r="BI31" i="1"/>
  <c r="BJ31" i="1"/>
  <c r="BI32" i="1"/>
  <c r="BJ32" i="1"/>
  <c r="BI33" i="1"/>
  <c r="BJ33" i="1"/>
  <c r="BI34" i="1"/>
  <c r="BJ34" i="1"/>
  <c r="BI35" i="1"/>
  <c r="BJ35" i="1"/>
  <c r="BI36" i="1"/>
  <c r="BJ36" i="1"/>
  <c r="BI37" i="1"/>
  <c r="BJ37" i="1"/>
  <c r="BI38" i="1"/>
  <c r="BJ38" i="1"/>
  <c r="BI39" i="1"/>
  <c r="BJ39" i="1"/>
  <c r="BI40" i="1"/>
  <c r="BJ40" i="1"/>
  <c r="BI41" i="1"/>
  <c r="BJ41" i="1"/>
  <c r="BI42" i="1"/>
  <c r="BJ42" i="1"/>
  <c r="BI43" i="1"/>
  <c r="BJ43" i="1"/>
  <c r="BI44" i="1"/>
  <c r="BJ44" i="1"/>
  <c r="BI45" i="1"/>
  <c r="BJ45" i="1"/>
  <c r="BI46" i="1"/>
  <c r="BJ46" i="1"/>
  <c r="BI47" i="1"/>
  <c r="BJ47" i="1"/>
  <c r="BI48" i="1"/>
  <c r="BJ48" i="1"/>
  <c r="BI49" i="1"/>
  <c r="BJ49" i="1"/>
  <c r="BI50" i="1"/>
  <c r="BJ50" i="1"/>
  <c r="BI51" i="1"/>
  <c r="BJ51" i="1"/>
  <c r="BI52" i="1"/>
  <c r="BJ52" i="1"/>
  <c r="BI53" i="1"/>
  <c r="BJ53" i="1"/>
  <c r="BI54" i="1"/>
  <c r="BJ54" i="1"/>
  <c r="BI55" i="1"/>
  <c r="BJ55" i="1"/>
  <c r="BI56" i="1"/>
  <c r="BJ56" i="1"/>
  <c r="BI57" i="1"/>
  <c r="BJ57" i="1"/>
  <c r="BI58" i="1"/>
  <c r="BJ58" i="1"/>
  <c r="BI59" i="1"/>
  <c r="BJ59" i="1"/>
  <c r="BI60" i="1"/>
  <c r="BJ60" i="1"/>
  <c r="BI61" i="1"/>
  <c r="BJ61" i="1"/>
  <c r="BI62" i="1"/>
  <c r="BJ62" i="1"/>
  <c r="BI63" i="1"/>
  <c r="BJ63" i="1"/>
  <c r="BI64" i="1"/>
  <c r="BJ64" i="1"/>
  <c r="BI65" i="1"/>
  <c r="BJ65" i="1"/>
  <c r="BI66" i="1"/>
  <c r="BJ66" i="1"/>
  <c r="BI67" i="1"/>
  <c r="BJ67" i="1"/>
  <c r="BI68" i="1"/>
  <c r="BJ68" i="1"/>
  <c r="BI69" i="1"/>
  <c r="BJ69" i="1"/>
  <c r="BI70" i="1"/>
  <c r="BJ70" i="1"/>
  <c r="BI71" i="1"/>
  <c r="BJ71" i="1"/>
  <c r="BI72" i="1"/>
  <c r="BJ72" i="1"/>
  <c r="BI73" i="1"/>
  <c r="BJ73" i="1"/>
  <c r="BI74" i="1"/>
  <c r="BJ74" i="1"/>
  <c r="BI75" i="1"/>
  <c r="BJ75" i="1"/>
  <c r="BI76" i="1"/>
  <c r="BJ76" i="1"/>
  <c r="BI77" i="1"/>
  <c r="BJ77" i="1"/>
  <c r="BI78" i="1"/>
  <c r="BJ78" i="1"/>
  <c r="BI79" i="1"/>
  <c r="BJ79" i="1"/>
  <c r="BI80" i="1"/>
  <c r="BJ80" i="1"/>
  <c r="BI81" i="1"/>
  <c r="BJ81" i="1"/>
  <c r="BI82" i="1"/>
  <c r="BJ82" i="1"/>
  <c r="BI83" i="1"/>
  <c r="BJ83" i="1"/>
  <c r="BI84" i="1"/>
  <c r="BJ84" i="1"/>
  <c r="BI85" i="1"/>
  <c r="BJ85" i="1"/>
  <c r="BI86" i="1"/>
  <c r="BJ86" i="1"/>
  <c r="BI87" i="1"/>
  <c r="BJ87" i="1"/>
  <c r="BI88" i="1"/>
  <c r="BJ88" i="1"/>
  <c r="BI89" i="1"/>
  <c r="BJ89" i="1"/>
  <c r="BI90" i="1"/>
  <c r="BJ90" i="1"/>
  <c r="BI91" i="1"/>
  <c r="BJ91" i="1"/>
  <c r="BI92" i="1"/>
  <c r="BJ92" i="1"/>
  <c r="BI93" i="1"/>
  <c r="BJ93" i="1"/>
  <c r="BI94" i="1"/>
  <c r="BJ94" i="1"/>
  <c r="BI95" i="1"/>
  <c r="BJ95" i="1"/>
  <c r="BI96" i="1"/>
  <c r="BJ96" i="1"/>
  <c r="BI97" i="1"/>
  <c r="BJ97" i="1"/>
  <c r="BI98" i="1"/>
  <c r="BJ98" i="1"/>
  <c r="BI99" i="1"/>
  <c r="BJ99" i="1"/>
  <c r="BI100" i="1"/>
  <c r="BJ100" i="1"/>
  <c r="BJ2" i="1"/>
  <c r="BE1" i="1"/>
  <c r="BD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 i="1"/>
  <c r="BB2" i="1"/>
  <c r="BK2" i="1" s="1"/>
  <c r="BC2" i="1"/>
  <c r="BB3" i="1"/>
  <c r="BK3" i="1" s="1"/>
  <c r="BC3" i="1"/>
  <c r="BB4" i="1"/>
  <c r="BK4" i="1" s="1"/>
  <c r="BC4" i="1"/>
  <c r="BB5" i="1"/>
  <c r="BK5" i="1" s="1"/>
  <c r="BC5" i="1"/>
  <c r="BB6" i="1"/>
  <c r="BK6" i="1" s="1"/>
  <c r="BC6" i="1"/>
  <c r="BB7" i="1"/>
  <c r="BK7" i="1" s="1"/>
  <c r="BC7" i="1"/>
  <c r="BB8" i="1"/>
  <c r="BK8" i="1" s="1"/>
  <c r="BC8" i="1"/>
  <c r="BB9" i="1"/>
  <c r="BK9" i="1" s="1"/>
  <c r="BC9" i="1"/>
  <c r="BB10" i="1"/>
  <c r="BK10" i="1" s="1"/>
  <c r="BC10" i="1"/>
  <c r="BB11" i="1"/>
  <c r="BK11" i="1" s="1"/>
  <c r="BC11" i="1"/>
  <c r="BB12" i="1"/>
  <c r="BK12" i="1" s="1"/>
  <c r="BC12" i="1"/>
  <c r="BB13" i="1"/>
  <c r="BK13" i="1" s="1"/>
  <c r="BC13" i="1"/>
  <c r="BB14" i="1"/>
  <c r="BK14" i="1" s="1"/>
  <c r="BC14" i="1"/>
  <c r="BB15" i="1"/>
  <c r="BK15" i="1" s="1"/>
  <c r="BC15" i="1"/>
  <c r="BB16" i="1"/>
  <c r="BK16" i="1" s="1"/>
  <c r="BC16" i="1"/>
  <c r="BB17" i="1"/>
  <c r="BK17" i="1" s="1"/>
  <c r="BC17" i="1"/>
  <c r="BB18" i="1"/>
  <c r="BK18" i="1" s="1"/>
  <c r="BC18" i="1"/>
  <c r="BB19" i="1"/>
  <c r="BK19" i="1" s="1"/>
  <c r="BC19" i="1"/>
  <c r="BB20" i="1"/>
  <c r="BK20" i="1" s="1"/>
  <c r="BC20" i="1"/>
  <c r="BB21" i="1"/>
  <c r="BK21" i="1" s="1"/>
  <c r="BC21" i="1"/>
  <c r="BB22" i="1"/>
  <c r="BK22" i="1" s="1"/>
  <c r="BC22" i="1"/>
  <c r="BB23" i="1"/>
  <c r="BK23" i="1" s="1"/>
  <c r="BC23" i="1"/>
  <c r="BB24" i="1"/>
  <c r="BK24" i="1" s="1"/>
  <c r="BC24" i="1"/>
  <c r="BB25" i="1"/>
  <c r="BK25" i="1" s="1"/>
  <c r="BC25" i="1"/>
  <c r="BB26" i="1"/>
  <c r="BK26" i="1" s="1"/>
  <c r="BC26" i="1"/>
  <c r="BB27" i="1"/>
  <c r="BK27" i="1" s="1"/>
  <c r="BC27" i="1"/>
  <c r="BB28" i="1"/>
  <c r="BK28" i="1" s="1"/>
  <c r="BC28" i="1"/>
  <c r="BB29" i="1"/>
  <c r="BK29" i="1" s="1"/>
  <c r="BC29" i="1"/>
  <c r="BB30" i="1"/>
  <c r="BK30" i="1" s="1"/>
  <c r="BC30" i="1"/>
  <c r="BB31" i="1"/>
  <c r="BK31" i="1" s="1"/>
  <c r="BC31" i="1"/>
  <c r="BB32" i="1"/>
  <c r="BK32" i="1" s="1"/>
  <c r="BC32" i="1"/>
  <c r="BB33" i="1"/>
  <c r="BK33" i="1" s="1"/>
  <c r="BC33" i="1"/>
  <c r="BB34" i="1"/>
  <c r="BK34" i="1" s="1"/>
  <c r="BC34" i="1"/>
  <c r="BB35" i="1"/>
  <c r="BK35" i="1" s="1"/>
  <c r="BC35" i="1"/>
  <c r="BB36" i="1"/>
  <c r="BK36" i="1" s="1"/>
  <c r="BC36" i="1"/>
  <c r="BB37" i="1"/>
  <c r="BK37" i="1" s="1"/>
  <c r="BC37" i="1"/>
  <c r="BB38" i="1"/>
  <c r="BK38" i="1" s="1"/>
  <c r="BC38" i="1"/>
  <c r="BB39" i="1"/>
  <c r="BK39" i="1" s="1"/>
  <c r="BC39" i="1"/>
  <c r="BB40" i="1"/>
  <c r="BK40" i="1" s="1"/>
  <c r="BC40" i="1"/>
  <c r="BB41" i="1"/>
  <c r="BK41" i="1" s="1"/>
  <c r="BC41" i="1"/>
  <c r="BB42" i="1"/>
  <c r="BK42" i="1" s="1"/>
  <c r="BC42" i="1"/>
  <c r="BB43" i="1"/>
  <c r="BK43" i="1" s="1"/>
  <c r="BC43" i="1"/>
  <c r="BB44" i="1"/>
  <c r="BK44" i="1" s="1"/>
  <c r="BC44" i="1"/>
  <c r="BB45" i="1"/>
  <c r="BK45" i="1" s="1"/>
  <c r="BC45" i="1"/>
  <c r="BB46" i="1"/>
  <c r="BK46" i="1" s="1"/>
  <c r="BC46" i="1"/>
  <c r="BB47" i="1"/>
  <c r="BK47" i="1" s="1"/>
  <c r="BC47" i="1"/>
  <c r="BB48" i="1"/>
  <c r="BK48" i="1" s="1"/>
  <c r="BC48" i="1"/>
  <c r="BB49" i="1"/>
  <c r="BK49" i="1" s="1"/>
  <c r="BC49" i="1"/>
  <c r="BB50" i="1"/>
  <c r="BK50" i="1" s="1"/>
  <c r="BC50" i="1"/>
  <c r="BB51" i="1"/>
  <c r="BK51" i="1" s="1"/>
  <c r="BC51" i="1"/>
  <c r="BB52" i="1"/>
  <c r="BK52" i="1" s="1"/>
  <c r="BC52" i="1"/>
  <c r="BB53" i="1"/>
  <c r="BK53" i="1" s="1"/>
  <c r="BC53" i="1"/>
  <c r="BB54" i="1"/>
  <c r="BK54" i="1" s="1"/>
  <c r="BC54" i="1"/>
  <c r="BB55" i="1"/>
  <c r="BK55" i="1" s="1"/>
  <c r="BC55" i="1"/>
  <c r="BB56" i="1"/>
  <c r="BK56" i="1" s="1"/>
  <c r="BC56" i="1"/>
  <c r="BB57" i="1"/>
  <c r="BK57" i="1" s="1"/>
  <c r="BC57" i="1"/>
  <c r="BB58" i="1"/>
  <c r="BK58" i="1" s="1"/>
  <c r="BC58" i="1"/>
  <c r="BB59" i="1"/>
  <c r="BK59" i="1" s="1"/>
  <c r="BC59" i="1"/>
  <c r="BB60" i="1"/>
  <c r="BK60" i="1" s="1"/>
  <c r="BC60" i="1"/>
  <c r="BB61" i="1"/>
  <c r="BK61" i="1" s="1"/>
  <c r="BC61" i="1"/>
  <c r="BB62" i="1"/>
  <c r="BK62" i="1" s="1"/>
  <c r="BC62" i="1"/>
  <c r="BB63" i="1"/>
  <c r="BK63" i="1" s="1"/>
  <c r="BC63" i="1"/>
  <c r="BB64" i="1"/>
  <c r="BK64" i="1" s="1"/>
  <c r="BC64" i="1"/>
  <c r="BB65" i="1"/>
  <c r="BK65" i="1" s="1"/>
  <c r="BC65" i="1"/>
  <c r="BB66" i="1"/>
  <c r="BK66" i="1" s="1"/>
  <c r="BC66" i="1"/>
  <c r="BB67" i="1"/>
  <c r="BK67" i="1" s="1"/>
  <c r="BC67" i="1"/>
  <c r="BB68" i="1"/>
  <c r="BK68" i="1" s="1"/>
  <c r="BC68" i="1"/>
  <c r="BB69" i="1"/>
  <c r="BK69" i="1" s="1"/>
  <c r="BC69" i="1"/>
  <c r="BB70" i="1"/>
  <c r="BK70" i="1" s="1"/>
  <c r="BC70" i="1"/>
  <c r="BB71" i="1"/>
  <c r="BK71" i="1" s="1"/>
  <c r="BC71" i="1"/>
  <c r="BB72" i="1"/>
  <c r="BK72" i="1" s="1"/>
  <c r="BC72" i="1"/>
  <c r="BB73" i="1"/>
  <c r="BK73" i="1" s="1"/>
  <c r="BC73" i="1"/>
  <c r="BB74" i="1"/>
  <c r="BK74" i="1" s="1"/>
  <c r="BC74" i="1"/>
  <c r="BB75" i="1"/>
  <c r="BK75" i="1" s="1"/>
  <c r="BC75" i="1"/>
  <c r="BB76" i="1"/>
  <c r="BK76" i="1" s="1"/>
  <c r="BC76" i="1"/>
  <c r="BB77" i="1"/>
  <c r="BK77" i="1" s="1"/>
  <c r="BC77" i="1"/>
  <c r="BB78" i="1"/>
  <c r="BK78" i="1" s="1"/>
  <c r="BC78" i="1"/>
  <c r="BB79" i="1"/>
  <c r="BK79" i="1" s="1"/>
  <c r="BC79" i="1"/>
  <c r="BB80" i="1"/>
  <c r="BK80" i="1" s="1"/>
  <c r="BC80" i="1"/>
  <c r="BB81" i="1"/>
  <c r="BK81" i="1" s="1"/>
  <c r="BC81" i="1"/>
  <c r="BB82" i="1"/>
  <c r="BK82" i="1" s="1"/>
  <c r="BC82" i="1"/>
  <c r="BB83" i="1"/>
  <c r="BK83" i="1" s="1"/>
  <c r="BC83" i="1"/>
  <c r="BB84" i="1"/>
  <c r="BK84" i="1" s="1"/>
  <c r="BC84" i="1"/>
  <c r="BB85" i="1"/>
  <c r="BK85" i="1" s="1"/>
  <c r="BC85" i="1"/>
  <c r="BB86" i="1"/>
  <c r="BK86" i="1" s="1"/>
  <c r="BC86" i="1"/>
  <c r="BB87" i="1"/>
  <c r="BK87" i="1" s="1"/>
  <c r="BC87" i="1"/>
  <c r="BB88" i="1"/>
  <c r="BK88" i="1" s="1"/>
  <c r="BC88" i="1"/>
  <c r="BB89" i="1"/>
  <c r="BK89" i="1" s="1"/>
  <c r="BC89" i="1"/>
  <c r="BB90" i="1"/>
  <c r="BK90" i="1" s="1"/>
  <c r="BC90" i="1"/>
  <c r="BB91" i="1"/>
  <c r="BK91" i="1" s="1"/>
  <c r="BC91" i="1"/>
  <c r="BB92" i="1"/>
  <c r="BK92" i="1" s="1"/>
  <c r="BC92" i="1"/>
  <c r="BB93" i="1"/>
  <c r="BK93" i="1" s="1"/>
  <c r="BC93" i="1"/>
  <c r="BB94" i="1"/>
  <c r="BK94" i="1" s="1"/>
  <c r="BC94" i="1"/>
  <c r="BB95" i="1"/>
  <c r="BK95" i="1" s="1"/>
  <c r="BC95" i="1"/>
  <c r="BB96" i="1"/>
  <c r="BK96" i="1" s="1"/>
  <c r="BC96" i="1"/>
  <c r="BB97" i="1"/>
  <c r="BK97" i="1" s="1"/>
  <c r="BC97" i="1"/>
  <c r="BB98" i="1"/>
  <c r="BK98" i="1" s="1"/>
  <c r="BC98" i="1"/>
  <c r="BB99" i="1"/>
  <c r="BK99" i="1" s="1"/>
  <c r="BC99" i="1"/>
  <c r="BB100" i="1"/>
  <c r="BK100" i="1" s="1"/>
  <c r="BC100" i="1"/>
  <c r="BC1" i="1"/>
  <c r="BB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 i="1"/>
  <c r="A2" i="1"/>
  <c r="N2" i="1"/>
  <c r="O2" i="1"/>
  <c r="A3" i="1"/>
  <c r="N3" i="1"/>
  <c r="O3" i="1"/>
  <c r="A4" i="1"/>
  <c r="N4" i="1"/>
  <c r="O4" i="1"/>
  <c r="A5" i="1"/>
  <c r="N5" i="1"/>
  <c r="O5" i="1"/>
  <c r="A6" i="1"/>
  <c r="N6" i="1"/>
  <c r="O6" i="1"/>
  <c r="A7" i="1"/>
  <c r="N7" i="1"/>
  <c r="O7" i="1"/>
  <c r="A8" i="1"/>
  <c r="N8" i="1"/>
  <c r="O8" i="1"/>
  <c r="A9" i="1"/>
  <c r="N9" i="1"/>
  <c r="O9" i="1"/>
  <c r="A10" i="1"/>
  <c r="N10" i="1"/>
  <c r="O10" i="1"/>
  <c r="A11" i="1"/>
  <c r="N11" i="1"/>
  <c r="O11" i="1"/>
  <c r="A12" i="1"/>
  <c r="N12" i="1"/>
  <c r="O12" i="1"/>
  <c r="A13" i="1"/>
  <c r="N13" i="1"/>
  <c r="O13" i="1"/>
  <c r="A14" i="1"/>
  <c r="N14" i="1"/>
  <c r="O14" i="1"/>
  <c r="A15" i="1"/>
  <c r="N15" i="1"/>
  <c r="O15" i="1"/>
  <c r="A16" i="1"/>
  <c r="N16" i="1"/>
  <c r="O16" i="1"/>
  <c r="A17" i="1"/>
  <c r="N17" i="1"/>
  <c r="O17" i="1"/>
  <c r="A18" i="1"/>
  <c r="N18" i="1"/>
  <c r="O18" i="1"/>
  <c r="A19" i="1"/>
  <c r="N19" i="1"/>
  <c r="O19" i="1"/>
  <c r="A20" i="1"/>
  <c r="N20" i="1"/>
  <c r="O20" i="1"/>
  <c r="A21" i="1"/>
  <c r="N21" i="1"/>
  <c r="O21" i="1"/>
  <c r="A22" i="1"/>
  <c r="N22" i="1"/>
  <c r="O22" i="1"/>
  <c r="A23" i="1"/>
  <c r="N23" i="1"/>
  <c r="O23" i="1"/>
  <c r="A24" i="1"/>
  <c r="N24" i="1"/>
  <c r="O24" i="1"/>
  <c r="A25" i="1"/>
  <c r="N25" i="1"/>
  <c r="O25" i="1"/>
  <c r="A26" i="1"/>
  <c r="N26" i="1"/>
  <c r="O26" i="1"/>
  <c r="A27" i="1"/>
  <c r="N27" i="1"/>
  <c r="O27" i="1"/>
  <c r="A28" i="1"/>
  <c r="N28" i="1"/>
  <c r="O28" i="1"/>
  <c r="A29" i="1"/>
  <c r="N29" i="1"/>
  <c r="O29" i="1"/>
  <c r="A30" i="1"/>
  <c r="N30" i="1"/>
  <c r="O30" i="1"/>
  <c r="A31" i="1"/>
  <c r="N31" i="1"/>
  <c r="O31" i="1"/>
  <c r="A32" i="1"/>
  <c r="N32" i="1"/>
  <c r="O32" i="1"/>
  <c r="A33" i="1"/>
  <c r="N33" i="1"/>
  <c r="O33" i="1"/>
  <c r="A34" i="1"/>
  <c r="N34" i="1"/>
  <c r="O34" i="1"/>
  <c r="A35" i="1"/>
  <c r="N35" i="1"/>
  <c r="O35" i="1"/>
  <c r="A36" i="1"/>
  <c r="N36" i="1"/>
  <c r="O36" i="1"/>
  <c r="A37" i="1"/>
  <c r="N37" i="1"/>
  <c r="O37" i="1"/>
  <c r="A38" i="1"/>
  <c r="N38" i="1"/>
  <c r="O38" i="1"/>
  <c r="A39" i="1"/>
  <c r="N39" i="1"/>
  <c r="O39" i="1"/>
  <c r="A40" i="1"/>
  <c r="N40" i="1"/>
  <c r="O40" i="1"/>
  <c r="A41" i="1"/>
  <c r="N41" i="1"/>
  <c r="O41" i="1"/>
  <c r="A42" i="1"/>
  <c r="N42" i="1"/>
  <c r="O42" i="1"/>
  <c r="A43" i="1"/>
  <c r="N43" i="1"/>
  <c r="O43" i="1"/>
  <c r="A44" i="1"/>
  <c r="N44" i="1"/>
  <c r="O44" i="1"/>
  <c r="A45" i="1"/>
  <c r="N45" i="1"/>
  <c r="O45" i="1"/>
  <c r="A46" i="1"/>
  <c r="N46" i="1"/>
  <c r="O46" i="1"/>
  <c r="A47" i="1"/>
  <c r="N47" i="1"/>
  <c r="O47" i="1"/>
  <c r="A48" i="1"/>
  <c r="N48" i="1"/>
  <c r="O48" i="1"/>
  <c r="A49" i="1"/>
  <c r="N49" i="1"/>
  <c r="O49" i="1"/>
  <c r="A50" i="1"/>
  <c r="N50" i="1"/>
  <c r="O50" i="1"/>
  <c r="A51" i="1"/>
  <c r="N51" i="1"/>
  <c r="O51" i="1"/>
  <c r="A52" i="1"/>
  <c r="N52" i="1"/>
  <c r="O52" i="1"/>
  <c r="A53" i="1"/>
  <c r="N53" i="1"/>
  <c r="O53" i="1"/>
  <c r="A54" i="1"/>
  <c r="N54" i="1"/>
  <c r="O54" i="1"/>
  <c r="A55" i="1"/>
  <c r="N55" i="1"/>
  <c r="O55" i="1"/>
  <c r="A56" i="1"/>
  <c r="N56" i="1"/>
  <c r="O56" i="1"/>
  <c r="A57" i="1"/>
  <c r="N57" i="1"/>
  <c r="O57" i="1"/>
  <c r="A58" i="1"/>
  <c r="N58" i="1"/>
  <c r="O58" i="1"/>
  <c r="A59" i="1"/>
  <c r="N59" i="1"/>
  <c r="O59" i="1"/>
  <c r="A60" i="1"/>
  <c r="N60" i="1"/>
  <c r="O60" i="1"/>
  <c r="A61" i="1"/>
  <c r="N61" i="1"/>
  <c r="O61" i="1"/>
  <c r="A62" i="1"/>
  <c r="N62" i="1"/>
  <c r="O62" i="1"/>
  <c r="A63" i="1"/>
  <c r="N63" i="1"/>
  <c r="O63" i="1"/>
  <c r="A64" i="1"/>
  <c r="N64" i="1"/>
  <c r="O64" i="1"/>
  <c r="A65" i="1"/>
  <c r="N65" i="1"/>
  <c r="O65" i="1"/>
  <c r="A66" i="1"/>
  <c r="N66" i="1"/>
  <c r="O66" i="1"/>
  <c r="A67" i="1"/>
  <c r="N67" i="1"/>
  <c r="O67" i="1"/>
  <c r="A68" i="1"/>
  <c r="N68" i="1"/>
  <c r="O68" i="1"/>
  <c r="A69" i="1"/>
  <c r="N69" i="1"/>
  <c r="O69" i="1"/>
  <c r="A70" i="1"/>
  <c r="N70" i="1"/>
  <c r="O70" i="1"/>
  <c r="A71" i="1"/>
  <c r="N71" i="1"/>
  <c r="O71" i="1"/>
  <c r="A72" i="1"/>
  <c r="N72" i="1"/>
  <c r="O72" i="1"/>
  <c r="A73" i="1"/>
  <c r="N73" i="1"/>
  <c r="O73" i="1"/>
  <c r="A74" i="1"/>
  <c r="N74" i="1"/>
  <c r="O74" i="1"/>
  <c r="A75" i="1"/>
  <c r="N75" i="1"/>
  <c r="O75" i="1"/>
  <c r="A76" i="1"/>
  <c r="N76" i="1"/>
  <c r="O76" i="1"/>
  <c r="A77" i="1"/>
  <c r="N77" i="1"/>
  <c r="O77" i="1"/>
  <c r="A78" i="1"/>
  <c r="N78" i="1"/>
  <c r="O78" i="1"/>
  <c r="A79" i="1"/>
  <c r="N79" i="1"/>
  <c r="O79" i="1"/>
  <c r="A80" i="1"/>
  <c r="N80" i="1"/>
  <c r="O80" i="1"/>
  <c r="A81" i="1"/>
  <c r="N81" i="1"/>
  <c r="O81" i="1"/>
  <c r="A82" i="1"/>
  <c r="N82" i="1"/>
  <c r="O82" i="1"/>
  <c r="A83" i="1"/>
  <c r="N83" i="1"/>
  <c r="O83" i="1"/>
  <c r="A84" i="1"/>
  <c r="N84" i="1"/>
  <c r="O84" i="1"/>
  <c r="A85" i="1"/>
  <c r="N85" i="1"/>
  <c r="O85" i="1"/>
  <c r="A86" i="1"/>
  <c r="N86" i="1"/>
  <c r="O86" i="1"/>
  <c r="A87" i="1"/>
  <c r="N87" i="1"/>
  <c r="O87" i="1"/>
  <c r="A88" i="1"/>
  <c r="N88" i="1"/>
  <c r="O88" i="1"/>
  <c r="A89" i="1"/>
  <c r="N89" i="1"/>
  <c r="O89" i="1"/>
  <c r="A90" i="1"/>
  <c r="N90" i="1"/>
  <c r="O90" i="1"/>
  <c r="A91" i="1"/>
  <c r="N91" i="1"/>
  <c r="O91" i="1"/>
  <c r="A92" i="1"/>
  <c r="N92" i="1"/>
  <c r="O92" i="1"/>
  <c r="A93" i="1"/>
  <c r="N93" i="1"/>
  <c r="O93" i="1"/>
  <c r="A94" i="1"/>
  <c r="N94" i="1"/>
  <c r="O94" i="1"/>
  <c r="A95" i="1"/>
  <c r="N95" i="1"/>
  <c r="O95" i="1"/>
  <c r="A96" i="1"/>
  <c r="N96" i="1"/>
  <c r="O96" i="1"/>
  <c r="A97" i="1"/>
  <c r="N97" i="1"/>
  <c r="O97" i="1"/>
  <c r="A98" i="1"/>
  <c r="N98" i="1"/>
  <c r="O98" i="1"/>
  <c r="A99" i="1"/>
  <c r="N99" i="1"/>
  <c r="O99" i="1"/>
  <c r="A100" i="1"/>
  <c r="N100" i="1"/>
  <c r="O100" i="1"/>
  <c r="P1" i="1"/>
  <c r="O1" i="1"/>
  <c r="N1" i="1"/>
  <c r="A1" i="1"/>
  <c r="N8" i="7" l="1"/>
  <c r="M8" i="7"/>
  <c r="Q3" i="7"/>
  <c r="P3" i="7"/>
  <c r="R8" i="7"/>
  <c r="N3" i="7"/>
  <c r="Q8" i="7"/>
  <c r="I3" i="7"/>
  <c r="F2" i="7"/>
  <c r="G3" i="7"/>
  <c r="F3" i="7"/>
  <c r="K9" i="7"/>
  <c r="R9" i="7"/>
  <c r="Q9" i="7"/>
  <c r="P9" i="7"/>
  <c r="K72" i="1"/>
  <c r="K12" i="1"/>
  <c r="K42" i="1"/>
  <c r="K95" i="1"/>
  <c r="K89" i="1"/>
  <c r="K83" i="1"/>
  <c r="K77" i="1"/>
  <c r="K71" i="1"/>
  <c r="K65" i="1"/>
  <c r="K59" i="1"/>
  <c r="K53" i="1"/>
  <c r="K47" i="1"/>
  <c r="K41" i="1"/>
  <c r="K35" i="1"/>
  <c r="K29" i="1"/>
  <c r="K23" i="1"/>
  <c r="K17" i="1"/>
  <c r="K11" i="1"/>
  <c r="K5" i="1"/>
  <c r="K18" i="1"/>
  <c r="K78" i="1"/>
  <c r="K24" i="1"/>
  <c r="K100" i="1"/>
  <c r="K94" i="1"/>
  <c r="K88" i="1"/>
  <c r="K82" i="1"/>
  <c r="K76" i="1"/>
  <c r="K70" i="1"/>
  <c r="K64" i="1"/>
  <c r="K58" i="1"/>
  <c r="K52" i="1"/>
  <c r="K46" i="1"/>
  <c r="K40" i="1"/>
  <c r="K34" i="1"/>
  <c r="K28" i="1"/>
  <c r="K22" i="1"/>
  <c r="K16" i="1"/>
  <c r="K10" i="1"/>
  <c r="K4" i="1"/>
  <c r="K90" i="1"/>
  <c r="K30" i="1"/>
  <c r="K66" i="1"/>
  <c r="K99" i="1"/>
  <c r="K93" i="1"/>
  <c r="K87" i="1"/>
  <c r="K81" i="1"/>
  <c r="K75" i="1"/>
  <c r="K69" i="1"/>
  <c r="K63" i="1"/>
  <c r="K57" i="1"/>
  <c r="K51" i="1"/>
  <c r="K45" i="1"/>
  <c r="K39" i="1"/>
  <c r="K33" i="1"/>
  <c r="K27" i="1"/>
  <c r="K21" i="1"/>
  <c r="K15" i="1"/>
  <c r="K9" i="1"/>
  <c r="K3" i="1"/>
  <c r="K96" i="1"/>
  <c r="K36" i="1"/>
  <c r="K48" i="1"/>
  <c r="K98" i="1"/>
  <c r="K92" i="1"/>
  <c r="K86" i="1"/>
  <c r="K80" i="1"/>
  <c r="K74" i="1"/>
  <c r="K68" i="1"/>
  <c r="K62" i="1"/>
  <c r="K56" i="1"/>
  <c r="K50" i="1"/>
  <c r="K44" i="1"/>
  <c r="K38" i="1"/>
  <c r="K32" i="1"/>
  <c r="K26" i="1"/>
  <c r="K20" i="1"/>
  <c r="K14" i="1"/>
  <c r="K8" i="1"/>
  <c r="K2" i="1"/>
  <c r="K60" i="1"/>
  <c r="K54" i="1"/>
  <c r="K97" i="1"/>
  <c r="K91" i="1"/>
  <c r="K85" i="1"/>
  <c r="K79" i="1"/>
  <c r="K73" i="1"/>
  <c r="K67" i="1"/>
  <c r="K61" i="1"/>
  <c r="K55" i="1"/>
  <c r="K49" i="1"/>
  <c r="K43" i="1"/>
  <c r="K37" i="1"/>
  <c r="K31" i="1"/>
  <c r="K25" i="1"/>
  <c r="K19" i="1"/>
  <c r="K13" i="1"/>
  <c r="K7" i="1"/>
  <c r="K84" i="1"/>
  <c r="K6" i="1"/>
  <c r="D3" i="7"/>
  <c r="L9" i="7"/>
  <c r="J3" i="7"/>
  <c r="R3" i="7"/>
  <c r="E3" i="7"/>
  <c r="O9" i="7"/>
  <c r="M9" i="7"/>
  <c r="K8" i="7"/>
  <c r="N9" i="7"/>
  <c r="P8" i="7"/>
  <c r="L3" i="7"/>
  <c r="O8" i="7"/>
  <c r="M3" i="7"/>
  <c r="K3" i="7"/>
  <c r="BA2" i="1"/>
  <c r="AY2" i="1"/>
  <c r="O3" i="7"/>
  <c r="L8" i="7"/>
  <c r="BT95" i="1"/>
  <c r="DH95" i="1" s="1"/>
  <c r="BW95" i="1"/>
  <c r="DK95" i="1" s="1"/>
  <c r="BY95" i="1"/>
  <c r="DM95" i="1" s="1"/>
  <c r="BX95" i="1"/>
  <c r="DL95" i="1" s="1"/>
  <c r="BZ95" i="1"/>
  <c r="DN95" i="1" s="1"/>
  <c r="CA95" i="1"/>
  <c r="DO95" i="1" s="1"/>
  <c r="BV95" i="1"/>
  <c r="DJ95" i="1" s="1"/>
  <c r="BU95" i="1"/>
  <c r="DI95" i="1" s="1"/>
  <c r="BT96" i="1"/>
  <c r="DH96" i="1" s="1"/>
  <c r="BU96" i="1"/>
  <c r="DI96" i="1" s="1"/>
  <c r="BV96" i="1"/>
  <c r="DJ96" i="1" s="1"/>
  <c r="BW96" i="1"/>
  <c r="DK96" i="1" s="1"/>
  <c r="BX96" i="1"/>
  <c r="DL96" i="1" s="1"/>
  <c r="BY96" i="1"/>
  <c r="DM96" i="1" s="1"/>
  <c r="BZ96" i="1"/>
  <c r="DN96" i="1" s="1"/>
  <c r="CA96" i="1"/>
  <c r="DO96" i="1" s="1"/>
  <c r="BT90" i="1"/>
  <c r="DH90" i="1" s="1"/>
  <c r="BU90" i="1"/>
  <c r="DI90" i="1" s="1"/>
  <c r="BV90" i="1"/>
  <c r="DJ90" i="1" s="1"/>
  <c r="BW90" i="1"/>
  <c r="DK90" i="1" s="1"/>
  <c r="BX90" i="1"/>
  <c r="DL90" i="1" s="1"/>
  <c r="CA90" i="1"/>
  <c r="DO90" i="1" s="1"/>
  <c r="BY90" i="1"/>
  <c r="DM90" i="1" s="1"/>
  <c r="BZ90" i="1"/>
  <c r="DN90" i="1" s="1"/>
  <c r="BT84" i="1"/>
  <c r="DH84" i="1" s="1"/>
  <c r="BU84" i="1"/>
  <c r="DI84" i="1" s="1"/>
  <c r="BV84" i="1"/>
  <c r="DJ84" i="1" s="1"/>
  <c r="BW84" i="1"/>
  <c r="DK84" i="1" s="1"/>
  <c r="BX84" i="1"/>
  <c r="DL84" i="1" s="1"/>
  <c r="BY84" i="1"/>
  <c r="DM84" i="1" s="1"/>
  <c r="CA84" i="1"/>
  <c r="DO84" i="1" s="1"/>
  <c r="BZ84" i="1"/>
  <c r="DN84" i="1" s="1"/>
  <c r="BT78" i="1"/>
  <c r="DH78" i="1" s="1"/>
  <c r="BU78" i="1"/>
  <c r="DI78" i="1" s="1"/>
  <c r="BV78" i="1"/>
  <c r="DJ78" i="1" s="1"/>
  <c r="BW78" i="1"/>
  <c r="DK78" i="1" s="1"/>
  <c r="BX78" i="1"/>
  <c r="DL78" i="1" s="1"/>
  <c r="BY78" i="1"/>
  <c r="DM78" i="1" s="1"/>
  <c r="CA78" i="1"/>
  <c r="DO78" i="1" s="1"/>
  <c r="BZ78" i="1"/>
  <c r="DN78" i="1" s="1"/>
  <c r="BT72" i="1"/>
  <c r="DH72" i="1" s="1"/>
  <c r="BU72" i="1"/>
  <c r="DI72" i="1" s="1"/>
  <c r="BV72" i="1"/>
  <c r="DJ72" i="1" s="1"/>
  <c r="BW72" i="1"/>
  <c r="DK72" i="1" s="1"/>
  <c r="BX72" i="1"/>
  <c r="DL72" i="1" s="1"/>
  <c r="BY72" i="1"/>
  <c r="DM72" i="1" s="1"/>
  <c r="CA72" i="1"/>
  <c r="DO72" i="1" s="1"/>
  <c r="BZ72" i="1"/>
  <c r="DN72" i="1" s="1"/>
  <c r="BT66" i="1"/>
  <c r="DH66" i="1" s="1"/>
  <c r="BU66" i="1"/>
  <c r="DI66" i="1" s="1"/>
  <c r="BV66" i="1"/>
  <c r="DJ66" i="1" s="1"/>
  <c r="BW66" i="1"/>
  <c r="DK66" i="1" s="1"/>
  <c r="BX66" i="1"/>
  <c r="DL66" i="1" s="1"/>
  <c r="BY66" i="1"/>
  <c r="DM66" i="1" s="1"/>
  <c r="CA66" i="1"/>
  <c r="DO66" i="1" s="1"/>
  <c r="BZ66" i="1"/>
  <c r="DN66" i="1" s="1"/>
  <c r="BT60" i="1"/>
  <c r="DH60" i="1" s="1"/>
  <c r="BU60" i="1"/>
  <c r="DI60" i="1" s="1"/>
  <c r="BV60" i="1"/>
  <c r="DJ60" i="1" s="1"/>
  <c r="BW60" i="1"/>
  <c r="DK60" i="1" s="1"/>
  <c r="BX60" i="1"/>
  <c r="DL60" i="1" s="1"/>
  <c r="BY60" i="1"/>
  <c r="DM60" i="1" s="1"/>
  <c r="CA60" i="1"/>
  <c r="DO60" i="1" s="1"/>
  <c r="BZ60" i="1"/>
  <c r="DN60" i="1" s="1"/>
  <c r="BT54" i="1"/>
  <c r="DH54" i="1" s="1"/>
  <c r="BU54" i="1"/>
  <c r="DI54" i="1" s="1"/>
  <c r="BV54" i="1"/>
  <c r="DJ54" i="1" s="1"/>
  <c r="BW54" i="1"/>
  <c r="DK54" i="1" s="1"/>
  <c r="BX54" i="1"/>
  <c r="DL54" i="1" s="1"/>
  <c r="BY54" i="1"/>
  <c r="DM54" i="1" s="1"/>
  <c r="CA54" i="1"/>
  <c r="DO54" i="1" s="1"/>
  <c r="BZ54" i="1"/>
  <c r="DN54" i="1" s="1"/>
  <c r="BT48" i="1"/>
  <c r="DH48" i="1" s="1"/>
  <c r="BU48" i="1"/>
  <c r="DI48" i="1" s="1"/>
  <c r="BV48" i="1"/>
  <c r="DJ48" i="1" s="1"/>
  <c r="BW48" i="1"/>
  <c r="DK48" i="1" s="1"/>
  <c r="BX48" i="1"/>
  <c r="DL48" i="1" s="1"/>
  <c r="BY48" i="1"/>
  <c r="DM48" i="1" s="1"/>
  <c r="CA48" i="1"/>
  <c r="DO48" i="1" s="1"/>
  <c r="BZ48" i="1"/>
  <c r="DN48" i="1" s="1"/>
  <c r="BT42" i="1"/>
  <c r="DH42" i="1" s="1"/>
  <c r="BU42" i="1"/>
  <c r="DI42" i="1" s="1"/>
  <c r="BV42" i="1"/>
  <c r="DJ42" i="1" s="1"/>
  <c r="BW42" i="1"/>
  <c r="DK42" i="1" s="1"/>
  <c r="BX42" i="1"/>
  <c r="DL42" i="1" s="1"/>
  <c r="BY42" i="1"/>
  <c r="DM42" i="1" s="1"/>
  <c r="CA42" i="1"/>
  <c r="DO42" i="1" s="1"/>
  <c r="BZ42" i="1"/>
  <c r="DN42" i="1" s="1"/>
  <c r="BT36" i="1"/>
  <c r="DH36" i="1" s="1"/>
  <c r="BU36" i="1"/>
  <c r="DI36" i="1" s="1"/>
  <c r="BV36" i="1"/>
  <c r="DJ36" i="1" s="1"/>
  <c r="BW36" i="1"/>
  <c r="DK36" i="1" s="1"/>
  <c r="BX36" i="1"/>
  <c r="DL36" i="1" s="1"/>
  <c r="BY36" i="1"/>
  <c r="DM36" i="1" s="1"/>
  <c r="CA36" i="1"/>
  <c r="DO36" i="1" s="1"/>
  <c r="BZ36" i="1"/>
  <c r="DN36" i="1" s="1"/>
  <c r="BU30" i="1"/>
  <c r="DI30" i="1" s="1"/>
  <c r="BW30" i="1"/>
  <c r="DK30" i="1" s="1"/>
  <c r="BX30" i="1"/>
  <c r="DL30" i="1" s="1"/>
  <c r="BY30" i="1"/>
  <c r="DM30" i="1" s="1"/>
  <c r="BZ30" i="1"/>
  <c r="DN30" i="1" s="1"/>
  <c r="BT30" i="1"/>
  <c r="DH30" i="1" s="1"/>
  <c r="CA30" i="1"/>
  <c r="DO30" i="1" s="1"/>
  <c r="BV30" i="1"/>
  <c r="DJ30" i="1" s="1"/>
  <c r="BU24" i="1"/>
  <c r="DI24" i="1" s="1"/>
  <c r="BW24" i="1"/>
  <c r="DK24" i="1" s="1"/>
  <c r="BX24" i="1"/>
  <c r="DL24" i="1" s="1"/>
  <c r="BY24" i="1"/>
  <c r="DM24" i="1" s="1"/>
  <c r="BZ24" i="1"/>
  <c r="DN24" i="1" s="1"/>
  <c r="BT24" i="1"/>
  <c r="DH24" i="1" s="1"/>
  <c r="BV24" i="1"/>
  <c r="DJ24" i="1" s="1"/>
  <c r="CA24" i="1"/>
  <c r="DO24" i="1" s="1"/>
  <c r="BU18" i="1"/>
  <c r="DI18" i="1" s="1"/>
  <c r="BW18" i="1"/>
  <c r="DK18" i="1" s="1"/>
  <c r="BX18" i="1"/>
  <c r="DL18" i="1" s="1"/>
  <c r="BY18" i="1"/>
  <c r="DM18" i="1" s="1"/>
  <c r="BZ18" i="1"/>
  <c r="DN18" i="1" s="1"/>
  <c r="BT18" i="1"/>
  <c r="DH18" i="1" s="1"/>
  <c r="BV18" i="1"/>
  <c r="DJ18" i="1" s="1"/>
  <c r="CA18" i="1"/>
  <c r="DO18" i="1" s="1"/>
  <c r="BU12" i="1"/>
  <c r="DI12" i="1" s="1"/>
  <c r="BW12" i="1"/>
  <c r="DK12" i="1" s="1"/>
  <c r="BX12" i="1"/>
  <c r="DL12" i="1" s="1"/>
  <c r="BY12" i="1"/>
  <c r="DM12" i="1" s="1"/>
  <c r="BZ12" i="1"/>
  <c r="DN12" i="1" s="1"/>
  <c r="BT12" i="1"/>
  <c r="DH12" i="1" s="1"/>
  <c r="CA12" i="1"/>
  <c r="DO12" i="1" s="1"/>
  <c r="BV12" i="1"/>
  <c r="DJ12" i="1" s="1"/>
  <c r="BU6" i="1"/>
  <c r="DI6" i="1" s="1"/>
  <c r="BV6" i="1"/>
  <c r="DJ6" i="1" s="1"/>
  <c r="BW6" i="1"/>
  <c r="DK6" i="1" s="1"/>
  <c r="BX6" i="1"/>
  <c r="DL6" i="1" s="1"/>
  <c r="BY6" i="1"/>
  <c r="DM6" i="1" s="1"/>
  <c r="BZ6" i="1"/>
  <c r="DN6" i="1" s="1"/>
  <c r="BT6" i="1"/>
  <c r="DH6" i="1" s="1"/>
  <c r="CA6" i="1"/>
  <c r="DO6" i="1" s="1"/>
  <c r="BT29" i="1"/>
  <c r="DH29" i="1" s="1"/>
  <c r="BU29" i="1"/>
  <c r="DI29" i="1" s="1"/>
  <c r="BV29" i="1"/>
  <c r="DJ29" i="1" s="1"/>
  <c r="BW29" i="1"/>
  <c r="DK29" i="1" s="1"/>
  <c r="BX29" i="1"/>
  <c r="DL29" i="1" s="1"/>
  <c r="BY29" i="1"/>
  <c r="DM29" i="1" s="1"/>
  <c r="BZ29" i="1"/>
  <c r="DN29" i="1" s="1"/>
  <c r="CA29" i="1"/>
  <c r="DO29" i="1" s="1"/>
  <c r="DW29" i="1" s="1"/>
  <c r="BT65" i="1"/>
  <c r="DH65" i="1" s="1"/>
  <c r="BU65" i="1"/>
  <c r="DI65" i="1" s="1"/>
  <c r="BW65" i="1"/>
  <c r="DK65" i="1" s="1"/>
  <c r="BY65" i="1"/>
  <c r="DM65" i="1" s="1"/>
  <c r="BZ65" i="1"/>
  <c r="DN65" i="1" s="1"/>
  <c r="CA65" i="1"/>
  <c r="DO65" i="1" s="1"/>
  <c r="BX65" i="1"/>
  <c r="DL65" i="1" s="1"/>
  <c r="BV65" i="1"/>
  <c r="DJ65" i="1" s="1"/>
  <c r="BT47" i="1"/>
  <c r="DH47" i="1" s="1"/>
  <c r="BU47" i="1"/>
  <c r="DI47" i="1" s="1"/>
  <c r="BW47" i="1"/>
  <c r="DK47" i="1" s="1"/>
  <c r="BY47" i="1"/>
  <c r="DM47" i="1" s="1"/>
  <c r="BZ47" i="1"/>
  <c r="DN47" i="1" s="1"/>
  <c r="CA47" i="1"/>
  <c r="DO47" i="1" s="1"/>
  <c r="BV47" i="1"/>
  <c r="DJ47" i="1" s="1"/>
  <c r="BX47" i="1"/>
  <c r="DL47" i="1" s="1"/>
  <c r="BT17" i="1"/>
  <c r="DH17" i="1" s="1"/>
  <c r="BU17" i="1"/>
  <c r="DI17" i="1" s="1"/>
  <c r="BV17" i="1"/>
  <c r="DJ17" i="1" s="1"/>
  <c r="BW17" i="1"/>
  <c r="DK17" i="1" s="1"/>
  <c r="BX17" i="1"/>
  <c r="DL17" i="1" s="1"/>
  <c r="BZ17" i="1"/>
  <c r="DN17" i="1" s="1"/>
  <c r="BY17" i="1"/>
  <c r="DM17" i="1" s="1"/>
  <c r="CA17" i="1"/>
  <c r="DO17" i="1" s="1"/>
  <c r="BX94" i="1"/>
  <c r="DL94" i="1" s="1"/>
  <c r="BY94" i="1"/>
  <c r="DM94" i="1" s="1"/>
  <c r="BZ94" i="1"/>
  <c r="DN94" i="1" s="1"/>
  <c r="CA94" i="1"/>
  <c r="DO94" i="1" s="1"/>
  <c r="BU94" i="1"/>
  <c r="DI94" i="1" s="1"/>
  <c r="BT94" i="1"/>
  <c r="DH94" i="1" s="1"/>
  <c r="BV94" i="1"/>
  <c r="DJ94" i="1" s="1"/>
  <c r="BW94" i="1"/>
  <c r="DK94" i="1" s="1"/>
  <c r="BX64" i="1"/>
  <c r="DL64" i="1" s="1"/>
  <c r="BY64" i="1"/>
  <c r="DM64" i="1" s="1"/>
  <c r="BZ64" i="1"/>
  <c r="DN64" i="1" s="1"/>
  <c r="CA64" i="1"/>
  <c r="DO64" i="1" s="1"/>
  <c r="BU64" i="1"/>
  <c r="DI64" i="1" s="1"/>
  <c r="BV64" i="1"/>
  <c r="DJ64" i="1" s="1"/>
  <c r="DR64" i="1" s="1"/>
  <c r="BT64" i="1"/>
  <c r="DH64" i="1" s="1"/>
  <c r="BW64" i="1"/>
  <c r="DK64" i="1" s="1"/>
  <c r="EA64" i="1" s="1"/>
  <c r="BX46" i="1"/>
  <c r="DL46" i="1" s="1"/>
  <c r="BY46" i="1"/>
  <c r="DM46" i="1" s="1"/>
  <c r="BZ46" i="1"/>
  <c r="DN46" i="1" s="1"/>
  <c r="CA46" i="1"/>
  <c r="DO46" i="1" s="1"/>
  <c r="BU46" i="1"/>
  <c r="DI46" i="1" s="1"/>
  <c r="BV46" i="1"/>
  <c r="DJ46" i="1" s="1"/>
  <c r="BT46" i="1"/>
  <c r="DH46" i="1" s="1"/>
  <c r="BW46" i="1"/>
  <c r="DK46" i="1" s="1"/>
  <c r="BY10" i="1"/>
  <c r="DM10" i="1" s="1"/>
  <c r="CA10" i="1"/>
  <c r="DO10" i="1" s="1"/>
  <c r="BU10" i="1"/>
  <c r="DI10" i="1" s="1"/>
  <c r="BW10" i="1"/>
  <c r="DK10" i="1" s="1"/>
  <c r="DS10" i="1" s="1"/>
  <c r="BX10" i="1"/>
  <c r="DL10" i="1" s="1"/>
  <c r="BT10" i="1"/>
  <c r="DH10" i="1" s="1"/>
  <c r="BV10" i="1"/>
  <c r="DJ10" i="1" s="1"/>
  <c r="BZ10" i="1"/>
  <c r="DN10" i="1" s="1"/>
  <c r="BX58" i="1"/>
  <c r="DL58" i="1" s="1"/>
  <c r="BY58" i="1"/>
  <c r="DM58" i="1" s="1"/>
  <c r="BZ58" i="1"/>
  <c r="DN58" i="1" s="1"/>
  <c r="CA58" i="1"/>
  <c r="DO58" i="1" s="1"/>
  <c r="BU58" i="1"/>
  <c r="DI58" i="1" s="1"/>
  <c r="BV58" i="1"/>
  <c r="DJ58" i="1" s="1"/>
  <c r="BT58" i="1"/>
  <c r="DH58" i="1" s="1"/>
  <c r="BW58" i="1"/>
  <c r="DK58" i="1" s="1"/>
  <c r="BW99" i="1"/>
  <c r="DK99" i="1" s="1"/>
  <c r="BX99" i="1"/>
  <c r="DL99" i="1" s="1"/>
  <c r="BY99" i="1"/>
  <c r="DM99" i="1" s="1"/>
  <c r="BZ99" i="1"/>
  <c r="DN99" i="1" s="1"/>
  <c r="CA99" i="1"/>
  <c r="DO99" i="1" s="1"/>
  <c r="BT99" i="1"/>
  <c r="DH99" i="1" s="1"/>
  <c r="DP99" i="1" s="1"/>
  <c r="BV99" i="1"/>
  <c r="DJ99" i="1" s="1"/>
  <c r="BU99" i="1"/>
  <c r="DI99" i="1" s="1"/>
  <c r="BT93" i="1"/>
  <c r="DH93" i="1" s="1"/>
  <c r="BU93" i="1"/>
  <c r="DI93" i="1" s="1"/>
  <c r="BV93" i="1"/>
  <c r="DJ93" i="1" s="1"/>
  <c r="BW93" i="1"/>
  <c r="DK93" i="1" s="1"/>
  <c r="BX93" i="1"/>
  <c r="DL93" i="1" s="1"/>
  <c r="CA93" i="1"/>
  <c r="DO93" i="1" s="1"/>
  <c r="BY93" i="1"/>
  <c r="DM93" i="1" s="1"/>
  <c r="BZ93" i="1"/>
  <c r="DN93" i="1" s="1"/>
  <c r="BT87" i="1"/>
  <c r="DH87" i="1" s="1"/>
  <c r="DX87" i="1" s="1"/>
  <c r="BU87" i="1"/>
  <c r="DI87" i="1" s="1"/>
  <c r="BV87" i="1"/>
  <c r="DJ87" i="1" s="1"/>
  <c r="BW87" i="1"/>
  <c r="DK87" i="1" s="1"/>
  <c r="BX87" i="1"/>
  <c r="DL87" i="1" s="1"/>
  <c r="BY87" i="1"/>
  <c r="DM87" i="1" s="1"/>
  <c r="CA87" i="1"/>
  <c r="DO87" i="1" s="1"/>
  <c r="BZ87" i="1"/>
  <c r="DN87" i="1" s="1"/>
  <c r="BT81" i="1"/>
  <c r="DH81" i="1" s="1"/>
  <c r="BU81" i="1"/>
  <c r="DI81" i="1" s="1"/>
  <c r="BV81" i="1"/>
  <c r="DJ81" i="1" s="1"/>
  <c r="BW81" i="1"/>
  <c r="DK81" i="1" s="1"/>
  <c r="BX81" i="1"/>
  <c r="DL81" i="1" s="1"/>
  <c r="BY81" i="1"/>
  <c r="DM81" i="1" s="1"/>
  <c r="CA81" i="1"/>
  <c r="DO81" i="1" s="1"/>
  <c r="BZ81" i="1"/>
  <c r="DN81" i="1" s="1"/>
  <c r="BT75" i="1"/>
  <c r="DH75" i="1" s="1"/>
  <c r="BU75" i="1"/>
  <c r="DI75" i="1" s="1"/>
  <c r="BV75" i="1"/>
  <c r="DJ75" i="1" s="1"/>
  <c r="BW75" i="1"/>
  <c r="DK75" i="1" s="1"/>
  <c r="BX75" i="1"/>
  <c r="DL75" i="1" s="1"/>
  <c r="BY75" i="1"/>
  <c r="DM75" i="1" s="1"/>
  <c r="CA75" i="1"/>
  <c r="DO75" i="1" s="1"/>
  <c r="BZ75" i="1"/>
  <c r="DN75" i="1" s="1"/>
  <c r="BT69" i="1"/>
  <c r="DH69" i="1" s="1"/>
  <c r="BU69" i="1"/>
  <c r="DI69" i="1" s="1"/>
  <c r="BV69" i="1"/>
  <c r="DJ69" i="1" s="1"/>
  <c r="BW69" i="1"/>
  <c r="DK69" i="1" s="1"/>
  <c r="BX69" i="1"/>
  <c r="DL69" i="1" s="1"/>
  <c r="BY69" i="1"/>
  <c r="DM69" i="1" s="1"/>
  <c r="CA69" i="1"/>
  <c r="DO69" i="1" s="1"/>
  <c r="BZ69" i="1"/>
  <c r="DN69" i="1" s="1"/>
  <c r="BT63" i="1"/>
  <c r="DH63" i="1" s="1"/>
  <c r="DP63" i="1" s="1"/>
  <c r="BU63" i="1"/>
  <c r="DI63" i="1" s="1"/>
  <c r="BV63" i="1"/>
  <c r="DJ63" i="1" s="1"/>
  <c r="BW63" i="1"/>
  <c r="DK63" i="1" s="1"/>
  <c r="BX63" i="1"/>
  <c r="DL63" i="1" s="1"/>
  <c r="BY63" i="1"/>
  <c r="DM63" i="1" s="1"/>
  <c r="CA63" i="1"/>
  <c r="DO63" i="1" s="1"/>
  <c r="BZ63" i="1"/>
  <c r="DN63" i="1" s="1"/>
  <c r="BT57" i="1"/>
  <c r="DH57" i="1" s="1"/>
  <c r="BU57" i="1"/>
  <c r="DI57" i="1" s="1"/>
  <c r="BV57" i="1"/>
  <c r="DJ57" i="1" s="1"/>
  <c r="BW57" i="1"/>
  <c r="DK57" i="1" s="1"/>
  <c r="BX57" i="1"/>
  <c r="DL57" i="1" s="1"/>
  <c r="BY57" i="1"/>
  <c r="DM57" i="1" s="1"/>
  <c r="CA57" i="1"/>
  <c r="DO57" i="1" s="1"/>
  <c r="BZ57" i="1"/>
  <c r="DN57" i="1" s="1"/>
  <c r="BT51" i="1"/>
  <c r="DH51" i="1" s="1"/>
  <c r="DX51" i="1" s="1"/>
  <c r="BU51" i="1"/>
  <c r="DI51" i="1" s="1"/>
  <c r="BV51" i="1"/>
  <c r="DJ51" i="1" s="1"/>
  <c r="BW51" i="1"/>
  <c r="DK51" i="1" s="1"/>
  <c r="BX51" i="1"/>
  <c r="DL51" i="1" s="1"/>
  <c r="BY51" i="1"/>
  <c r="DM51" i="1" s="1"/>
  <c r="CA51" i="1"/>
  <c r="DO51" i="1" s="1"/>
  <c r="BZ51" i="1"/>
  <c r="DN51" i="1" s="1"/>
  <c r="BT45" i="1"/>
  <c r="DH45" i="1" s="1"/>
  <c r="BU45" i="1"/>
  <c r="DI45" i="1" s="1"/>
  <c r="BV45" i="1"/>
  <c r="DJ45" i="1" s="1"/>
  <c r="BW45" i="1"/>
  <c r="DK45" i="1" s="1"/>
  <c r="BX45" i="1"/>
  <c r="DL45" i="1" s="1"/>
  <c r="BY45" i="1"/>
  <c r="DM45" i="1" s="1"/>
  <c r="CA45" i="1"/>
  <c r="DO45" i="1" s="1"/>
  <c r="BZ45" i="1"/>
  <c r="DN45" i="1" s="1"/>
  <c r="BT39" i="1"/>
  <c r="DH39" i="1" s="1"/>
  <c r="DP39" i="1" s="1"/>
  <c r="BU39" i="1"/>
  <c r="DI39" i="1" s="1"/>
  <c r="BV39" i="1"/>
  <c r="DJ39" i="1" s="1"/>
  <c r="BW39" i="1"/>
  <c r="DK39" i="1" s="1"/>
  <c r="BX39" i="1"/>
  <c r="DL39" i="1" s="1"/>
  <c r="BY39" i="1"/>
  <c r="DM39" i="1" s="1"/>
  <c r="CA39" i="1"/>
  <c r="DO39" i="1" s="1"/>
  <c r="BZ39" i="1"/>
  <c r="DN39" i="1" s="1"/>
  <c r="BT33" i="1"/>
  <c r="DH33" i="1" s="1"/>
  <c r="BU33" i="1"/>
  <c r="DI33" i="1" s="1"/>
  <c r="BV33" i="1"/>
  <c r="DJ33" i="1" s="1"/>
  <c r="BW33" i="1"/>
  <c r="DK33" i="1" s="1"/>
  <c r="BX33" i="1"/>
  <c r="DL33" i="1" s="1"/>
  <c r="BY33" i="1"/>
  <c r="DM33" i="1" s="1"/>
  <c r="CA33" i="1"/>
  <c r="DO33" i="1" s="1"/>
  <c r="BZ33" i="1"/>
  <c r="DN33" i="1" s="1"/>
  <c r="BU27" i="1"/>
  <c r="DI27" i="1" s="1"/>
  <c r="BW27" i="1"/>
  <c r="DK27" i="1" s="1"/>
  <c r="BX27" i="1"/>
  <c r="DL27" i="1" s="1"/>
  <c r="BY27" i="1"/>
  <c r="DM27" i="1" s="1"/>
  <c r="BZ27" i="1"/>
  <c r="DN27" i="1" s="1"/>
  <c r="BT27" i="1"/>
  <c r="DH27" i="1" s="1"/>
  <c r="BV27" i="1"/>
  <c r="DJ27" i="1" s="1"/>
  <c r="CA27" i="1"/>
  <c r="DO27" i="1" s="1"/>
  <c r="BU21" i="1"/>
  <c r="DI21" i="1" s="1"/>
  <c r="BW21" i="1"/>
  <c r="DK21" i="1" s="1"/>
  <c r="BX21" i="1"/>
  <c r="DL21" i="1" s="1"/>
  <c r="BY21" i="1"/>
  <c r="DM21" i="1" s="1"/>
  <c r="BZ21" i="1"/>
  <c r="DN21" i="1" s="1"/>
  <c r="BV21" i="1"/>
  <c r="DJ21" i="1" s="1"/>
  <c r="CA21" i="1"/>
  <c r="DO21" i="1" s="1"/>
  <c r="BT21" i="1"/>
  <c r="DH21" i="1" s="1"/>
  <c r="BU15" i="1"/>
  <c r="DI15" i="1" s="1"/>
  <c r="BW15" i="1"/>
  <c r="DK15" i="1" s="1"/>
  <c r="BX15" i="1"/>
  <c r="DL15" i="1" s="1"/>
  <c r="BY15" i="1"/>
  <c r="DM15" i="1" s="1"/>
  <c r="BZ15" i="1"/>
  <c r="DN15" i="1" s="1"/>
  <c r="BT15" i="1"/>
  <c r="DH15" i="1" s="1"/>
  <c r="CA15" i="1"/>
  <c r="DO15" i="1" s="1"/>
  <c r="BV15" i="1"/>
  <c r="DJ15" i="1" s="1"/>
  <c r="BU9" i="1"/>
  <c r="DI9" i="1" s="1"/>
  <c r="BW9" i="1"/>
  <c r="DK9" i="1" s="1"/>
  <c r="BX9" i="1"/>
  <c r="DL9" i="1" s="1"/>
  <c r="BY9" i="1"/>
  <c r="DM9" i="1" s="1"/>
  <c r="BZ9" i="1"/>
  <c r="DN9" i="1" s="1"/>
  <c r="BT9" i="1"/>
  <c r="DH9" i="1" s="1"/>
  <c r="BV9" i="1"/>
  <c r="DJ9" i="1" s="1"/>
  <c r="CA9" i="1"/>
  <c r="DO9" i="1" s="1"/>
  <c r="BU3" i="1"/>
  <c r="DI3" i="1" s="1"/>
  <c r="BV3" i="1"/>
  <c r="DJ3" i="1" s="1"/>
  <c r="BW3" i="1"/>
  <c r="DK3" i="1" s="1"/>
  <c r="BX3" i="1"/>
  <c r="DL3" i="1" s="1"/>
  <c r="BY3" i="1"/>
  <c r="DM3" i="1" s="1"/>
  <c r="BZ3" i="1"/>
  <c r="DN3" i="1" s="1"/>
  <c r="BT3" i="1"/>
  <c r="DH3" i="1" s="1"/>
  <c r="CA3" i="1"/>
  <c r="DO3" i="1" s="1"/>
  <c r="BT89" i="1"/>
  <c r="DH89" i="1" s="1"/>
  <c r="BW89" i="1"/>
  <c r="DK89" i="1" s="1"/>
  <c r="BY89" i="1"/>
  <c r="DM89" i="1" s="1"/>
  <c r="CA89" i="1"/>
  <c r="DO89" i="1" s="1"/>
  <c r="BU89" i="1"/>
  <c r="DI89" i="1" s="1"/>
  <c r="BZ89" i="1"/>
  <c r="DN89" i="1" s="1"/>
  <c r="BV89" i="1"/>
  <c r="DJ89" i="1" s="1"/>
  <c r="BX89" i="1"/>
  <c r="DL89" i="1" s="1"/>
  <c r="BT41" i="1"/>
  <c r="DH41" i="1" s="1"/>
  <c r="BU41" i="1"/>
  <c r="DI41" i="1" s="1"/>
  <c r="BW41" i="1"/>
  <c r="DK41" i="1" s="1"/>
  <c r="BY41" i="1"/>
  <c r="DM41" i="1" s="1"/>
  <c r="BZ41" i="1"/>
  <c r="DN41" i="1" s="1"/>
  <c r="CA41" i="1"/>
  <c r="DO41" i="1" s="1"/>
  <c r="BX41" i="1"/>
  <c r="DL41" i="1" s="1"/>
  <c r="BV41" i="1"/>
  <c r="DJ41" i="1" s="1"/>
  <c r="CA100" i="1"/>
  <c r="DO100" i="1" s="1"/>
  <c r="BT100" i="1"/>
  <c r="DH100" i="1" s="1"/>
  <c r="BV100" i="1"/>
  <c r="DJ100" i="1" s="1"/>
  <c r="DR100" i="1" s="1"/>
  <c r="BW100" i="1"/>
  <c r="DK100" i="1" s="1"/>
  <c r="EA100" i="1" s="1"/>
  <c r="BX100" i="1"/>
  <c r="DL100" i="1" s="1"/>
  <c r="BU100" i="1"/>
  <c r="DI100" i="1" s="1"/>
  <c r="BY100" i="1"/>
  <c r="DM100" i="1" s="1"/>
  <c r="BZ100" i="1"/>
  <c r="DN100" i="1" s="1"/>
  <c r="BX70" i="1"/>
  <c r="DL70" i="1" s="1"/>
  <c r="BY70" i="1"/>
  <c r="DM70" i="1" s="1"/>
  <c r="BZ70" i="1"/>
  <c r="DN70" i="1" s="1"/>
  <c r="CA70" i="1"/>
  <c r="DO70" i="1" s="1"/>
  <c r="BU70" i="1"/>
  <c r="DI70" i="1" s="1"/>
  <c r="BV70" i="1"/>
  <c r="DJ70" i="1" s="1"/>
  <c r="BT70" i="1"/>
  <c r="DH70" i="1" s="1"/>
  <c r="BW70" i="1"/>
  <c r="DK70" i="1" s="1"/>
  <c r="BX34" i="1"/>
  <c r="DL34" i="1" s="1"/>
  <c r="BY34" i="1"/>
  <c r="DM34" i="1" s="1"/>
  <c r="BZ34" i="1"/>
  <c r="DN34" i="1" s="1"/>
  <c r="CA34" i="1"/>
  <c r="DO34" i="1" s="1"/>
  <c r="BU34" i="1"/>
  <c r="DI34" i="1" s="1"/>
  <c r="BV34" i="1"/>
  <c r="DJ34" i="1" s="1"/>
  <c r="BT34" i="1"/>
  <c r="DH34" i="1" s="1"/>
  <c r="BW34" i="1"/>
  <c r="DK34" i="1" s="1"/>
  <c r="BY4" i="1"/>
  <c r="DM4" i="1" s="1"/>
  <c r="BZ4" i="1"/>
  <c r="DN4" i="1" s="1"/>
  <c r="CA4" i="1"/>
  <c r="DO4" i="1" s="1"/>
  <c r="BT4" i="1"/>
  <c r="DH4" i="1" s="1"/>
  <c r="BV4" i="1"/>
  <c r="DJ4" i="1" s="1"/>
  <c r="BX4" i="1"/>
  <c r="DL4" i="1" s="1"/>
  <c r="BU4" i="1"/>
  <c r="DI4" i="1" s="1"/>
  <c r="BW4" i="1"/>
  <c r="DK4" i="1" s="1"/>
  <c r="DS4" i="1" s="1"/>
  <c r="BT83" i="1"/>
  <c r="DH83" i="1" s="1"/>
  <c r="BU83" i="1"/>
  <c r="DI83" i="1" s="1"/>
  <c r="BW83" i="1"/>
  <c r="DK83" i="1" s="1"/>
  <c r="BY83" i="1"/>
  <c r="DM83" i="1" s="1"/>
  <c r="BZ83" i="1"/>
  <c r="DN83" i="1" s="1"/>
  <c r="CA83" i="1"/>
  <c r="DO83" i="1" s="1"/>
  <c r="BV83" i="1"/>
  <c r="DJ83" i="1" s="1"/>
  <c r="BX83" i="1"/>
  <c r="DL83" i="1" s="1"/>
  <c r="BT59" i="1"/>
  <c r="DH59" i="1" s="1"/>
  <c r="BU59" i="1"/>
  <c r="DI59" i="1" s="1"/>
  <c r="BW59" i="1"/>
  <c r="DK59" i="1" s="1"/>
  <c r="BY59" i="1"/>
  <c r="DM59" i="1" s="1"/>
  <c r="BZ59" i="1"/>
  <c r="DN59" i="1" s="1"/>
  <c r="CA59" i="1"/>
  <c r="DO59" i="1" s="1"/>
  <c r="BV59" i="1"/>
  <c r="DJ59" i="1" s="1"/>
  <c r="BX59" i="1"/>
  <c r="DL59" i="1" s="1"/>
  <c r="BT11" i="1"/>
  <c r="DH11" i="1" s="1"/>
  <c r="BU11" i="1"/>
  <c r="DI11" i="1" s="1"/>
  <c r="BV11" i="1"/>
  <c r="DJ11" i="1" s="1"/>
  <c r="BW11" i="1"/>
  <c r="DK11" i="1" s="1"/>
  <c r="BX11" i="1"/>
  <c r="DL11" i="1" s="1"/>
  <c r="BY11" i="1"/>
  <c r="DM11" i="1" s="1"/>
  <c r="BZ11" i="1"/>
  <c r="DN11" i="1" s="1"/>
  <c r="CA11" i="1"/>
  <c r="DO11" i="1" s="1"/>
  <c r="EE11" i="1" s="1"/>
  <c r="BX88" i="1"/>
  <c r="DL88" i="1" s="1"/>
  <c r="BY88" i="1"/>
  <c r="DM88" i="1" s="1"/>
  <c r="BZ88" i="1"/>
  <c r="DN88" i="1" s="1"/>
  <c r="CA88" i="1"/>
  <c r="DO88" i="1" s="1"/>
  <c r="BU88" i="1"/>
  <c r="DI88" i="1" s="1"/>
  <c r="BV88" i="1"/>
  <c r="DJ88" i="1" s="1"/>
  <c r="BW88" i="1"/>
  <c r="DK88" i="1" s="1"/>
  <c r="DS88" i="1" s="1"/>
  <c r="BT88" i="1"/>
  <c r="DH88" i="1" s="1"/>
  <c r="BY28" i="1"/>
  <c r="DM28" i="1" s="1"/>
  <c r="CA28" i="1"/>
  <c r="DO28" i="1" s="1"/>
  <c r="BU28" i="1"/>
  <c r="DI28" i="1" s="1"/>
  <c r="BW28" i="1"/>
  <c r="DK28" i="1" s="1"/>
  <c r="EA28" i="1" s="1"/>
  <c r="BX28" i="1"/>
  <c r="DL28" i="1" s="1"/>
  <c r="BZ28" i="1"/>
  <c r="DN28" i="1" s="1"/>
  <c r="BV28" i="1"/>
  <c r="DJ28" i="1" s="1"/>
  <c r="BT28" i="1"/>
  <c r="DH28" i="1" s="1"/>
  <c r="BT98" i="1"/>
  <c r="DH98" i="1" s="1"/>
  <c r="BX98" i="1"/>
  <c r="DL98" i="1" s="1"/>
  <c r="BU98" i="1"/>
  <c r="DI98" i="1" s="1"/>
  <c r="BV98" i="1"/>
  <c r="DJ98" i="1" s="1"/>
  <c r="BY98" i="1"/>
  <c r="DM98" i="1" s="1"/>
  <c r="BW98" i="1"/>
  <c r="DK98" i="1" s="1"/>
  <c r="BZ98" i="1"/>
  <c r="DN98" i="1" s="1"/>
  <c r="CA98" i="1"/>
  <c r="DO98" i="1" s="1"/>
  <c r="EE98" i="1" s="1"/>
  <c r="BT92" i="1"/>
  <c r="DH92" i="1" s="1"/>
  <c r="BW92" i="1"/>
  <c r="DK92" i="1" s="1"/>
  <c r="BY92" i="1"/>
  <c r="DM92" i="1" s="1"/>
  <c r="BU92" i="1"/>
  <c r="DI92" i="1" s="1"/>
  <c r="BV92" i="1"/>
  <c r="DJ92" i="1" s="1"/>
  <c r="BX92" i="1"/>
  <c r="DL92" i="1" s="1"/>
  <c r="BZ92" i="1"/>
  <c r="DN92" i="1" s="1"/>
  <c r="CA92" i="1"/>
  <c r="DO92" i="1" s="1"/>
  <c r="BT86" i="1"/>
  <c r="DH86" i="1" s="1"/>
  <c r="BU86" i="1"/>
  <c r="DI86" i="1" s="1"/>
  <c r="BW86" i="1"/>
  <c r="DK86" i="1" s="1"/>
  <c r="BY86" i="1"/>
  <c r="DM86" i="1" s="1"/>
  <c r="BX86" i="1"/>
  <c r="DL86" i="1" s="1"/>
  <c r="BZ86" i="1"/>
  <c r="DN86" i="1" s="1"/>
  <c r="CA86" i="1"/>
  <c r="DO86" i="1" s="1"/>
  <c r="EE86" i="1" s="1"/>
  <c r="BV86" i="1"/>
  <c r="DJ86" i="1" s="1"/>
  <c r="BT80" i="1"/>
  <c r="DH80" i="1" s="1"/>
  <c r="BU80" i="1"/>
  <c r="DI80" i="1" s="1"/>
  <c r="BW80" i="1"/>
  <c r="DK80" i="1" s="1"/>
  <c r="BY80" i="1"/>
  <c r="DM80" i="1" s="1"/>
  <c r="BZ80" i="1"/>
  <c r="DN80" i="1" s="1"/>
  <c r="CA80" i="1"/>
  <c r="DO80" i="1" s="1"/>
  <c r="BV80" i="1"/>
  <c r="DJ80" i="1" s="1"/>
  <c r="BX80" i="1"/>
  <c r="DL80" i="1" s="1"/>
  <c r="BT74" i="1"/>
  <c r="DH74" i="1" s="1"/>
  <c r="BU74" i="1"/>
  <c r="DI74" i="1" s="1"/>
  <c r="BW74" i="1"/>
  <c r="DK74" i="1" s="1"/>
  <c r="BY74" i="1"/>
  <c r="DM74" i="1" s="1"/>
  <c r="BZ74" i="1"/>
  <c r="DN74" i="1" s="1"/>
  <c r="BX74" i="1"/>
  <c r="DL74" i="1" s="1"/>
  <c r="BV74" i="1"/>
  <c r="DJ74" i="1" s="1"/>
  <c r="CA74" i="1"/>
  <c r="DO74" i="1" s="1"/>
  <c r="DW74" i="1" s="1"/>
  <c r="BT68" i="1"/>
  <c r="DH68" i="1" s="1"/>
  <c r="BU68" i="1"/>
  <c r="DI68" i="1" s="1"/>
  <c r="BW68" i="1"/>
  <c r="DK68" i="1" s="1"/>
  <c r="BY68" i="1"/>
  <c r="DM68" i="1" s="1"/>
  <c r="BZ68" i="1"/>
  <c r="DN68" i="1" s="1"/>
  <c r="BX68" i="1"/>
  <c r="DL68" i="1" s="1"/>
  <c r="BV68" i="1"/>
  <c r="DJ68" i="1" s="1"/>
  <c r="CA68" i="1"/>
  <c r="DO68" i="1" s="1"/>
  <c r="BT62" i="1"/>
  <c r="DH62" i="1" s="1"/>
  <c r="BU62" i="1"/>
  <c r="DI62" i="1" s="1"/>
  <c r="BW62" i="1"/>
  <c r="DK62" i="1" s="1"/>
  <c r="BY62" i="1"/>
  <c r="DM62" i="1" s="1"/>
  <c r="BZ62" i="1"/>
  <c r="DN62" i="1" s="1"/>
  <c r="BX62" i="1"/>
  <c r="DL62" i="1" s="1"/>
  <c r="CA62" i="1"/>
  <c r="DO62" i="1" s="1"/>
  <c r="DW62" i="1" s="1"/>
  <c r="BV62" i="1"/>
  <c r="DJ62" i="1" s="1"/>
  <c r="BT56" i="1"/>
  <c r="DH56" i="1" s="1"/>
  <c r="BU56" i="1"/>
  <c r="DI56" i="1" s="1"/>
  <c r="BW56" i="1"/>
  <c r="DK56" i="1" s="1"/>
  <c r="BY56" i="1"/>
  <c r="DM56" i="1" s="1"/>
  <c r="BZ56" i="1"/>
  <c r="DN56" i="1" s="1"/>
  <c r="CA56" i="1"/>
  <c r="DO56" i="1" s="1"/>
  <c r="BV56" i="1"/>
  <c r="DJ56" i="1" s="1"/>
  <c r="BX56" i="1"/>
  <c r="DL56" i="1" s="1"/>
  <c r="BT50" i="1"/>
  <c r="DH50" i="1" s="1"/>
  <c r="BU50" i="1"/>
  <c r="DI50" i="1" s="1"/>
  <c r="BW50" i="1"/>
  <c r="DK50" i="1" s="1"/>
  <c r="BY50" i="1"/>
  <c r="DM50" i="1" s="1"/>
  <c r="BZ50" i="1"/>
  <c r="DN50" i="1" s="1"/>
  <c r="BX50" i="1"/>
  <c r="DL50" i="1" s="1"/>
  <c r="CA50" i="1"/>
  <c r="DO50" i="1" s="1"/>
  <c r="DW50" i="1" s="1"/>
  <c r="BV50" i="1"/>
  <c r="DJ50" i="1" s="1"/>
  <c r="BT44" i="1"/>
  <c r="DH44" i="1" s="1"/>
  <c r="BU44" i="1"/>
  <c r="DI44" i="1" s="1"/>
  <c r="BW44" i="1"/>
  <c r="DK44" i="1" s="1"/>
  <c r="BY44" i="1"/>
  <c r="DM44" i="1" s="1"/>
  <c r="BZ44" i="1"/>
  <c r="DN44" i="1" s="1"/>
  <c r="BX44" i="1"/>
  <c r="DL44" i="1" s="1"/>
  <c r="BV44" i="1"/>
  <c r="DJ44" i="1" s="1"/>
  <c r="CA44" i="1"/>
  <c r="DO44" i="1" s="1"/>
  <c r="BT38" i="1"/>
  <c r="DH38" i="1" s="1"/>
  <c r="BU38" i="1"/>
  <c r="DI38" i="1" s="1"/>
  <c r="BW38" i="1"/>
  <c r="DK38" i="1" s="1"/>
  <c r="BY38" i="1"/>
  <c r="DM38" i="1" s="1"/>
  <c r="BZ38" i="1"/>
  <c r="DN38" i="1" s="1"/>
  <c r="CA38" i="1"/>
  <c r="DO38" i="1" s="1"/>
  <c r="DW38" i="1" s="1"/>
  <c r="BX38" i="1"/>
  <c r="DL38" i="1" s="1"/>
  <c r="BV38" i="1"/>
  <c r="DJ38" i="1" s="1"/>
  <c r="BT32" i="1"/>
  <c r="DH32" i="1" s="1"/>
  <c r="BU32" i="1"/>
  <c r="DI32" i="1" s="1"/>
  <c r="BW32" i="1"/>
  <c r="DK32" i="1" s="1"/>
  <c r="BY32" i="1"/>
  <c r="DM32" i="1" s="1"/>
  <c r="BZ32" i="1"/>
  <c r="DN32" i="1" s="1"/>
  <c r="BV32" i="1"/>
  <c r="DJ32" i="1" s="1"/>
  <c r="BX32" i="1"/>
  <c r="DL32" i="1" s="1"/>
  <c r="CA32" i="1"/>
  <c r="DO32" i="1" s="1"/>
  <c r="BT26" i="1"/>
  <c r="DH26" i="1" s="1"/>
  <c r="BU26" i="1"/>
  <c r="DI26" i="1" s="1"/>
  <c r="BV26" i="1"/>
  <c r="DJ26" i="1" s="1"/>
  <c r="BY26" i="1"/>
  <c r="DM26" i="1" s="1"/>
  <c r="BZ26" i="1"/>
  <c r="DN26" i="1" s="1"/>
  <c r="CA26" i="1"/>
  <c r="DO26" i="1" s="1"/>
  <c r="DW26" i="1" s="1"/>
  <c r="BW26" i="1"/>
  <c r="DK26" i="1" s="1"/>
  <c r="BX26" i="1"/>
  <c r="DL26" i="1" s="1"/>
  <c r="BT20" i="1"/>
  <c r="DH20" i="1" s="1"/>
  <c r="BU20" i="1"/>
  <c r="DI20" i="1" s="1"/>
  <c r="BV20" i="1"/>
  <c r="DJ20" i="1" s="1"/>
  <c r="BX20" i="1"/>
  <c r="DL20" i="1" s="1"/>
  <c r="BZ20" i="1"/>
  <c r="DN20" i="1" s="1"/>
  <c r="CA20" i="1"/>
  <c r="DO20" i="1" s="1"/>
  <c r="BW20" i="1"/>
  <c r="DK20" i="1" s="1"/>
  <c r="BY20" i="1"/>
  <c r="DM20" i="1" s="1"/>
  <c r="BT14" i="1"/>
  <c r="DH14" i="1" s="1"/>
  <c r="BU14" i="1"/>
  <c r="DI14" i="1" s="1"/>
  <c r="BV14" i="1"/>
  <c r="DJ14" i="1" s="1"/>
  <c r="BW14" i="1"/>
  <c r="DK14" i="1" s="1"/>
  <c r="BX14" i="1"/>
  <c r="DL14" i="1" s="1"/>
  <c r="BY14" i="1"/>
  <c r="DM14" i="1" s="1"/>
  <c r="BZ14" i="1"/>
  <c r="DN14" i="1" s="1"/>
  <c r="CA14" i="1"/>
  <c r="DO14" i="1" s="1"/>
  <c r="BT8" i="1"/>
  <c r="DH8" i="1" s="1"/>
  <c r="BU8" i="1"/>
  <c r="DI8" i="1" s="1"/>
  <c r="BV8" i="1"/>
  <c r="DJ8" i="1" s="1"/>
  <c r="BY8" i="1"/>
  <c r="DM8" i="1" s="1"/>
  <c r="BZ8" i="1"/>
  <c r="DN8" i="1" s="1"/>
  <c r="CA8" i="1"/>
  <c r="DO8" i="1" s="1"/>
  <c r="BW8" i="1"/>
  <c r="DK8" i="1" s="1"/>
  <c r="BX8" i="1"/>
  <c r="DL8" i="1" s="1"/>
  <c r="BU2" i="1"/>
  <c r="BV2" i="1"/>
  <c r="BY2" i="1"/>
  <c r="BW2" i="1"/>
  <c r="BX2" i="1"/>
  <c r="BZ2" i="1"/>
  <c r="CA2" i="1"/>
  <c r="BT77" i="1"/>
  <c r="DH77" i="1" s="1"/>
  <c r="BU77" i="1"/>
  <c r="DI77" i="1" s="1"/>
  <c r="BW77" i="1"/>
  <c r="DK77" i="1" s="1"/>
  <c r="BY77" i="1"/>
  <c r="DM77" i="1" s="1"/>
  <c r="BZ77" i="1"/>
  <c r="DN77" i="1" s="1"/>
  <c r="CA77" i="1"/>
  <c r="DO77" i="1" s="1"/>
  <c r="BX77" i="1"/>
  <c r="DL77" i="1" s="1"/>
  <c r="BV77" i="1"/>
  <c r="DJ77" i="1" s="1"/>
  <c r="BT35" i="1"/>
  <c r="DH35" i="1" s="1"/>
  <c r="BU35" i="1"/>
  <c r="DI35" i="1" s="1"/>
  <c r="BW35" i="1"/>
  <c r="DK35" i="1" s="1"/>
  <c r="BY35" i="1"/>
  <c r="DM35" i="1" s="1"/>
  <c r="BZ35" i="1"/>
  <c r="DN35" i="1" s="1"/>
  <c r="CA35" i="1"/>
  <c r="DO35" i="1" s="1"/>
  <c r="BV35" i="1"/>
  <c r="DJ35" i="1" s="1"/>
  <c r="BX35" i="1"/>
  <c r="DL35" i="1" s="1"/>
  <c r="BT5" i="1"/>
  <c r="DH5" i="1" s="1"/>
  <c r="BU5" i="1"/>
  <c r="DI5" i="1" s="1"/>
  <c r="BV5" i="1"/>
  <c r="DJ5" i="1" s="1"/>
  <c r="BY5" i="1"/>
  <c r="DM5" i="1" s="1"/>
  <c r="BZ5" i="1"/>
  <c r="DN5" i="1" s="1"/>
  <c r="CA5" i="1"/>
  <c r="DO5" i="1" s="1"/>
  <c r="BW5" i="1"/>
  <c r="DK5" i="1" s="1"/>
  <c r="BX5" i="1"/>
  <c r="DL5" i="1" s="1"/>
  <c r="BX76" i="1"/>
  <c r="DL76" i="1" s="1"/>
  <c r="BY76" i="1"/>
  <c r="DM76" i="1" s="1"/>
  <c r="BZ76" i="1"/>
  <c r="DN76" i="1" s="1"/>
  <c r="CA76" i="1"/>
  <c r="DO76" i="1" s="1"/>
  <c r="BU76" i="1"/>
  <c r="DI76" i="1" s="1"/>
  <c r="BV76" i="1"/>
  <c r="DJ76" i="1" s="1"/>
  <c r="BT76" i="1"/>
  <c r="DH76" i="1" s="1"/>
  <c r="BW76" i="1"/>
  <c r="DK76" i="1" s="1"/>
  <c r="DS76" i="1" s="1"/>
  <c r="BY16" i="1"/>
  <c r="DM16" i="1" s="1"/>
  <c r="CA16" i="1"/>
  <c r="DO16" i="1" s="1"/>
  <c r="BV16" i="1"/>
  <c r="DJ16" i="1" s="1"/>
  <c r="BW16" i="1"/>
  <c r="DK16" i="1" s="1"/>
  <c r="EA16" i="1" s="1"/>
  <c r="BX16" i="1"/>
  <c r="DL16" i="1" s="1"/>
  <c r="BZ16" i="1"/>
  <c r="DN16" i="1" s="1"/>
  <c r="BT16" i="1"/>
  <c r="DH16" i="1" s="1"/>
  <c r="BU16" i="1"/>
  <c r="DI16" i="1" s="1"/>
  <c r="BT71" i="1"/>
  <c r="DH71" i="1" s="1"/>
  <c r="BU71" i="1"/>
  <c r="DI71" i="1" s="1"/>
  <c r="BW71" i="1"/>
  <c r="DK71" i="1" s="1"/>
  <c r="BY71" i="1"/>
  <c r="DM71" i="1" s="1"/>
  <c r="BZ71" i="1"/>
  <c r="DN71" i="1" s="1"/>
  <c r="CA71" i="1"/>
  <c r="DO71" i="1" s="1"/>
  <c r="BV71" i="1"/>
  <c r="DJ71" i="1" s="1"/>
  <c r="BX71" i="1"/>
  <c r="DL71" i="1" s="1"/>
  <c r="BT53" i="1"/>
  <c r="DH53" i="1" s="1"/>
  <c r="BU53" i="1"/>
  <c r="DI53" i="1" s="1"/>
  <c r="BW53" i="1"/>
  <c r="DK53" i="1" s="1"/>
  <c r="BY53" i="1"/>
  <c r="DM53" i="1" s="1"/>
  <c r="BZ53" i="1"/>
  <c r="DN53" i="1" s="1"/>
  <c r="CA53" i="1"/>
  <c r="DO53" i="1" s="1"/>
  <c r="BX53" i="1"/>
  <c r="DL53" i="1" s="1"/>
  <c r="BV53" i="1"/>
  <c r="DJ53" i="1" s="1"/>
  <c r="BT23" i="1"/>
  <c r="DH23" i="1" s="1"/>
  <c r="BU23" i="1"/>
  <c r="DI23" i="1" s="1"/>
  <c r="BV23" i="1"/>
  <c r="DJ23" i="1" s="1"/>
  <c r="CA23" i="1"/>
  <c r="DO23" i="1" s="1"/>
  <c r="BX23" i="1"/>
  <c r="DL23" i="1" s="1"/>
  <c r="BY23" i="1"/>
  <c r="DM23" i="1" s="1"/>
  <c r="BW23" i="1"/>
  <c r="DK23" i="1" s="1"/>
  <c r="BZ23" i="1"/>
  <c r="DN23" i="1" s="1"/>
  <c r="BX82" i="1"/>
  <c r="DL82" i="1" s="1"/>
  <c r="BY82" i="1"/>
  <c r="DM82" i="1" s="1"/>
  <c r="BZ82" i="1"/>
  <c r="DN82" i="1" s="1"/>
  <c r="CA82" i="1"/>
  <c r="DO82" i="1" s="1"/>
  <c r="BU82" i="1"/>
  <c r="DI82" i="1" s="1"/>
  <c r="BV82" i="1"/>
  <c r="DJ82" i="1" s="1"/>
  <c r="BT82" i="1"/>
  <c r="DH82" i="1" s="1"/>
  <c r="BW82" i="1"/>
  <c r="DK82" i="1" s="1"/>
  <c r="BX52" i="1"/>
  <c r="DL52" i="1" s="1"/>
  <c r="BY52" i="1"/>
  <c r="DM52" i="1" s="1"/>
  <c r="BZ52" i="1"/>
  <c r="DN52" i="1" s="1"/>
  <c r="CA52" i="1"/>
  <c r="DO52" i="1" s="1"/>
  <c r="BU52" i="1"/>
  <c r="DI52" i="1" s="1"/>
  <c r="BV52" i="1"/>
  <c r="DJ52" i="1" s="1"/>
  <c r="BT52" i="1"/>
  <c r="DH52" i="1" s="1"/>
  <c r="BW52" i="1"/>
  <c r="DK52" i="1" s="1"/>
  <c r="DS52" i="1" s="1"/>
  <c r="BX40" i="1"/>
  <c r="DL40" i="1" s="1"/>
  <c r="BY40" i="1"/>
  <c r="DM40" i="1" s="1"/>
  <c r="BZ40" i="1"/>
  <c r="DN40" i="1" s="1"/>
  <c r="CA40" i="1"/>
  <c r="DO40" i="1" s="1"/>
  <c r="BU40" i="1"/>
  <c r="DI40" i="1" s="1"/>
  <c r="BV40" i="1"/>
  <c r="DJ40" i="1" s="1"/>
  <c r="BT40" i="1"/>
  <c r="DH40" i="1" s="1"/>
  <c r="BW40" i="1"/>
  <c r="DK40" i="1" s="1"/>
  <c r="DS40" i="1" s="1"/>
  <c r="BY22" i="1"/>
  <c r="DM22" i="1" s="1"/>
  <c r="CA22" i="1"/>
  <c r="DO22" i="1" s="1"/>
  <c r="BT22" i="1"/>
  <c r="DH22" i="1" s="1"/>
  <c r="BU22" i="1"/>
  <c r="DI22" i="1" s="1"/>
  <c r="BV22" i="1"/>
  <c r="DJ22" i="1" s="1"/>
  <c r="BW22" i="1"/>
  <c r="DK22" i="1" s="1"/>
  <c r="BZ22" i="1"/>
  <c r="DN22" i="1" s="1"/>
  <c r="BX22" i="1"/>
  <c r="DL22" i="1" s="1"/>
  <c r="BU97" i="1"/>
  <c r="DI97" i="1" s="1"/>
  <c r="CA97" i="1"/>
  <c r="DO97" i="1" s="1"/>
  <c r="BV97" i="1"/>
  <c r="DJ97" i="1" s="1"/>
  <c r="BW97" i="1"/>
  <c r="DK97" i="1" s="1"/>
  <c r="DS97" i="1" s="1"/>
  <c r="BX97" i="1"/>
  <c r="DL97" i="1" s="1"/>
  <c r="BY97" i="1"/>
  <c r="DM97" i="1" s="1"/>
  <c r="BZ97" i="1"/>
  <c r="DN97" i="1" s="1"/>
  <c r="BT97" i="1"/>
  <c r="DH97" i="1" s="1"/>
  <c r="BX91" i="1"/>
  <c r="DL91" i="1" s="1"/>
  <c r="BY91" i="1"/>
  <c r="DM91" i="1" s="1"/>
  <c r="BZ91" i="1"/>
  <c r="DN91" i="1" s="1"/>
  <c r="CA91" i="1"/>
  <c r="DO91" i="1" s="1"/>
  <c r="BU91" i="1"/>
  <c r="DI91" i="1" s="1"/>
  <c r="BT91" i="1"/>
  <c r="DH91" i="1" s="1"/>
  <c r="BV91" i="1"/>
  <c r="DJ91" i="1" s="1"/>
  <c r="BW91" i="1"/>
  <c r="DK91" i="1" s="1"/>
  <c r="BX85" i="1"/>
  <c r="DL85" i="1" s="1"/>
  <c r="BY85" i="1"/>
  <c r="DM85" i="1" s="1"/>
  <c r="BZ85" i="1"/>
  <c r="DN85" i="1" s="1"/>
  <c r="CA85" i="1"/>
  <c r="DO85" i="1" s="1"/>
  <c r="BU85" i="1"/>
  <c r="DI85" i="1" s="1"/>
  <c r="BT85" i="1"/>
  <c r="DH85" i="1" s="1"/>
  <c r="BW85" i="1"/>
  <c r="DK85" i="1" s="1"/>
  <c r="EA85" i="1" s="1"/>
  <c r="BV85" i="1"/>
  <c r="DJ85" i="1" s="1"/>
  <c r="BX79" i="1"/>
  <c r="DL79" i="1" s="1"/>
  <c r="BY79" i="1"/>
  <c r="DM79" i="1" s="1"/>
  <c r="BZ79" i="1"/>
  <c r="DN79" i="1" s="1"/>
  <c r="CA79" i="1"/>
  <c r="DO79" i="1" s="1"/>
  <c r="BU79" i="1"/>
  <c r="DI79" i="1" s="1"/>
  <c r="BV79" i="1"/>
  <c r="DJ79" i="1" s="1"/>
  <c r="BT79" i="1"/>
  <c r="DH79" i="1" s="1"/>
  <c r="BW79" i="1"/>
  <c r="DK79" i="1" s="1"/>
  <c r="BX73" i="1"/>
  <c r="DL73" i="1" s="1"/>
  <c r="BY73" i="1"/>
  <c r="DM73" i="1" s="1"/>
  <c r="BZ73" i="1"/>
  <c r="DN73" i="1" s="1"/>
  <c r="CA73" i="1"/>
  <c r="DO73" i="1" s="1"/>
  <c r="BU73" i="1"/>
  <c r="DI73" i="1" s="1"/>
  <c r="BV73" i="1"/>
  <c r="DJ73" i="1" s="1"/>
  <c r="DR73" i="1" s="1"/>
  <c r="BT73" i="1"/>
  <c r="DH73" i="1" s="1"/>
  <c r="BW73" i="1"/>
  <c r="DK73" i="1" s="1"/>
  <c r="DS73" i="1" s="1"/>
  <c r="BX67" i="1"/>
  <c r="DL67" i="1" s="1"/>
  <c r="BY67" i="1"/>
  <c r="DM67" i="1" s="1"/>
  <c r="BZ67" i="1"/>
  <c r="DN67" i="1" s="1"/>
  <c r="CA67" i="1"/>
  <c r="DO67" i="1" s="1"/>
  <c r="BU67" i="1"/>
  <c r="DI67" i="1" s="1"/>
  <c r="BV67" i="1"/>
  <c r="DJ67" i="1" s="1"/>
  <c r="BT67" i="1"/>
  <c r="DH67" i="1" s="1"/>
  <c r="BW67" i="1"/>
  <c r="DK67" i="1" s="1"/>
  <c r="BX61" i="1"/>
  <c r="DL61" i="1" s="1"/>
  <c r="BY61" i="1"/>
  <c r="DM61" i="1" s="1"/>
  <c r="BZ61" i="1"/>
  <c r="DN61" i="1" s="1"/>
  <c r="CA61" i="1"/>
  <c r="DO61" i="1" s="1"/>
  <c r="BU61" i="1"/>
  <c r="DI61" i="1" s="1"/>
  <c r="BV61" i="1"/>
  <c r="DJ61" i="1" s="1"/>
  <c r="BT61" i="1"/>
  <c r="DH61" i="1" s="1"/>
  <c r="BW61" i="1"/>
  <c r="DK61" i="1" s="1"/>
  <c r="DS61" i="1" s="1"/>
  <c r="BX55" i="1"/>
  <c r="DL55" i="1" s="1"/>
  <c r="BY55" i="1"/>
  <c r="DM55" i="1" s="1"/>
  <c r="BZ55" i="1"/>
  <c r="DN55" i="1" s="1"/>
  <c r="CA55" i="1"/>
  <c r="DO55" i="1" s="1"/>
  <c r="BU55" i="1"/>
  <c r="DI55" i="1" s="1"/>
  <c r="BV55" i="1"/>
  <c r="DJ55" i="1" s="1"/>
  <c r="DR55" i="1" s="1"/>
  <c r="BT55" i="1"/>
  <c r="DH55" i="1" s="1"/>
  <c r="BW55" i="1"/>
  <c r="DK55" i="1" s="1"/>
  <c r="DS55" i="1" s="1"/>
  <c r="BX49" i="1"/>
  <c r="DL49" i="1" s="1"/>
  <c r="BY49" i="1"/>
  <c r="DM49" i="1" s="1"/>
  <c r="BZ49" i="1"/>
  <c r="DN49" i="1" s="1"/>
  <c r="CA49" i="1"/>
  <c r="DO49" i="1" s="1"/>
  <c r="BU49" i="1"/>
  <c r="DI49" i="1" s="1"/>
  <c r="BV49" i="1"/>
  <c r="DJ49" i="1" s="1"/>
  <c r="BT49" i="1"/>
  <c r="DH49" i="1" s="1"/>
  <c r="BW49" i="1"/>
  <c r="DK49" i="1" s="1"/>
  <c r="BX43" i="1"/>
  <c r="DL43" i="1" s="1"/>
  <c r="BY43" i="1"/>
  <c r="DM43" i="1" s="1"/>
  <c r="BZ43" i="1"/>
  <c r="DN43" i="1" s="1"/>
  <c r="CA43" i="1"/>
  <c r="DO43" i="1" s="1"/>
  <c r="BU43" i="1"/>
  <c r="DI43" i="1" s="1"/>
  <c r="BV43" i="1"/>
  <c r="DJ43" i="1" s="1"/>
  <c r="BT43" i="1"/>
  <c r="DH43" i="1" s="1"/>
  <c r="BW43" i="1"/>
  <c r="DK43" i="1" s="1"/>
  <c r="BX37" i="1"/>
  <c r="DL37" i="1" s="1"/>
  <c r="BY37" i="1"/>
  <c r="DM37" i="1" s="1"/>
  <c r="BZ37" i="1"/>
  <c r="DN37" i="1" s="1"/>
  <c r="CA37" i="1"/>
  <c r="DO37" i="1" s="1"/>
  <c r="BU37" i="1"/>
  <c r="DI37" i="1" s="1"/>
  <c r="BV37" i="1"/>
  <c r="DJ37" i="1" s="1"/>
  <c r="DR37" i="1" s="1"/>
  <c r="BT37" i="1"/>
  <c r="DH37" i="1" s="1"/>
  <c r="BW37" i="1"/>
  <c r="DK37" i="1" s="1"/>
  <c r="EA37" i="1" s="1"/>
  <c r="BX31" i="1"/>
  <c r="DL31" i="1" s="1"/>
  <c r="BY31" i="1"/>
  <c r="DM31" i="1" s="1"/>
  <c r="BZ31" i="1"/>
  <c r="DN31" i="1" s="1"/>
  <c r="CA31" i="1"/>
  <c r="DO31" i="1" s="1"/>
  <c r="BU31" i="1"/>
  <c r="DI31" i="1" s="1"/>
  <c r="BV31" i="1"/>
  <c r="DJ31" i="1" s="1"/>
  <c r="BT31" i="1"/>
  <c r="DH31" i="1" s="1"/>
  <c r="BW31" i="1"/>
  <c r="DK31" i="1" s="1"/>
  <c r="BY25" i="1"/>
  <c r="DM25" i="1" s="1"/>
  <c r="CA25" i="1"/>
  <c r="DO25" i="1" s="1"/>
  <c r="BT25" i="1"/>
  <c r="DH25" i="1" s="1"/>
  <c r="BU25" i="1"/>
  <c r="DI25" i="1" s="1"/>
  <c r="BW25" i="1"/>
  <c r="DK25" i="1" s="1"/>
  <c r="EA25" i="1" s="1"/>
  <c r="BZ25" i="1"/>
  <c r="DN25" i="1" s="1"/>
  <c r="BV25" i="1"/>
  <c r="DJ25" i="1" s="1"/>
  <c r="BX25" i="1"/>
  <c r="DL25" i="1" s="1"/>
  <c r="BY19" i="1"/>
  <c r="DM19" i="1" s="1"/>
  <c r="CA19" i="1"/>
  <c r="DO19" i="1" s="1"/>
  <c r="BT19" i="1"/>
  <c r="DH19" i="1" s="1"/>
  <c r="BU19" i="1"/>
  <c r="DI19" i="1" s="1"/>
  <c r="BV19" i="1"/>
  <c r="DJ19" i="1" s="1"/>
  <c r="BW19" i="1"/>
  <c r="DK19" i="1" s="1"/>
  <c r="BX19" i="1"/>
  <c r="DL19" i="1" s="1"/>
  <c r="BZ19" i="1"/>
  <c r="DN19" i="1" s="1"/>
  <c r="BY13" i="1"/>
  <c r="DM13" i="1" s="1"/>
  <c r="CA13" i="1"/>
  <c r="DO13" i="1" s="1"/>
  <c r="BX13" i="1"/>
  <c r="DL13" i="1" s="1"/>
  <c r="BZ13" i="1"/>
  <c r="DN13" i="1" s="1"/>
  <c r="BU13" i="1"/>
  <c r="DI13" i="1" s="1"/>
  <c r="BV13" i="1"/>
  <c r="DJ13" i="1" s="1"/>
  <c r="BW13" i="1"/>
  <c r="DK13" i="1" s="1"/>
  <c r="BT13" i="1"/>
  <c r="DH13" i="1" s="1"/>
  <c r="BY7" i="1"/>
  <c r="DM7" i="1" s="1"/>
  <c r="BZ7" i="1"/>
  <c r="DN7" i="1" s="1"/>
  <c r="CA7" i="1"/>
  <c r="DO7" i="1" s="1"/>
  <c r="BT7" i="1"/>
  <c r="DH7" i="1" s="1"/>
  <c r="BV7" i="1"/>
  <c r="DJ7" i="1" s="1"/>
  <c r="BX7" i="1"/>
  <c r="DL7" i="1" s="1"/>
  <c r="BU7" i="1"/>
  <c r="DI7" i="1" s="1"/>
  <c r="BW7" i="1"/>
  <c r="DK7" i="1" s="1"/>
  <c r="BT2" i="1"/>
  <c r="DX75" i="1"/>
  <c r="O12" i="7" l="1"/>
  <c r="R12" i="7"/>
  <c r="F12" i="7"/>
  <c r="K12" i="7"/>
  <c r="M12" i="7"/>
  <c r="N12" i="7"/>
  <c r="L12" i="7"/>
  <c r="P12" i="7"/>
  <c r="Q12" i="7"/>
  <c r="H5" i="7"/>
  <c r="I5" i="7"/>
  <c r="J5" i="7"/>
  <c r="C5" i="7"/>
  <c r="F5" i="7"/>
  <c r="D5" i="7"/>
  <c r="E5" i="7"/>
  <c r="G5" i="7"/>
  <c r="H7" i="7"/>
  <c r="I7" i="7"/>
  <c r="J7" i="7"/>
  <c r="C7" i="7"/>
  <c r="D7" i="7"/>
  <c r="E7" i="7"/>
  <c r="F7" i="7"/>
  <c r="G7" i="7"/>
  <c r="AX19" i="1"/>
  <c r="AZ19" i="1"/>
  <c r="AX91" i="1"/>
  <c r="AZ91" i="1"/>
  <c r="AX50" i="1"/>
  <c r="AZ50" i="1"/>
  <c r="AX3" i="1"/>
  <c r="AZ3" i="1"/>
  <c r="AX75" i="1"/>
  <c r="AZ75" i="1"/>
  <c r="AX28" i="1"/>
  <c r="AZ28" i="1"/>
  <c r="AZ100" i="1"/>
  <c r="AX100" i="1"/>
  <c r="AX53" i="1"/>
  <c r="AZ53" i="1"/>
  <c r="AX25" i="1"/>
  <c r="AZ25" i="1"/>
  <c r="AZ97" i="1"/>
  <c r="AX97" i="1"/>
  <c r="AZ56" i="1"/>
  <c r="AX56" i="1"/>
  <c r="AX9" i="1"/>
  <c r="AZ9" i="1"/>
  <c r="AX81" i="1"/>
  <c r="AZ81" i="1"/>
  <c r="AX34" i="1"/>
  <c r="AZ34" i="1"/>
  <c r="AX24" i="1"/>
  <c r="AZ24" i="1"/>
  <c r="AX59" i="1"/>
  <c r="AZ59" i="1"/>
  <c r="AX13" i="1"/>
  <c r="AZ13" i="1"/>
  <c r="AX47" i="1"/>
  <c r="AZ47" i="1"/>
  <c r="AX31" i="1"/>
  <c r="AZ31" i="1"/>
  <c r="AX54" i="1"/>
  <c r="AZ54" i="1"/>
  <c r="AX62" i="1"/>
  <c r="AZ62" i="1"/>
  <c r="AX15" i="1"/>
  <c r="AZ15" i="1"/>
  <c r="AX87" i="1"/>
  <c r="AZ87" i="1"/>
  <c r="AX40" i="1"/>
  <c r="AZ40" i="1"/>
  <c r="AX78" i="1"/>
  <c r="AZ78" i="1"/>
  <c r="AX65" i="1"/>
  <c r="AZ65" i="1"/>
  <c r="AX37" i="1"/>
  <c r="AZ37" i="1"/>
  <c r="AX60" i="1"/>
  <c r="AZ60" i="1"/>
  <c r="AZ68" i="1"/>
  <c r="AX68" i="1"/>
  <c r="AX21" i="1"/>
  <c r="AZ21" i="1"/>
  <c r="AX93" i="1"/>
  <c r="AZ93" i="1"/>
  <c r="AX46" i="1"/>
  <c r="AZ46" i="1"/>
  <c r="AX18" i="1"/>
  <c r="AZ18" i="1"/>
  <c r="AX71" i="1"/>
  <c r="AZ71" i="1"/>
  <c r="AZ94" i="1"/>
  <c r="AX94" i="1"/>
  <c r="AX43" i="1"/>
  <c r="AZ43" i="1"/>
  <c r="AZ2" i="1"/>
  <c r="AX2" i="1"/>
  <c r="AX74" i="1"/>
  <c r="AZ74" i="1"/>
  <c r="AX27" i="1"/>
  <c r="AZ27" i="1"/>
  <c r="AX99" i="1"/>
  <c r="AZ99" i="1"/>
  <c r="AX52" i="1"/>
  <c r="AZ52" i="1"/>
  <c r="AZ5" i="1"/>
  <c r="AX5" i="1"/>
  <c r="AX77" i="1"/>
  <c r="AZ77" i="1"/>
  <c r="AX49" i="1"/>
  <c r="AZ49" i="1"/>
  <c r="AX8" i="1"/>
  <c r="AZ8" i="1"/>
  <c r="AX80" i="1"/>
  <c r="AZ80" i="1"/>
  <c r="AX33" i="1"/>
  <c r="AZ33" i="1"/>
  <c r="AX66" i="1"/>
  <c r="AZ66" i="1"/>
  <c r="AX58" i="1"/>
  <c r="AZ58" i="1"/>
  <c r="AX11" i="1"/>
  <c r="AZ11" i="1"/>
  <c r="AZ83" i="1"/>
  <c r="AX83" i="1"/>
  <c r="AX96" i="1"/>
  <c r="AZ96" i="1"/>
  <c r="AX55" i="1"/>
  <c r="AZ55" i="1"/>
  <c r="AZ14" i="1"/>
  <c r="AX14" i="1"/>
  <c r="AZ86" i="1"/>
  <c r="AX86" i="1"/>
  <c r="AX39" i="1"/>
  <c r="AZ39" i="1"/>
  <c r="AX30" i="1"/>
  <c r="AZ30" i="1"/>
  <c r="AX64" i="1"/>
  <c r="AZ64" i="1"/>
  <c r="AX17" i="1"/>
  <c r="AZ17" i="1"/>
  <c r="AX89" i="1"/>
  <c r="AZ89" i="1"/>
  <c r="AX61" i="1"/>
  <c r="AZ61" i="1"/>
  <c r="AZ20" i="1"/>
  <c r="AX20" i="1"/>
  <c r="AX92" i="1"/>
  <c r="AZ92" i="1"/>
  <c r="AX45" i="1"/>
  <c r="AZ45" i="1"/>
  <c r="AX90" i="1"/>
  <c r="AZ90" i="1"/>
  <c r="AX70" i="1"/>
  <c r="AZ70" i="1"/>
  <c r="AZ23" i="1"/>
  <c r="AX23" i="1"/>
  <c r="AZ95" i="1"/>
  <c r="AX95" i="1"/>
  <c r="AX85" i="1"/>
  <c r="AZ85" i="1"/>
  <c r="AZ44" i="1"/>
  <c r="AX44" i="1"/>
  <c r="AX6" i="1"/>
  <c r="AZ6" i="1"/>
  <c r="AX67" i="1"/>
  <c r="AZ67" i="1"/>
  <c r="AX26" i="1"/>
  <c r="AZ26" i="1"/>
  <c r="AX98" i="1"/>
  <c r="AZ98" i="1"/>
  <c r="AX51" i="1"/>
  <c r="AZ51" i="1"/>
  <c r="AX4" i="1"/>
  <c r="AZ4" i="1"/>
  <c r="AZ76" i="1"/>
  <c r="AX76" i="1"/>
  <c r="AX29" i="1"/>
  <c r="AZ29" i="1"/>
  <c r="AX42" i="1"/>
  <c r="AZ42" i="1"/>
  <c r="AX69" i="1"/>
  <c r="AZ69" i="1"/>
  <c r="AX84" i="1"/>
  <c r="AZ84" i="1"/>
  <c r="AX73" i="1"/>
  <c r="AZ73" i="1"/>
  <c r="AZ32" i="1"/>
  <c r="AX32" i="1"/>
  <c r="AX48" i="1"/>
  <c r="AZ48" i="1"/>
  <c r="AX57" i="1"/>
  <c r="AZ57" i="1"/>
  <c r="AX10" i="1"/>
  <c r="AZ10" i="1"/>
  <c r="AX82" i="1"/>
  <c r="AZ82" i="1"/>
  <c r="AX35" i="1"/>
  <c r="AZ35" i="1"/>
  <c r="AX12" i="1"/>
  <c r="AZ12" i="1"/>
  <c r="AX22" i="1"/>
  <c r="AZ22" i="1"/>
  <c r="AX7" i="1"/>
  <c r="AZ7" i="1"/>
  <c r="AZ79" i="1"/>
  <c r="AX79" i="1"/>
  <c r="AX38" i="1"/>
  <c r="AZ38" i="1"/>
  <c r="AX36" i="1"/>
  <c r="AZ36" i="1"/>
  <c r="AX63" i="1"/>
  <c r="AZ63" i="1"/>
  <c r="AX16" i="1"/>
  <c r="AZ16" i="1"/>
  <c r="AX88" i="1"/>
  <c r="AZ88" i="1"/>
  <c r="AX41" i="1"/>
  <c r="AZ41" i="1"/>
  <c r="AX72" i="1"/>
  <c r="AZ72" i="1"/>
  <c r="AG62" i="1"/>
  <c r="Z62" i="1"/>
  <c r="AA62" i="1"/>
  <c r="AB62" i="1"/>
  <c r="AC62" i="1"/>
  <c r="AD62" i="1"/>
  <c r="AE62" i="1"/>
  <c r="AF62" i="1"/>
  <c r="Z33" i="1"/>
  <c r="AA33" i="1"/>
  <c r="AB33" i="1"/>
  <c r="AC33" i="1"/>
  <c r="AD33" i="1"/>
  <c r="AE33" i="1"/>
  <c r="AF33" i="1"/>
  <c r="AG33" i="1"/>
  <c r="Z6" i="1"/>
  <c r="AA6" i="1"/>
  <c r="AB6" i="1"/>
  <c r="AC6" i="1"/>
  <c r="AD6" i="1"/>
  <c r="AE6" i="1"/>
  <c r="AF6" i="1"/>
  <c r="AG6" i="1"/>
  <c r="AG14" i="1"/>
  <c r="Z14" i="1"/>
  <c r="AA14" i="1"/>
  <c r="AB14" i="1"/>
  <c r="AC14" i="1"/>
  <c r="AD14" i="1"/>
  <c r="AE14" i="1"/>
  <c r="AF14" i="1"/>
  <c r="AG56" i="1"/>
  <c r="Z56" i="1"/>
  <c r="AA56" i="1"/>
  <c r="AB56" i="1"/>
  <c r="AC56" i="1"/>
  <c r="AD56" i="1"/>
  <c r="AF56" i="1"/>
  <c r="AE56" i="1"/>
  <c r="Z27" i="1"/>
  <c r="AA27" i="1"/>
  <c r="AB27" i="1"/>
  <c r="AC27" i="1"/>
  <c r="AD27" i="1"/>
  <c r="AE27" i="1"/>
  <c r="AF27" i="1"/>
  <c r="AG27" i="1"/>
  <c r="Z75" i="1"/>
  <c r="AA75" i="1"/>
  <c r="AB75" i="1"/>
  <c r="AC75" i="1"/>
  <c r="AD75" i="1"/>
  <c r="AF75" i="1"/>
  <c r="AG75" i="1"/>
  <c r="AE75" i="1"/>
  <c r="AC4" i="1"/>
  <c r="AD4" i="1"/>
  <c r="AE4" i="1"/>
  <c r="AF4" i="1"/>
  <c r="AG4" i="1"/>
  <c r="Z4" i="1"/>
  <c r="AA4" i="1"/>
  <c r="AB4" i="1"/>
  <c r="AC52" i="1"/>
  <c r="AD52" i="1"/>
  <c r="AE52" i="1"/>
  <c r="AF52" i="1"/>
  <c r="AG52" i="1"/>
  <c r="Z52" i="1"/>
  <c r="AA52" i="1"/>
  <c r="AB52" i="1"/>
  <c r="AD100" i="1"/>
  <c r="AE100" i="1"/>
  <c r="AF100" i="1"/>
  <c r="AG100" i="1"/>
  <c r="Z100" i="1"/>
  <c r="AA100" i="1"/>
  <c r="AB100" i="1"/>
  <c r="AC100" i="1"/>
  <c r="AG29" i="1"/>
  <c r="Z29" i="1"/>
  <c r="AA29" i="1"/>
  <c r="AB29" i="1"/>
  <c r="AC29" i="1"/>
  <c r="AD29" i="1"/>
  <c r="AF29" i="1"/>
  <c r="AE29" i="1"/>
  <c r="Z77" i="1"/>
  <c r="AB77" i="1"/>
  <c r="AC77" i="1"/>
  <c r="AA77" i="1"/>
  <c r="AD77" i="1"/>
  <c r="AE77" i="1"/>
  <c r="AF77" i="1"/>
  <c r="AG77" i="1"/>
  <c r="AC37" i="1"/>
  <c r="AD37" i="1"/>
  <c r="AE37" i="1"/>
  <c r="AF37" i="1"/>
  <c r="AG37" i="1"/>
  <c r="Z37" i="1"/>
  <c r="AA37" i="1"/>
  <c r="AB37" i="1"/>
  <c r="AC58" i="1"/>
  <c r="AD58" i="1"/>
  <c r="AE58" i="1"/>
  <c r="AF58" i="1"/>
  <c r="AG58" i="1"/>
  <c r="Z58" i="1"/>
  <c r="AA58" i="1"/>
  <c r="AB58" i="1"/>
  <c r="Z84" i="1"/>
  <c r="AA84" i="1"/>
  <c r="AB84" i="1"/>
  <c r="AC84" i="1"/>
  <c r="AD84" i="1"/>
  <c r="AF84" i="1"/>
  <c r="AG84" i="1"/>
  <c r="AE84" i="1"/>
  <c r="Z81" i="1"/>
  <c r="AA81" i="1"/>
  <c r="AB81" i="1"/>
  <c r="AC81" i="1"/>
  <c r="AD81" i="1"/>
  <c r="AF81" i="1"/>
  <c r="AG81" i="1"/>
  <c r="AE81" i="1"/>
  <c r="H2" i="7"/>
  <c r="AC49" i="1"/>
  <c r="AD49" i="1"/>
  <c r="AE49" i="1"/>
  <c r="AF49" i="1"/>
  <c r="AG49" i="1"/>
  <c r="Z49" i="1"/>
  <c r="AA49" i="1"/>
  <c r="AB49" i="1"/>
  <c r="AD91" i="1"/>
  <c r="AE91" i="1"/>
  <c r="AF91" i="1"/>
  <c r="AG91" i="1"/>
  <c r="AA91" i="1"/>
  <c r="AB91" i="1"/>
  <c r="AC91" i="1"/>
  <c r="Z91" i="1"/>
  <c r="AG26" i="1"/>
  <c r="Z26" i="1"/>
  <c r="AA26" i="1"/>
  <c r="AB26" i="1"/>
  <c r="AC26" i="1"/>
  <c r="AD26" i="1"/>
  <c r="AE26" i="1"/>
  <c r="AF26" i="1"/>
  <c r="Z68" i="1"/>
  <c r="AB68" i="1"/>
  <c r="AC68" i="1"/>
  <c r="AA68" i="1"/>
  <c r="AD68" i="1"/>
  <c r="AE68" i="1"/>
  <c r="AF68" i="1"/>
  <c r="AG68" i="1"/>
  <c r="Z39" i="1"/>
  <c r="AA39" i="1"/>
  <c r="AB39" i="1"/>
  <c r="AC39" i="1"/>
  <c r="AD39" i="1"/>
  <c r="AE39" i="1"/>
  <c r="AF39" i="1"/>
  <c r="AG39" i="1"/>
  <c r="Z87" i="1"/>
  <c r="AA87" i="1"/>
  <c r="AB87" i="1"/>
  <c r="AC87" i="1"/>
  <c r="AD87" i="1"/>
  <c r="AF87" i="1"/>
  <c r="AG87" i="1"/>
  <c r="AE87" i="1"/>
  <c r="AC16" i="1"/>
  <c r="AD16" i="1"/>
  <c r="AE16" i="1"/>
  <c r="AF16" i="1"/>
  <c r="AG16" i="1"/>
  <c r="Z16" i="1"/>
  <c r="AA16" i="1"/>
  <c r="AB16" i="1"/>
  <c r="AC64" i="1"/>
  <c r="AD64" i="1"/>
  <c r="AE64" i="1"/>
  <c r="AF64" i="1"/>
  <c r="AG64" i="1"/>
  <c r="Z64" i="1"/>
  <c r="AA64" i="1"/>
  <c r="AB64" i="1"/>
  <c r="Z78" i="1"/>
  <c r="AA78" i="1"/>
  <c r="AB78" i="1"/>
  <c r="AC78" i="1"/>
  <c r="AD78" i="1"/>
  <c r="AF78" i="1"/>
  <c r="AG78" i="1"/>
  <c r="AE78" i="1"/>
  <c r="AG41" i="1"/>
  <c r="Z41" i="1"/>
  <c r="AA41" i="1"/>
  <c r="AB41" i="1"/>
  <c r="AC41" i="1"/>
  <c r="AD41" i="1"/>
  <c r="AE41" i="1"/>
  <c r="AF41" i="1"/>
  <c r="Z89" i="1"/>
  <c r="AB89" i="1"/>
  <c r="AC89" i="1"/>
  <c r="AA89" i="1"/>
  <c r="AD89" i="1"/>
  <c r="AE89" i="1"/>
  <c r="AF89" i="1"/>
  <c r="AG89" i="1"/>
  <c r="C2" i="7"/>
  <c r="AG20" i="1"/>
  <c r="Z20" i="1"/>
  <c r="AA20" i="1"/>
  <c r="AB20" i="1"/>
  <c r="AC20" i="1"/>
  <c r="AD20" i="1"/>
  <c r="AF20" i="1"/>
  <c r="AE20" i="1"/>
  <c r="Z24" i="1"/>
  <c r="AA24" i="1"/>
  <c r="AB24" i="1"/>
  <c r="AC24" i="1"/>
  <c r="AD24" i="1"/>
  <c r="AE24" i="1"/>
  <c r="AF24" i="1"/>
  <c r="AG24" i="1"/>
  <c r="I2" i="7"/>
  <c r="AC7" i="1"/>
  <c r="AD7" i="1"/>
  <c r="AE7" i="1"/>
  <c r="AF7" i="1"/>
  <c r="AG7" i="1"/>
  <c r="Z7" i="1"/>
  <c r="AA7" i="1"/>
  <c r="AB7" i="1"/>
  <c r="Z74" i="1"/>
  <c r="AB74" i="1"/>
  <c r="AC74" i="1"/>
  <c r="AA74" i="1"/>
  <c r="AD74" i="1"/>
  <c r="AE74" i="1"/>
  <c r="AF74" i="1"/>
  <c r="AG74" i="1"/>
  <c r="Z96" i="1"/>
  <c r="AA96" i="1"/>
  <c r="AB96" i="1"/>
  <c r="AC96" i="1"/>
  <c r="AD96" i="1"/>
  <c r="AF96" i="1"/>
  <c r="AG96" i="1"/>
  <c r="AE96" i="1"/>
  <c r="AC22" i="1"/>
  <c r="AD22" i="1"/>
  <c r="AE22" i="1"/>
  <c r="AF22" i="1"/>
  <c r="AG22" i="1"/>
  <c r="Z22" i="1"/>
  <c r="AA22" i="1"/>
  <c r="AB22" i="1"/>
  <c r="AG47" i="1"/>
  <c r="Z47" i="1"/>
  <c r="AA47" i="1"/>
  <c r="AB47" i="1"/>
  <c r="AC47" i="1"/>
  <c r="AD47" i="1"/>
  <c r="AF47" i="1"/>
  <c r="AE47" i="1"/>
  <c r="E2" i="7"/>
  <c r="Z48" i="1"/>
  <c r="AA48" i="1"/>
  <c r="AB48" i="1"/>
  <c r="AC48" i="1"/>
  <c r="AD48" i="1"/>
  <c r="AE48" i="1"/>
  <c r="AF48" i="1"/>
  <c r="AG48" i="1"/>
  <c r="AC43" i="1"/>
  <c r="AD43" i="1"/>
  <c r="AE43" i="1"/>
  <c r="AF43" i="1"/>
  <c r="AG43" i="1"/>
  <c r="Z43" i="1"/>
  <c r="AA43" i="1"/>
  <c r="AB43" i="1"/>
  <c r="AC10" i="1"/>
  <c r="AD10" i="1"/>
  <c r="AE10" i="1"/>
  <c r="AF10" i="1"/>
  <c r="AG10" i="1"/>
  <c r="Z10" i="1"/>
  <c r="AA10" i="1"/>
  <c r="AB10" i="1"/>
  <c r="D2" i="7"/>
  <c r="AC55" i="1"/>
  <c r="AD55" i="1"/>
  <c r="AE55" i="1"/>
  <c r="AF55" i="1"/>
  <c r="AG55" i="1"/>
  <c r="Z55" i="1"/>
  <c r="AA55" i="1"/>
  <c r="AB55" i="1"/>
  <c r="AD97" i="1"/>
  <c r="AE97" i="1"/>
  <c r="AF97" i="1"/>
  <c r="AG97" i="1"/>
  <c r="Z97" i="1"/>
  <c r="AA97" i="1"/>
  <c r="AB97" i="1"/>
  <c r="AC97" i="1"/>
  <c r="AG32" i="1"/>
  <c r="Z32" i="1"/>
  <c r="AA32" i="1"/>
  <c r="AB32" i="1"/>
  <c r="AC32" i="1"/>
  <c r="AD32" i="1"/>
  <c r="AE32" i="1"/>
  <c r="AF32" i="1"/>
  <c r="Z45" i="1"/>
  <c r="AA45" i="1"/>
  <c r="AB45" i="1"/>
  <c r="AC45" i="1"/>
  <c r="AD45" i="1"/>
  <c r="AE45" i="1"/>
  <c r="AF45" i="1"/>
  <c r="AG45" i="1"/>
  <c r="Z93" i="1"/>
  <c r="AA93" i="1"/>
  <c r="AB93" i="1"/>
  <c r="AC93" i="1"/>
  <c r="AD93" i="1"/>
  <c r="AF93" i="1"/>
  <c r="AG93" i="1"/>
  <c r="AE93" i="1"/>
  <c r="AD70" i="1"/>
  <c r="AE70" i="1"/>
  <c r="AF70" i="1"/>
  <c r="AG70" i="1"/>
  <c r="Z70" i="1"/>
  <c r="AA70" i="1"/>
  <c r="AB70" i="1"/>
  <c r="AC70" i="1"/>
  <c r="Z18" i="1"/>
  <c r="AA18" i="1"/>
  <c r="AB18" i="1"/>
  <c r="AC18" i="1"/>
  <c r="AD18" i="1"/>
  <c r="AE18" i="1"/>
  <c r="AF18" i="1"/>
  <c r="AG18" i="1"/>
  <c r="Z95" i="1"/>
  <c r="AB95" i="1"/>
  <c r="AC95" i="1"/>
  <c r="AA95" i="1"/>
  <c r="AD95" i="1"/>
  <c r="AE95" i="1"/>
  <c r="AF95" i="1"/>
  <c r="AG95" i="1"/>
  <c r="AD85" i="1"/>
  <c r="AE85" i="1"/>
  <c r="AF85" i="1"/>
  <c r="AG85" i="1"/>
  <c r="Z85" i="1"/>
  <c r="AA85" i="1"/>
  <c r="AB85" i="1"/>
  <c r="AC85" i="1"/>
  <c r="Z83" i="1"/>
  <c r="AB83" i="1"/>
  <c r="AC83" i="1"/>
  <c r="AF83" i="1"/>
  <c r="AG83" i="1"/>
  <c r="AA83" i="1"/>
  <c r="AE83" i="1"/>
  <c r="AD83" i="1"/>
  <c r="AG35" i="1"/>
  <c r="Z35" i="1"/>
  <c r="AA35" i="1"/>
  <c r="AB35" i="1"/>
  <c r="AC35" i="1"/>
  <c r="AD35" i="1"/>
  <c r="AE35" i="1"/>
  <c r="AF35" i="1"/>
  <c r="J2" i="7"/>
  <c r="AC13" i="1"/>
  <c r="AD13" i="1"/>
  <c r="AE13" i="1"/>
  <c r="AF13" i="1"/>
  <c r="AG13" i="1"/>
  <c r="Z13" i="1"/>
  <c r="AA13" i="1"/>
  <c r="AB13" i="1"/>
  <c r="Z54" i="1"/>
  <c r="AA54" i="1"/>
  <c r="AB54" i="1"/>
  <c r="AC54" i="1"/>
  <c r="AD54" i="1"/>
  <c r="AE54" i="1"/>
  <c r="AF54" i="1"/>
  <c r="AG54" i="1"/>
  <c r="AG38" i="1"/>
  <c r="Z38" i="1"/>
  <c r="AA38" i="1"/>
  <c r="AB38" i="1"/>
  <c r="AC38" i="1"/>
  <c r="AD38" i="1"/>
  <c r="AF38" i="1"/>
  <c r="AE38" i="1"/>
  <c r="Z80" i="1"/>
  <c r="AB80" i="1"/>
  <c r="AC80" i="1"/>
  <c r="AD80" i="1"/>
  <c r="AE80" i="1"/>
  <c r="AF80" i="1"/>
  <c r="AG80" i="1"/>
  <c r="AA80" i="1"/>
  <c r="Z3" i="1"/>
  <c r="AA3" i="1"/>
  <c r="AB3" i="1"/>
  <c r="AC3" i="1"/>
  <c r="AD3" i="1"/>
  <c r="AE3" i="1"/>
  <c r="AF3" i="1"/>
  <c r="AG3" i="1"/>
  <c r="Z51" i="1"/>
  <c r="AA51" i="1"/>
  <c r="AB51" i="1"/>
  <c r="AC51" i="1"/>
  <c r="AD51" i="1"/>
  <c r="AE51" i="1"/>
  <c r="AF51" i="1"/>
  <c r="AG51" i="1"/>
  <c r="Z99" i="1"/>
  <c r="AA99" i="1"/>
  <c r="AB99" i="1"/>
  <c r="AC99" i="1"/>
  <c r="AD99" i="1"/>
  <c r="AF99" i="1"/>
  <c r="AG99" i="1"/>
  <c r="AE99" i="1"/>
  <c r="AC28" i="1"/>
  <c r="AD28" i="1"/>
  <c r="AE28" i="1"/>
  <c r="AF28" i="1"/>
  <c r="AG28" i="1"/>
  <c r="Z28" i="1"/>
  <c r="AA28" i="1"/>
  <c r="AB28" i="1"/>
  <c r="AD76" i="1"/>
  <c r="AE76" i="1"/>
  <c r="AF76" i="1"/>
  <c r="AG76" i="1"/>
  <c r="AC76" i="1"/>
  <c r="Z76" i="1"/>
  <c r="AB76" i="1"/>
  <c r="AA76" i="1"/>
  <c r="AG5" i="1"/>
  <c r="Z5" i="1"/>
  <c r="AA5" i="1"/>
  <c r="AB5" i="1"/>
  <c r="AC5" i="1"/>
  <c r="AD5" i="1"/>
  <c r="AE5" i="1"/>
  <c r="AF5" i="1"/>
  <c r="AG53" i="1"/>
  <c r="Z53" i="1"/>
  <c r="AA53" i="1"/>
  <c r="AB53" i="1"/>
  <c r="AC53" i="1"/>
  <c r="AD53" i="1"/>
  <c r="AE53" i="1"/>
  <c r="AF53" i="1"/>
  <c r="Z42" i="1"/>
  <c r="AA42" i="1"/>
  <c r="AB42" i="1"/>
  <c r="AC42" i="1"/>
  <c r="AD42" i="1"/>
  <c r="AE42" i="1"/>
  <c r="AF42" i="1"/>
  <c r="AG42" i="1"/>
  <c r="G2" i="7"/>
  <c r="AC61" i="1"/>
  <c r="AD61" i="1"/>
  <c r="AE61" i="1"/>
  <c r="AF61" i="1"/>
  <c r="AG61" i="1"/>
  <c r="Z61" i="1"/>
  <c r="AA61" i="1"/>
  <c r="AB61" i="1"/>
  <c r="Z66" i="1"/>
  <c r="AA66" i="1"/>
  <c r="AB66" i="1"/>
  <c r="AC66" i="1"/>
  <c r="AD66" i="1"/>
  <c r="AF66" i="1"/>
  <c r="AG66" i="1"/>
  <c r="AE66" i="1"/>
  <c r="AG11" i="1"/>
  <c r="Z11" i="1"/>
  <c r="AA11" i="1"/>
  <c r="AB11" i="1"/>
  <c r="AC11" i="1"/>
  <c r="AD11" i="1"/>
  <c r="AF11" i="1"/>
  <c r="AE11" i="1"/>
  <c r="Z36" i="1"/>
  <c r="AA36" i="1"/>
  <c r="AB36" i="1"/>
  <c r="AC36" i="1"/>
  <c r="AD36" i="1"/>
  <c r="AE36" i="1"/>
  <c r="AF36" i="1"/>
  <c r="AG36" i="1"/>
  <c r="AC19" i="1"/>
  <c r="AD19" i="1"/>
  <c r="AE19" i="1"/>
  <c r="AF19" i="1"/>
  <c r="AG19" i="1"/>
  <c r="Z19" i="1"/>
  <c r="AA19" i="1"/>
  <c r="AB19" i="1"/>
  <c r="AD67" i="1"/>
  <c r="AE67" i="1"/>
  <c r="AF67" i="1"/>
  <c r="AG67" i="1"/>
  <c r="Z67" i="1"/>
  <c r="AA67" i="1"/>
  <c r="AB67" i="1"/>
  <c r="AC67" i="1"/>
  <c r="Z60" i="1"/>
  <c r="AA60" i="1"/>
  <c r="AB60" i="1"/>
  <c r="AC60" i="1"/>
  <c r="AD60" i="1"/>
  <c r="AE60" i="1"/>
  <c r="AF60" i="1"/>
  <c r="AG60" i="1"/>
  <c r="AG44" i="1"/>
  <c r="Z44" i="1"/>
  <c r="AA44" i="1"/>
  <c r="AB44" i="1"/>
  <c r="AC44" i="1"/>
  <c r="AD44" i="1"/>
  <c r="AE44" i="1"/>
  <c r="AF44" i="1"/>
  <c r="Z86" i="1"/>
  <c r="AB86" i="1"/>
  <c r="AC86" i="1"/>
  <c r="AA86" i="1"/>
  <c r="AD86" i="1"/>
  <c r="AE86" i="1"/>
  <c r="AF86" i="1"/>
  <c r="AG86" i="1"/>
  <c r="Z9" i="1"/>
  <c r="AA9" i="1"/>
  <c r="AB9" i="1"/>
  <c r="AC9" i="1"/>
  <c r="AD9" i="1"/>
  <c r="AE9" i="1"/>
  <c r="AF9" i="1"/>
  <c r="AG9" i="1"/>
  <c r="Z57" i="1"/>
  <c r="AA57" i="1"/>
  <c r="AB57" i="1"/>
  <c r="AC57" i="1"/>
  <c r="AD57" i="1"/>
  <c r="AE57" i="1"/>
  <c r="AF57" i="1"/>
  <c r="AG57" i="1"/>
  <c r="AC34" i="1"/>
  <c r="AD34" i="1"/>
  <c r="AE34" i="1"/>
  <c r="AF34" i="1"/>
  <c r="AG34" i="1"/>
  <c r="Z34" i="1"/>
  <c r="AA34" i="1"/>
  <c r="AB34" i="1"/>
  <c r="AD82" i="1"/>
  <c r="AE82" i="1"/>
  <c r="AF82" i="1"/>
  <c r="AG82" i="1"/>
  <c r="Z82" i="1"/>
  <c r="AA82" i="1"/>
  <c r="AB82" i="1"/>
  <c r="AC82" i="1"/>
  <c r="AG59" i="1"/>
  <c r="Z59" i="1"/>
  <c r="AA59" i="1"/>
  <c r="AB59" i="1"/>
  <c r="AC59" i="1"/>
  <c r="AD59" i="1"/>
  <c r="AE59" i="1"/>
  <c r="AF59" i="1"/>
  <c r="Z12" i="1"/>
  <c r="AA12" i="1"/>
  <c r="AB12" i="1"/>
  <c r="AC12" i="1"/>
  <c r="AD12" i="1"/>
  <c r="AE12" i="1"/>
  <c r="AF12" i="1"/>
  <c r="AG12" i="1"/>
  <c r="AA2" i="1"/>
  <c r="AC2" i="1"/>
  <c r="AD2" i="1"/>
  <c r="AG2" i="1"/>
  <c r="Z2" i="1"/>
  <c r="AH2" i="1" s="1"/>
  <c r="AB2" i="1"/>
  <c r="AE2" i="1"/>
  <c r="AF2" i="1"/>
  <c r="Z15" i="1"/>
  <c r="AA15" i="1"/>
  <c r="AB15" i="1"/>
  <c r="AC15" i="1"/>
  <c r="AD15" i="1"/>
  <c r="AE15" i="1"/>
  <c r="AF15" i="1"/>
  <c r="AG15" i="1"/>
  <c r="Z63" i="1"/>
  <c r="AA63" i="1"/>
  <c r="AB63" i="1"/>
  <c r="AC63" i="1"/>
  <c r="AD63" i="1"/>
  <c r="AE63" i="1"/>
  <c r="AF63" i="1"/>
  <c r="AG63" i="1"/>
  <c r="Z30" i="1"/>
  <c r="AA30" i="1"/>
  <c r="AB30" i="1"/>
  <c r="AC30" i="1"/>
  <c r="AD30" i="1"/>
  <c r="AE30" i="1"/>
  <c r="AF30" i="1"/>
  <c r="AG30" i="1"/>
  <c r="AC40" i="1"/>
  <c r="AD40" i="1"/>
  <c r="AE40" i="1"/>
  <c r="AF40" i="1"/>
  <c r="AG40" i="1"/>
  <c r="Z40" i="1"/>
  <c r="AA40" i="1"/>
  <c r="AB40" i="1"/>
  <c r="AD88" i="1"/>
  <c r="AE88" i="1"/>
  <c r="AF88" i="1"/>
  <c r="AG88" i="1"/>
  <c r="Z88" i="1"/>
  <c r="AA88" i="1"/>
  <c r="AB88" i="1"/>
  <c r="AC88" i="1"/>
  <c r="AG17" i="1"/>
  <c r="Z17" i="1"/>
  <c r="AA17" i="1"/>
  <c r="AB17" i="1"/>
  <c r="AC17" i="1"/>
  <c r="AD17" i="1"/>
  <c r="AE17" i="1"/>
  <c r="AF17" i="1"/>
  <c r="AG65" i="1"/>
  <c r="Z65" i="1"/>
  <c r="AA65" i="1"/>
  <c r="AB65" i="1"/>
  <c r="AC65" i="1"/>
  <c r="AE65" i="1"/>
  <c r="AF65" i="1"/>
  <c r="AD65" i="1"/>
  <c r="Z72" i="1"/>
  <c r="AA72" i="1"/>
  <c r="AB72" i="1"/>
  <c r="AC72" i="1"/>
  <c r="AD72" i="1"/>
  <c r="AF72" i="1"/>
  <c r="AG72" i="1"/>
  <c r="AE72" i="1"/>
  <c r="AC25" i="1"/>
  <c r="AD25" i="1"/>
  <c r="AE25" i="1"/>
  <c r="AF25" i="1"/>
  <c r="AG25" i="1"/>
  <c r="Z25" i="1"/>
  <c r="AA25" i="1"/>
  <c r="AB25" i="1"/>
  <c r="AD73" i="1"/>
  <c r="AE73" i="1"/>
  <c r="AF73" i="1"/>
  <c r="AG73" i="1"/>
  <c r="AA73" i="1"/>
  <c r="AB73" i="1"/>
  <c r="AC73" i="1"/>
  <c r="Z73" i="1"/>
  <c r="AG8" i="1"/>
  <c r="Z8" i="1"/>
  <c r="AA8" i="1"/>
  <c r="AB8" i="1"/>
  <c r="AC8" i="1"/>
  <c r="AD8" i="1"/>
  <c r="AE8" i="1"/>
  <c r="AF8" i="1"/>
  <c r="AG50" i="1"/>
  <c r="Z50" i="1"/>
  <c r="AA50" i="1"/>
  <c r="AB50" i="1"/>
  <c r="AC50" i="1"/>
  <c r="AD50" i="1"/>
  <c r="AE50" i="1"/>
  <c r="AF50" i="1"/>
  <c r="Z92" i="1"/>
  <c r="AB92" i="1"/>
  <c r="AC92" i="1"/>
  <c r="AA92" i="1"/>
  <c r="AD92" i="1"/>
  <c r="AE92" i="1"/>
  <c r="AF92" i="1"/>
  <c r="AG92" i="1"/>
  <c r="Z69" i="1"/>
  <c r="AA69" i="1"/>
  <c r="AB69" i="1"/>
  <c r="AC69" i="1"/>
  <c r="AD69" i="1"/>
  <c r="AF69" i="1"/>
  <c r="AG69" i="1"/>
  <c r="AE69" i="1"/>
  <c r="AD94" i="1"/>
  <c r="AE94" i="1"/>
  <c r="AF94" i="1"/>
  <c r="AG94" i="1"/>
  <c r="AC94" i="1"/>
  <c r="Z94" i="1"/>
  <c r="AA94" i="1"/>
  <c r="AB94" i="1"/>
  <c r="AC31" i="1"/>
  <c r="AD31" i="1"/>
  <c r="AE31" i="1"/>
  <c r="AF31" i="1"/>
  <c r="AG31" i="1"/>
  <c r="Z31" i="1"/>
  <c r="AA31" i="1"/>
  <c r="AB31" i="1"/>
  <c r="AD79" i="1"/>
  <c r="AE79" i="1"/>
  <c r="AF79" i="1"/>
  <c r="AG79" i="1"/>
  <c r="Z79" i="1"/>
  <c r="AA79" i="1"/>
  <c r="AB79" i="1"/>
  <c r="AC79" i="1"/>
  <c r="Z98" i="1"/>
  <c r="AB98" i="1"/>
  <c r="AC98" i="1"/>
  <c r="AD98" i="1"/>
  <c r="AE98" i="1"/>
  <c r="AF98" i="1"/>
  <c r="AG98" i="1"/>
  <c r="AA98" i="1"/>
  <c r="Z21" i="1"/>
  <c r="AA21" i="1"/>
  <c r="AB21" i="1"/>
  <c r="AC21" i="1"/>
  <c r="AD21" i="1"/>
  <c r="AE21" i="1"/>
  <c r="AF21" i="1"/>
  <c r="AG21" i="1"/>
  <c r="Z90" i="1"/>
  <c r="AA90" i="1"/>
  <c r="AB90" i="1"/>
  <c r="AC90" i="1"/>
  <c r="AD90" i="1"/>
  <c r="AF90" i="1"/>
  <c r="AG90" i="1"/>
  <c r="AE90" i="1"/>
  <c r="AC46" i="1"/>
  <c r="AD46" i="1"/>
  <c r="AE46" i="1"/>
  <c r="AF46" i="1"/>
  <c r="AG46" i="1"/>
  <c r="Z46" i="1"/>
  <c r="AA46" i="1"/>
  <c r="AB46" i="1"/>
  <c r="AG23" i="1"/>
  <c r="Z23" i="1"/>
  <c r="AA23" i="1"/>
  <c r="AB23" i="1"/>
  <c r="AC23" i="1"/>
  <c r="AD23" i="1"/>
  <c r="AE23" i="1"/>
  <c r="AF23" i="1"/>
  <c r="Z71" i="1"/>
  <c r="AB71" i="1"/>
  <c r="AC71" i="1"/>
  <c r="AA71" i="1"/>
  <c r="AD71" i="1"/>
  <c r="AE71" i="1"/>
  <c r="AF71" i="1"/>
  <c r="AG71" i="1"/>
  <c r="EG83" i="1"/>
  <c r="EI83" i="1"/>
  <c r="EK83" i="1"/>
  <c r="EM83" i="1"/>
  <c r="EF83" i="1"/>
  <c r="EJ83" i="1"/>
  <c r="EH83" i="1"/>
  <c r="EL83" i="1"/>
  <c r="EH8" i="1"/>
  <c r="EI8" i="1"/>
  <c r="EK8" i="1"/>
  <c r="EM8" i="1"/>
  <c r="EF8" i="1"/>
  <c r="EJ8" i="1"/>
  <c r="EG8" i="1"/>
  <c r="EL8" i="1"/>
  <c r="EG47" i="1"/>
  <c r="EI47" i="1"/>
  <c r="EK47" i="1"/>
  <c r="EM47" i="1"/>
  <c r="EJ47" i="1"/>
  <c r="EF47" i="1"/>
  <c r="EH47" i="1"/>
  <c r="EL47" i="1"/>
  <c r="EG19" i="1"/>
  <c r="EI19" i="1"/>
  <c r="EM19" i="1"/>
  <c r="EL19" i="1"/>
  <c r="EF19" i="1"/>
  <c r="EH19" i="1"/>
  <c r="EK19" i="1"/>
  <c r="EJ19" i="1"/>
  <c r="EG55" i="1"/>
  <c r="EI55" i="1"/>
  <c r="EL55" i="1"/>
  <c r="EM55" i="1"/>
  <c r="EK55" i="1"/>
  <c r="EF55" i="1"/>
  <c r="EJ55" i="1"/>
  <c r="EH55" i="1"/>
  <c r="EG91" i="1"/>
  <c r="EH91" i="1"/>
  <c r="EI91" i="1"/>
  <c r="EJ91" i="1"/>
  <c r="EL91" i="1"/>
  <c r="EK91" i="1"/>
  <c r="EM91" i="1"/>
  <c r="EF91" i="1"/>
  <c r="EH14" i="1"/>
  <c r="EI14" i="1"/>
  <c r="EK14" i="1"/>
  <c r="EM14" i="1"/>
  <c r="EL14" i="1"/>
  <c r="EF14" i="1"/>
  <c r="EG14" i="1"/>
  <c r="EJ14" i="1"/>
  <c r="EG50" i="1"/>
  <c r="EI50" i="1"/>
  <c r="EK50" i="1"/>
  <c r="EM50" i="1"/>
  <c r="EF50" i="1"/>
  <c r="EH50" i="1"/>
  <c r="EJ50" i="1"/>
  <c r="EL50" i="1"/>
  <c r="EG86" i="1"/>
  <c r="EI86" i="1"/>
  <c r="EK86" i="1"/>
  <c r="EM86" i="1"/>
  <c r="EF86" i="1"/>
  <c r="EH86" i="1"/>
  <c r="EJ86" i="1"/>
  <c r="EL86" i="1"/>
  <c r="EL3" i="1"/>
  <c r="EM3" i="1"/>
  <c r="EI3" i="1"/>
  <c r="EF3" i="1"/>
  <c r="EH3" i="1"/>
  <c r="EG3" i="1"/>
  <c r="EJ3" i="1"/>
  <c r="EK3" i="1"/>
  <c r="EK39" i="1"/>
  <c r="EM39" i="1"/>
  <c r="EL39" i="1"/>
  <c r="EF39" i="1"/>
  <c r="EG39" i="1"/>
  <c r="EH39" i="1"/>
  <c r="EI39" i="1"/>
  <c r="EJ39" i="1"/>
  <c r="EK75" i="1"/>
  <c r="EM75" i="1"/>
  <c r="EL75" i="1"/>
  <c r="EF75" i="1"/>
  <c r="EG75" i="1"/>
  <c r="EJ75" i="1"/>
  <c r="EH75" i="1"/>
  <c r="EI75" i="1"/>
  <c r="EL30" i="1"/>
  <c r="EM30" i="1"/>
  <c r="EI30" i="1"/>
  <c r="EH30" i="1"/>
  <c r="EK30" i="1"/>
  <c r="EF30" i="1"/>
  <c r="EG30" i="1"/>
  <c r="EJ30" i="1"/>
  <c r="EG28" i="1"/>
  <c r="EI28" i="1"/>
  <c r="EM28" i="1"/>
  <c r="EH28" i="1"/>
  <c r="EK28" i="1"/>
  <c r="EJ28" i="1"/>
  <c r="EL28" i="1"/>
  <c r="EF28" i="1"/>
  <c r="EG64" i="1"/>
  <c r="EI64" i="1"/>
  <c r="EL64" i="1"/>
  <c r="EM64" i="1"/>
  <c r="EJ64" i="1"/>
  <c r="EF64" i="1"/>
  <c r="EH64" i="1"/>
  <c r="EK64" i="1"/>
  <c r="EH100" i="1"/>
  <c r="EL100" i="1"/>
  <c r="EI100" i="1"/>
  <c r="EJ100" i="1"/>
  <c r="EK100" i="1"/>
  <c r="EM100" i="1"/>
  <c r="EG100" i="1"/>
  <c r="EF100" i="1"/>
  <c r="EH17" i="1"/>
  <c r="EI17" i="1"/>
  <c r="EK17" i="1"/>
  <c r="EM17" i="1"/>
  <c r="EG17" i="1"/>
  <c r="EJ17" i="1"/>
  <c r="EL17" i="1"/>
  <c r="EF17" i="1"/>
  <c r="EG53" i="1"/>
  <c r="EI53" i="1"/>
  <c r="EK53" i="1"/>
  <c r="EM53" i="1"/>
  <c r="EJ53" i="1"/>
  <c r="EL53" i="1"/>
  <c r="EF53" i="1"/>
  <c r="EH53" i="1"/>
  <c r="EG89" i="1"/>
  <c r="EI89" i="1"/>
  <c r="EK89" i="1"/>
  <c r="EM89" i="1"/>
  <c r="EJ89" i="1"/>
  <c r="EL89" i="1"/>
  <c r="EH89" i="1"/>
  <c r="EF89" i="1"/>
  <c r="EG80" i="1"/>
  <c r="EI80" i="1"/>
  <c r="EK80" i="1"/>
  <c r="EM80" i="1"/>
  <c r="EJ80" i="1"/>
  <c r="EL80" i="1"/>
  <c r="EF80" i="1"/>
  <c r="EH80" i="1"/>
  <c r="EG13" i="1"/>
  <c r="EI13" i="1"/>
  <c r="EM13" i="1"/>
  <c r="EH13" i="1"/>
  <c r="EK13" i="1"/>
  <c r="EF13" i="1"/>
  <c r="EJ13" i="1"/>
  <c r="EL13" i="1"/>
  <c r="EG58" i="1"/>
  <c r="EI58" i="1"/>
  <c r="EF58" i="1"/>
  <c r="EH58" i="1"/>
  <c r="EJ58" i="1"/>
  <c r="EK58" i="1"/>
  <c r="EL58" i="1"/>
  <c r="EM58" i="1"/>
  <c r="EG25" i="1"/>
  <c r="EI25" i="1"/>
  <c r="EM25" i="1"/>
  <c r="EH25" i="1"/>
  <c r="EK25" i="1"/>
  <c r="EL25" i="1"/>
  <c r="EF25" i="1"/>
  <c r="EJ25" i="1"/>
  <c r="EG61" i="1"/>
  <c r="EI61" i="1"/>
  <c r="EF61" i="1"/>
  <c r="EH61" i="1"/>
  <c r="EJ61" i="1"/>
  <c r="EK61" i="1"/>
  <c r="EL61" i="1"/>
  <c r="EM61" i="1"/>
  <c r="EH97" i="1"/>
  <c r="EI97" i="1"/>
  <c r="EG97" i="1"/>
  <c r="EJ97" i="1"/>
  <c r="EL97" i="1"/>
  <c r="EK97" i="1"/>
  <c r="EM97" i="1"/>
  <c r="EF97" i="1"/>
  <c r="EH20" i="1"/>
  <c r="EI20" i="1"/>
  <c r="EK20" i="1"/>
  <c r="EM20" i="1"/>
  <c r="EF20" i="1"/>
  <c r="EJ20" i="1"/>
  <c r="EG20" i="1"/>
  <c r="EL20" i="1"/>
  <c r="EG56" i="1"/>
  <c r="EI56" i="1"/>
  <c r="EK56" i="1"/>
  <c r="EM56" i="1"/>
  <c r="EJ56" i="1"/>
  <c r="EF56" i="1"/>
  <c r="EH56" i="1"/>
  <c r="EL56" i="1"/>
  <c r="EL92" i="1"/>
  <c r="EK92" i="1"/>
  <c r="EM92" i="1"/>
  <c r="EF92" i="1"/>
  <c r="EJ92" i="1"/>
  <c r="EG92" i="1"/>
  <c r="EH92" i="1"/>
  <c r="EI92" i="1"/>
  <c r="EL9" i="1"/>
  <c r="EM9" i="1"/>
  <c r="EI9" i="1"/>
  <c r="EJ9" i="1"/>
  <c r="EK9" i="1"/>
  <c r="EF9" i="1"/>
  <c r="EG9" i="1"/>
  <c r="EH9" i="1"/>
  <c r="EK45" i="1"/>
  <c r="EM45" i="1"/>
  <c r="EF45" i="1"/>
  <c r="EG45" i="1"/>
  <c r="EH45" i="1"/>
  <c r="EI45" i="1"/>
  <c r="EJ45" i="1"/>
  <c r="EL45" i="1"/>
  <c r="EK81" i="1"/>
  <c r="EM81" i="1"/>
  <c r="EH81" i="1"/>
  <c r="EF81" i="1"/>
  <c r="EG81" i="1"/>
  <c r="EI81" i="1"/>
  <c r="EJ81" i="1"/>
  <c r="EL81" i="1"/>
  <c r="EH90" i="1"/>
  <c r="EF90" i="1"/>
  <c r="EG90" i="1"/>
  <c r="EI90" i="1"/>
  <c r="EJ90" i="1"/>
  <c r="EK90" i="1"/>
  <c r="EL90" i="1"/>
  <c r="EM90" i="1"/>
  <c r="EI34" i="1"/>
  <c r="EM34" i="1"/>
  <c r="EG34" i="1"/>
  <c r="EF34" i="1"/>
  <c r="EH34" i="1"/>
  <c r="EJ34" i="1"/>
  <c r="EK34" i="1"/>
  <c r="EL34" i="1"/>
  <c r="EG70" i="1"/>
  <c r="EI70" i="1"/>
  <c r="EF70" i="1"/>
  <c r="EH70" i="1"/>
  <c r="EJ70" i="1"/>
  <c r="EK70" i="1"/>
  <c r="EL70" i="1"/>
  <c r="EM70" i="1"/>
  <c r="EL24" i="1"/>
  <c r="EM24" i="1"/>
  <c r="EI24" i="1"/>
  <c r="EF24" i="1"/>
  <c r="EH24" i="1"/>
  <c r="EJ24" i="1"/>
  <c r="EK24" i="1"/>
  <c r="EG24" i="1"/>
  <c r="EH23" i="1"/>
  <c r="EI23" i="1"/>
  <c r="EK23" i="1"/>
  <c r="EM23" i="1"/>
  <c r="EF23" i="1"/>
  <c r="EJ23" i="1"/>
  <c r="EG23" i="1"/>
  <c r="EL23" i="1"/>
  <c r="EG59" i="1"/>
  <c r="EI59" i="1"/>
  <c r="EK59" i="1"/>
  <c r="EM59" i="1"/>
  <c r="EF59" i="1"/>
  <c r="EH59" i="1"/>
  <c r="EJ59" i="1"/>
  <c r="EL59" i="1"/>
  <c r="EL95" i="1"/>
  <c r="EM95" i="1"/>
  <c r="EJ95" i="1"/>
  <c r="EF95" i="1"/>
  <c r="EG95" i="1"/>
  <c r="EK95" i="1"/>
  <c r="EH95" i="1"/>
  <c r="EI95" i="1"/>
  <c r="EK66" i="1"/>
  <c r="EM66" i="1"/>
  <c r="EF66" i="1"/>
  <c r="EG66" i="1"/>
  <c r="EL66" i="1"/>
  <c r="EH66" i="1"/>
  <c r="EJ66" i="1"/>
  <c r="EI66" i="1"/>
  <c r="EH94" i="1"/>
  <c r="EI94" i="1"/>
  <c r="EL94" i="1"/>
  <c r="EJ94" i="1"/>
  <c r="EK94" i="1"/>
  <c r="EM94" i="1"/>
  <c r="EF94" i="1"/>
  <c r="EG94" i="1"/>
  <c r="EL6" i="1"/>
  <c r="EM6" i="1"/>
  <c r="EI6" i="1"/>
  <c r="EF6" i="1"/>
  <c r="EK6" i="1"/>
  <c r="EG6" i="1"/>
  <c r="EH6" i="1"/>
  <c r="EJ6" i="1"/>
  <c r="EG31" i="1"/>
  <c r="EI31" i="1"/>
  <c r="EM31" i="1"/>
  <c r="EH31" i="1"/>
  <c r="EK31" i="1"/>
  <c r="EL31" i="1"/>
  <c r="EF31" i="1"/>
  <c r="EJ31" i="1"/>
  <c r="EG67" i="1"/>
  <c r="EI67" i="1"/>
  <c r="EF67" i="1"/>
  <c r="EH67" i="1"/>
  <c r="EJ67" i="1"/>
  <c r="EK67" i="1"/>
  <c r="EL67" i="1"/>
  <c r="EM67" i="1"/>
  <c r="EK54" i="1"/>
  <c r="EM54" i="1"/>
  <c r="EF54" i="1"/>
  <c r="EH54" i="1"/>
  <c r="EG54" i="1"/>
  <c r="EI54" i="1"/>
  <c r="EJ54" i="1"/>
  <c r="EL54" i="1"/>
  <c r="EH26" i="1"/>
  <c r="EI26" i="1"/>
  <c r="EK26" i="1"/>
  <c r="EM26" i="1"/>
  <c r="EF26" i="1"/>
  <c r="EJ26" i="1"/>
  <c r="EG26" i="1"/>
  <c r="EL26" i="1"/>
  <c r="EG62" i="1"/>
  <c r="EI62" i="1"/>
  <c r="EK62" i="1"/>
  <c r="EM62" i="1"/>
  <c r="EJ62" i="1"/>
  <c r="EL62" i="1"/>
  <c r="EH62" i="1"/>
  <c r="EF62" i="1"/>
  <c r="EL98" i="1"/>
  <c r="EM98" i="1"/>
  <c r="EF98" i="1"/>
  <c r="EK98" i="1"/>
  <c r="EG98" i="1"/>
  <c r="EH98" i="1"/>
  <c r="EJ98" i="1"/>
  <c r="EI98" i="1"/>
  <c r="EL15" i="1"/>
  <c r="EM15" i="1"/>
  <c r="EI15" i="1"/>
  <c r="EF15" i="1"/>
  <c r="EH15" i="1"/>
  <c r="EK15" i="1"/>
  <c r="EJ15" i="1"/>
  <c r="EG15" i="1"/>
  <c r="EK51" i="1"/>
  <c r="EM51" i="1"/>
  <c r="EH51" i="1"/>
  <c r="EI51" i="1"/>
  <c r="EJ51" i="1"/>
  <c r="EL51" i="1"/>
  <c r="EG51" i="1"/>
  <c r="EF51" i="1"/>
  <c r="EK87" i="1"/>
  <c r="EM87" i="1"/>
  <c r="EH87" i="1"/>
  <c r="EI87" i="1"/>
  <c r="EJ87" i="1"/>
  <c r="EL87" i="1"/>
  <c r="EF87" i="1"/>
  <c r="EG87" i="1"/>
  <c r="EG4" i="1"/>
  <c r="EI4" i="1"/>
  <c r="EM4" i="1"/>
  <c r="EJ4" i="1"/>
  <c r="EK4" i="1"/>
  <c r="EH4" i="1"/>
  <c r="EF4" i="1"/>
  <c r="EL4" i="1"/>
  <c r="EG40" i="1"/>
  <c r="EI40" i="1"/>
  <c r="EF40" i="1"/>
  <c r="EH40" i="1"/>
  <c r="EJ40" i="1"/>
  <c r="EK40" i="1"/>
  <c r="EL40" i="1"/>
  <c r="EM40" i="1"/>
  <c r="EG76" i="1"/>
  <c r="EI76" i="1"/>
  <c r="EF76" i="1"/>
  <c r="EH76" i="1"/>
  <c r="EJ76" i="1"/>
  <c r="EL76" i="1"/>
  <c r="EK76" i="1"/>
  <c r="EM76" i="1"/>
  <c r="EK78" i="1"/>
  <c r="EM78" i="1"/>
  <c r="EH78" i="1"/>
  <c r="EI78" i="1"/>
  <c r="EJ78" i="1"/>
  <c r="EL78" i="1"/>
  <c r="EF78" i="1"/>
  <c r="EG78" i="1"/>
  <c r="EH29" i="1"/>
  <c r="EI29" i="1"/>
  <c r="EK29" i="1"/>
  <c r="EM29" i="1"/>
  <c r="EF29" i="1"/>
  <c r="EG29" i="1"/>
  <c r="EL29" i="1"/>
  <c r="EJ29" i="1"/>
  <c r="EG65" i="1"/>
  <c r="EI65" i="1"/>
  <c r="EK65" i="1"/>
  <c r="EM65" i="1"/>
  <c r="EJ65" i="1"/>
  <c r="EF65" i="1"/>
  <c r="EH65" i="1"/>
  <c r="EL65" i="1"/>
  <c r="EK42" i="1"/>
  <c r="EM42" i="1"/>
  <c r="EH42" i="1"/>
  <c r="EI42" i="1"/>
  <c r="EJ42" i="1"/>
  <c r="EL42" i="1"/>
  <c r="EF42" i="1"/>
  <c r="EG42" i="1"/>
  <c r="EF96" i="1"/>
  <c r="EG96" i="1"/>
  <c r="EH96" i="1"/>
  <c r="EI96" i="1"/>
  <c r="EJ96" i="1"/>
  <c r="EK96" i="1"/>
  <c r="EL96" i="1"/>
  <c r="EM96" i="1"/>
  <c r="EK69" i="1"/>
  <c r="EM69" i="1"/>
  <c r="EH69" i="1"/>
  <c r="EI69" i="1"/>
  <c r="EJ69" i="1"/>
  <c r="EL69" i="1"/>
  <c r="EF69" i="1"/>
  <c r="EG69" i="1"/>
  <c r="EK84" i="1"/>
  <c r="EM84" i="1"/>
  <c r="EJ84" i="1"/>
  <c r="EL84" i="1"/>
  <c r="EF84" i="1"/>
  <c r="EG84" i="1"/>
  <c r="EH84" i="1"/>
  <c r="EI84" i="1"/>
  <c r="EG37" i="1"/>
  <c r="EI37" i="1"/>
  <c r="EL37" i="1"/>
  <c r="EM37" i="1"/>
  <c r="EJ37" i="1"/>
  <c r="EK37" i="1"/>
  <c r="EF37" i="1"/>
  <c r="EH37" i="1"/>
  <c r="EG73" i="1"/>
  <c r="EI73" i="1"/>
  <c r="EL73" i="1"/>
  <c r="EM73" i="1"/>
  <c r="EF73" i="1"/>
  <c r="EK73" i="1"/>
  <c r="EH73" i="1"/>
  <c r="EJ73" i="1"/>
  <c r="EK60" i="1"/>
  <c r="EM60" i="1"/>
  <c r="EG60" i="1"/>
  <c r="EH60" i="1"/>
  <c r="EI60" i="1"/>
  <c r="EJ60" i="1"/>
  <c r="EL60" i="1"/>
  <c r="EF60" i="1"/>
  <c r="EH32" i="1"/>
  <c r="EI32" i="1"/>
  <c r="EK32" i="1"/>
  <c r="EM32" i="1"/>
  <c r="EG32" i="1"/>
  <c r="EJ32" i="1"/>
  <c r="EL32" i="1"/>
  <c r="EF32" i="1"/>
  <c r="EG68" i="1"/>
  <c r="EI68" i="1"/>
  <c r="EK68" i="1"/>
  <c r="EM68" i="1"/>
  <c r="EF68" i="1"/>
  <c r="EH68" i="1"/>
  <c r="EJ68" i="1"/>
  <c r="EL68" i="1"/>
  <c r="EK48" i="1"/>
  <c r="EM48" i="1"/>
  <c r="EF48" i="1"/>
  <c r="EJ48" i="1"/>
  <c r="EG48" i="1"/>
  <c r="EH48" i="1"/>
  <c r="EI48" i="1"/>
  <c r="EL48" i="1"/>
  <c r="EL21" i="1"/>
  <c r="EM21" i="1"/>
  <c r="EI21" i="1"/>
  <c r="EF21" i="1"/>
  <c r="EH21" i="1"/>
  <c r="EG21" i="1"/>
  <c r="EJ21" i="1"/>
  <c r="EK21" i="1"/>
  <c r="EK57" i="1"/>
  <c r="EM57" i="1"/>
  <c r="EJ57" i="1"/>
  <c r="EL57" i="1"/>
  <c r="EF57" i="1"/>
  <c r="EG57" i="1"/>
  <c r="EH57" i="1"/>
  <c r="EI57" i="1"/>
  <c r="EH93" i="1"/>
  <c r="EF93" i="1"/>
  <c r="EG93" i="1"/>
  <c r="EI93" i="1"/>
  <c r="EJ93" i="1"/>
  <c r="EK93" i="1"/>
  <c r="EL93" i="1"/>
  <c r="EM93" i="1"/>
  <c r="EG10" i="1"/>
  <c r="EI10" i="1"/>
  <c r="EM10" i="1"/>
  <c r="EH10" i="1"/>
  <c r="EK10" i="1"/>
  <c r="EF10" i="1"/>
  <c r="EJ10" i="1"/>
  <c r="EL10" i="1"/>
  <c r="EG46" i="1"/>
  <c r="EI46" i="1"/>
  <c r="EK46" i="1"/>
  <c r="EL46" i="1"/>
  <c r="EM46" i="1"/>
  <c r="EF46" i="1"/>
  <c r="EJ46" i="1"/>
  <c r="EH46" i="1"/>
  <c r="EG82" i="1"/>
  <c r="EI82" i="1"/>
  <c r="EL82" i="1"/>
  <c r="EM82" i="1"/>
  <c r="EK82" i="1"/>
  <c r="EF82" i="1"/>
  <c r="EH82" i="1"/>
  <c r="EJ82" i="1"/>
  <c r="EL18" i="1"/>
  <c r="EM18" i="1"/>
  <c r="EI18" i="1"/>
  <c r="EF18" i="1"/>
  <c r="EH18" i="1"/>
  <c r="EK18" i="1"/>
  <c r="EG18" i="1"/>
  <c r="EJ18" i="1"/>
  <c r="EG35" i="1"/>
  <c r="EI35" i="1"/>
  <c r="EK35" i="1"/>
  <c r="EM35" i="1"/>
  <c r="EJ35" i="1"/>
  <c r="EL35" i="1"/>
  <c r="EH35" i="1"/>
  <c r="EF35" i="1"/>
  <c r="EG71" i="1"/>
  <c r="EI71" i="1"/>
  <c r="EK71" i="1"/>
  <c r="EM71" i="1"/>
  <c r="EJ71" i="1"/>
  <c r="EL71" i="1"/>
  <c r="EH71" i="1"/>
  <c r="EF71" i="1"/>
  <c r="EL12" i="1"/>
  <c r="EM12" i="1"/>
  <c r="EI12" i="1"/>
  <c r="EG12" i="1"/>
  <c r="EH12" i="1"/>
  <c r="EK12" i="1"/>
  <c r="EF12" i="1"/>
  <c r="EJ12" i="1"/>
  <c r="EG44" i="1"/>
  <c r="EI44" i="1"/>
  <c r="EK44" i="1"/>
  <c r="EM44" i="1"/>
  <c r="EH44" i="1"/>
  <c r="EJ44" i="1"/>
  <c r="EL44" i="1"/>
  <c r="EF44" i="1"/>
  <c r="EG22" i="1"/>
  <c r="EI22" i="1"/>
  <c r="EM22" i="1"/>
  <c r="EK22" i="1"/>
  <c r="EF22" i="1"/>
  <c r="EH22" i="1"/>
  <c r="EJ22" i="1"/>
  <c r="EL22" i="1"/>
  <c r="EG85" i="1"/>
  <c r="EI85" i="1"/>
  <c r="EF85" i="1"/>
  <c r="EH85" i="1"/>
  <c r="EJ85" i="1"/>
  <c r="EK85" i="1"/>
  <c r="EL85" i="1"/>
  <c r="EM85" i="1"/>
  <c r="EL33" i="1"/>
  <c r="EM33" i="1"/>
  <c r="EI33" i="1"/>
  <c r="EF33" i="1"/>
  <c r="EH33" i="1"/>
  <c r="EK33" i="1"/>
  <c r="EG33" i="1"/>
  <c r="EJ33" i="1"/>
  <c r="EG7" i="1"/>
  <c r="EI7" i="1"/>
  <c r="EM7" i="1"/>
  <c r="EF7" i="1"/>
  <c r="EH7" i="1"/>
  <c r="EK7" i="1"/>
  <c r="EJ7" i="1"/>
  <c r="EL7" i="1"/>
  <c r="EG43" i="1"/>
  <c r="EI43" i="1"/>
  <c r="EF43" i="1"/>
  <c r="EH43" i="1"/>
  <c r="EJ43" i="1"/>
  <c r="EK43" i="1"/>
  <c r="EL43" i="1"/>
  <c r="EM43" i="1"/>
  <c r="EG79" i="1"/>
  <c r="EI79" i="1"/>
  <c r="EF79" i="1"/>
  <c r="EH79" i="1"/>
  <c r="EJ79" i="1"/>
  <c r="EK79" i="1"/>
  <c r="EL79" i="1"/>
  <c r="EM79" i="1"/>
  <c r="EM2" i="1"/>
  <c r="EF2" i="1"/>
  <c r="EN2" i="1" s="1"/>
  <c r="EL2" i="1"/>
  <c r="EG2" i="1"/>
  <c r="EK2" i="1"/>
  <c r="EH2" i="1"/>
  <c r="EI2" i="1"/>
  <c r="EJ2" i="1"/>
  <c r="EG38" i="1"/>
  <c r="EI38" i="1"/>
  <c r="EK38" i="1"/>
  <c r="EM38" i="1"/>
  <c r="EF38" i="1"/>
  <c r="EJ38" i="1"/>
  <c r="EH38" i="1"/>
  <c r="EL38" i="1"/>
  <c r="EG74" i="1"/>
  <c r="EI74" i="1"/>
  <c r="EK74" i="1"/>
  <c r="EM74" i="1"/>
  <c r="EJ74" i="1"/>
  <c r="EF74" i="1"/>
  <c r="EH74" i="1"/>
  <c r="EL74" i="1"/>
  <c r="EK36" i="1"/>
  <c r="EM36" i="1"/>
  <c r="EH36" i="1"/>
  <c r="EF36" i="1"/>
  <c r="EG36" i="1"/>
  <c r="EI36" i="1"/>
  <c r="EJ36" i="1"/>
  <c r="EL36" i="1"/>
  <c r="EL27" i="1"/>
  <c r="EM27" i="1"/>
  <c r="EI27" i="1"/>
  <c r="EK27" i="1"/>
  <c r="EF27" i="1"/>
  <c r="EG27" i="1"/>
  <c r="EH27" i="1"/>
  <c r="EJ27" i="1"/>
  <c r="EK63" i="1"/>
  <c r="EM63" i="1"/>
  <c r="EF63" i="1"/>
  <c r="EH63" i="1"/>
  <c r="EG63" i="1"/>
  <c r="EI63" i="1"/>
  <c r="EJ63" i="1"/>
  <c r="EL63" i="1"/>
  <c r="EH99" i="1"/>
  <c r="EF99" i="1"/>
  <c r="EG99" i="1"/>
  <c r="EI99" i="1"/>
  <c r="EJ99" i="1"/>
  <c r="EK99" i="1"/>
  <c r="EL99" i="1"/>
  <c r="EM99" i="1"/>
  <c r="EG16" i="1"/>
  <c r="EI16" i="1"/>
  <c r="EM16" i="1"/>
  <c r="EH16" i="1"/>
  <c r="EF16" i="1"/>
  <c r="EJ16" i="1"/>
  <c r="EK16" i="1"/>
  <c r="EL16" i="1"/>
  <c r="EG52" i="1"/>
  <c r="EI52" i="1"/>
  <c r="EF52" i="1"/>
  <c r="EH52" i="1"/>
  <c r="EJ52" i="1"/>
  <c r="EK52" i="1"/>
  <c r="EL52" i="1"/>
  <c r="EM52" i="1"/>
  <c r="EG88" i="1"/>
  <c r="EI88" i="1"/>
  <c r="EF88" i="1"/>
  <c r="EH88" i="1"/>
  <c r="EJ88" i="1"/>
  <c r="EK88" i="1"/>
  <c r="EL88" i="1"/>
  <c r="EM88" i="1"/>
  <c r="EH5" i="1"/>
  <c r="EI5" i="1"/>
  <c r="EK5" i="1"/>
  <c r="EM5" i="1"/>
  <c r="EF5" i="1"/>
  <c r="EJ5" i="1"/>
  <c r="EG5" i="1"/>
  <c r="EL5" i="1"/>
  <c r="EG41" i="1"/>
  <c r="EI41" i="1"/>
  <c r="EK41" i="1"/>
  <c r="EM41" i="1"/>
  <c r="EF41" i="1"/>
  <c r="EH41" i="1"/>
  <c r="EJ41" i="1"/>
  <c r="EL41" i="1"/>
  <c r="EG77" i="1"/>
  <c r="EI77" i="1"/>
  <c r="EK77" i="1"/>
  <c r="EM77" i="1"/>
  <c r="EF77" i="1"/>
  <c r="EH77" i="1"/>
  <c r="EJ77" i="1"/>
  <c r="EL77" i="1"/>
  <c r="EK72" i="1"/>
  <c r="EM72" i="1"/>
  <c r="EF72" i="1"/>
  <c r="EG72" i="1"/>
  <c r="EH72" i="1"/>
  <c r="EI72" i="1"/>
  <c r="EJ72" i="1"/>
  <c r="EL72" i="1"/>
  <c r="EG49" i="1"/>
  <c r="EI49" i="1"/>
  <c r="EF49" i="1"/>
  <c r="EH49" i="1"/>
  <c r="EJ49" i="1"/>
  <c r="EK49" i="1"/>
  <c r="EL49" i="1"/>
  <c r="EM49" i="1"/>
  <c r="EH11" i="1"/>
  <c r="EI11" i="1"/>
  <c r="EK11" i="1"/>
  <c r="EM11" i="1"/>
  <c r="EF11" i="1"/>
  <c r="EJ11" i="1"/>
  <c r="EL11" i="1"/>
  <c r="EG11" i="1"/>
  <c r="H3" i="7"/>
  <c r="C3" i="7"/>
  <c r="DO2" i="1"/>
  <c r="DL2" i="1"/>
  <c r="EB2" i="1" s="1"/>
  <c r="DH2" i="1"/>
  <c r="DK2" i="1"/>
  <c r="DM2" i="1"/>
  <c r="DJ2" i="1"/>
  <c r="DI2" i="1"/>
  <c r="DN2" i="1"/>
  <c r="DW98" i="1"/>
  <c r="DS37" i="1"/>
  <c r="DS28" i="1"/>
  <c r="DP75" i="1"/>
  <c r="DV21" i="1"/>
  <c r="DU13" i="1"/>
  <c r="EA52" i="1"/>
  <c r="DP87" i="1"/>
  <c r="DY13" i="1"/>
  <c r="DS25" i="1"/>
  <c r="EE50" i="1"/>
  <c r="DW13" i="1"/>
  <c r="DX63" i="1"/>
  <c r="EA88" i="1"/>
  <c r="DV13" i="1"/>
  <c r="DW11" i="1"/>
  <c r="EA55" i="1"/>
  <c r="EE74" i="1"/>
  <c r="EA4" i="1"/>
  <c r="DX49" i="1"/>
  <c r="DQ31" i="1"/>
  <c r="EA61" i="1"/>
  <c r="DR31" i="1"/>
  <c r="EA97" i="1"/>
  <c r="DT31" i="1"/>
  <c r="EA49" i="1"/>
  <c r="DS49" i="1"/>
  <c r="DV31" i="1"/>
  <c r="ED49" i="1"/>
  <c r="DZ55" i="1"/>
  <c r="EE26" i="1"/>
  <c r="DU31" i="1"/>
  <c r="DU49" i="1"/>
  <c r="DX31" i="1"/>
  <c r="EE49" i="1"/>
  <c r="DP51" i="1"/>
  <c r="DS16" i="1"/>
  <c r="EE38" i="1"/>
  <c r="DX99" i="1"/>
  <c r="DS85" i="1"/>
  <c r="EE62" i="1"/>
  <c r="DX21" i="1"/>
  <c r="DZ64" i="1"/>
  <c r="EA73" i="1"/>
  <c r="DS21" i="1"/>
  <c r="DZ100" i="1"/>
  <c r="EE29" i="1"/>
  <c r="DS64" i="1"/>
  <c r="EA10" i="1"/>
  <c r="DQ21" i="1"/>
  <c r="DT21" i="1"/>
  <c r="DU21" i="1"/>
  <c r="DS100" i="1"/>
  <c r="DW86" i="1"/>
  <c r="DX39" i="1"/>
  <c r="EA40" i="1"/>
  <c r="EA76" i="1"/>
  <c r="DV53" i="1"/>
  <c r="DU53" i="1"/>
  <c r="DT53" i="1"/>
  <c r="DS53" i="1"/>
  <c r="DZ53" i="1"/>
  <c r="DQ53" i="1"/>
  <c r="DP53" i="1"/>
  <c r="DW54" i="1"/>
  <c r="ED54" i="1"/>
  <c r="DU54" i="1"/>
  <c r="EB54" i="1"/>
  <c r="DS54" i="1"/>
  <c r="DQ54" i="1"/>
  <c r="DZ54" i="1"/>
  <c r="DT22" i="1"/>
  <c r="DR22" i="1"/>
  <c r="DQ22" i="1"/>
  <c r="DP22" i="1"/>
  <c r="EC22" i="1"/>
  <c r="EE22" i="1"/>
  <c r="DV22" i="1"/>
  <c r="DW36" i="1"/>
  <c r="DV36" i="1"/>
  <c r="EC36" i="1"/>
  <c r="DQ36" i="1"/>
  <c r="DS36" i="1"/>
  <c r="DR36" i="1"/>
  <c r="DW66" i="1"/>
  <c r="DV66" i="1"/>
  <c r="EC66" i="1"/>
  <c r="EB66" i="1"/>
  <c r="EA66" i="1"/>
  <c r="DR66" i="1"/>
  <c r="DY66" i="1"/>
  <c r="DU56" i="1"/>
  <c r="EB56" i="1"/>
  <c r="DZ56" i="1"/>
  <c r="DQ56" i="1"/>
  <c r="DX56" i="1"/>
  <c r="DV56" i="1"/>
  <c r="DW78" i="1"/>
  <c r="DV78" i="1"/>
  <c r="EC78" i="1"/>
  <c r="DT78" i="1"/>
  <c r="DS78" i="1"/>
  <c r="DR78" i="1"/>
  <c r="DQ78" i="1"/>
  <c r="DT46" i="1"/>
  <c r="DY46" i="1"/>
  <c r="DX46" i="1"/>
  <c r="DU46" i="1"/>
  <c r="DV46" i="1"/>
  <c r="DW46" i="1"/>
  <c r="EC77" i="1"/>
  <c r="EB77" i="1"/>
  <c r="DS77" i="1"/>
  <c r="DR77" i="1"/>
  <c r="DY77" i="1"/>
  <c r="DX77" i="1"/>
  <c r="ED77" i="1"/>
  <c r="ED32" i="1"/>
  <c r="EC32" i="1"/>
  <c r="DT32" i="1"/>
  <c r="EA32" i="1"/>
  <c r="DZ32" i="1"/>
  <c r="DY32" i="1"/>
  <c r="DP32" i="1"/>
  <c r="DW81" i="1"/>
  <c r="ED81" i="1"/>
  <c r="DU81" i="1"/>
  <c r="DT81" i="1"/>
  <c r="EA81" i="1"/>
  <c r="DR81" i="1"/>
  <c r="DY81" i="1"/>
  <c r="DT43" i="1"/>
  <c r="DR43" i="1"/>
  <c r="DQ43" i="1"/>
  <c r="DP43" i="1"/>
  <c r="DU43" i="1"/>
  <c r="DW43" i="1"/>
  <c r="DV43" i="1"/>
  <c r="DU92" i="1"/>
  <c r="DT92" i="1"/>
  <c r="DS92" i="1"/>
  <c r="DR92" i="1"/>
  <c r="DQ92" i="1"/>
  <c r="DX92" i="1"/>
  <c r="ED92" i="1"/>
  <c r="DY67" i="1"/>
  <c r="DX67" i="1"/>
  <c r="EE67" i="1"/>
  <c r="DV67" i="1"/>
  <c r="DU67" i="1"/>
  <c r="DT67" i="1"/>
  <c r="DR67" i="1"/>
  <c r="DY82" i="1"/>
  <c r="DP82" i="1"/>
  <c r="DW82" i="1"/>
  <c r="DV82" i="1"/>
  <c r="EC82" i="1"/>
  <c r="EB82" i="1"/>
  <c r="DQ94" i="1"/>
  <c r="DP94" i="1"/>
  <c r="DW94" i="1"/>
  <c r="ED94" i="1"/>
  <c r="EC94" i="1"/>
  <c r="DT94" i="1"/>
  <c r="DR94" i="1"/>
  <c r="DW42" i="1"/>
  <c r="DV42" i="1"/>
  <c r="DU42" i="1"/>
  <c r="DT42" i="1"/>
  <c r="DQ42" i="1"/>
  <c r="DS42" i="1"/>
  <c r="DR42" i="1"/>
  <c r="DQ91" i="1"/>
  <c r="DP91" i="1"/>
  <c r="EE91" i="1"/>
  <c r="ED91" i="1"/>
  <c r="DU91" i="1"/>
  <c r="EB91" i="1"/>
  <c r="DR91" i="1"/>
  <c r="DT7" i="1"/>
  <c r="DZ7" i="1"/>
  <c r="DQ7" i="1"/>
  <c r="DX7" i="1"/>
  <c r="DU7" i="1"/>
  <c r="DW7" i="1"/>
  <c r="DV7" i="1"/>
  <c r="DW33" i="1"/>
  <c r="DV33" i="1"/>
  <c r="EC33" i="1"/>
  <c r="DT33" i="1"/>
  <c r="DQ33" i="1"/>
  <c r="EA33" i="1"/>
  <c r="DR33" i="1"/>
  <c r="DW60" i="1"/>
  <c r="DV60" i="1"/>
  <c r="EC60" i="1"/>
  <c r="DT60" i="1"/>
  <c r="EA60" i="1"/>
  <c r="DR60" i="1"/>
  <c r="DQ60" i="1"/>
  <c r="DV5" i="1"/>
  <c r="DU5" i="1"/>
  <c r="EB5" i="1"/>
  <c r="EA5" i="1"/>
  <c r="DZ5" i="1"/>
  <c r="DQ5" i="1"/>
  <c r="DP5" i="1"/>
  <c r="DV47" i="1"/>
  <c r="DU47" i="1"/>
  <c r="DT47" i="1"/>
  <c r="EA47" i="1"/>
  <c r="DZ47" i="1"/>
  <c r="DQ47" i="1"/>
  <c r="DX47" i="1"/>
  <c r="EE45" i="1"/>
  <c r="DV45" i="1"/>
  <c r="DU45" i="1"/>
  <c r="DT45" i="1"/>
  <c r="DY45" i="1"/>
  <c r="EA45" i="1"/>
  <c r="DR45" i="1"/>
  <c r="DW72" i="1"/>
  <c r="DV72" i="1"/>
  <c r="DU72" i="1"/>
  <c r="DT72" i="1"/>
  <c r="DS72" i="1"/>
  <c r="DR72" i="1"/>
  <c r="DQ72" i="1"/>
  <c r="EE57" i="1"/>
  <c r="DV57" i="1"/>
  <c r="DU57" i="1"/>
  <c r="EB57" i="1"/>
  <c r="EA57" i="1"/>
  <c r="DZ57" i="1"/>
  <c r="DQ57" i="1"/>
  <c r="DW84" i="1"/>
  <c r="DV84" i="1"/>
  <c r="EC84" i="1"/>
  <c r="DT84" i="1"/>
  <c r="DS84" i="1"/>
  <c r="DR84" i="1"/>
  <c r="DQ84" i="1"/>
  <c r="DY79" i="1"/>
  <c r="DP79" i="1"/>
  <c r="DW79" i="1"/>
  <c r="DV79" i="1"/>
  <c r="DU79" i="1"/>
  <c r="DT79" i="1"/>
  <c r="DR79" i="1"/>
  <c r="DV8" i="1"/>
  <c r="DU8" i="1"/>
  <c r="DT8" i="1"/>
  <c r="DS8" i="1"/>
  <c r="DZ8" i="1"/>
  <c r="DQ8" i="1"/>
  <c r="DP8" i="1"/>
  <c r="DW69" i="1"/>
  <c r="DV69" i="1"/>
  <c r="DU69" i="1"/>
  <c r="DT69" i="1"/>
  <c r="DS69" i="1"/>
  <c r="DR69" i="1"/>
  <c r="DQ69" i="1"/>
  <c r="DW96" i="1"/>
  <c r="DV96" i="1"/>
  <c r="DU96" i="1"/>
  <c r="EB96" i="1"/>
  <c r="DS96" i="1"/>
  <c r="DR96" i="1"/>
  <c r="DQ96" i="1"/>
  <c r="DU59" i="1"/>
  <c r="DT59" i="1"/>
  <c r="DS59" i="1"/>
  <c r="DR59" i="1"/>
  <c r="DY59" i="1"/>
  <c r="DP59" i="1"/>
  <c r="DV59" i="1"/>
  <c r="ED44" i="1"/>
  <c r="DU44" i="1"/>
  <c r="DT44" i="1"/>
  <c r="DS44" i="1"/>
  <c r="DZ44" i="1"/>
  <c r="DQ44" i="1"/>
  <c r="DP44" i="1"/>
  <c r="DW93" i="1"/>
  <c r="ED93" i="1"/>
  <c r="DU93" i="1"/>
  <c r="DT93" i="1"/>
  <c r="EA93" i="1"/>
  <c r="DR93" i="1"/>
  <c r="DQ93" i="1"/>
  <c r="EB34" i="1"/>
  <c r="DR34" i="1"/>
  <c r="DY34" i="1"/>
  <c r="DX34" i="1"/>
  <c r="DU34" i="1"/>
  <c r="DW34" i="1"/>
  <c r="DV34" i="1"/>
  <c r="EE90" i="1"/>
  <c r="ED90" i="1"/>
  <c r="EC90" i="1"/>
  <c r="DT90" i="1"/>
  <c r="EA90" i="1"/>
  <c r="DZ90" i="1"/>
  <c r="DY90" i="1"/>
  <c r="EC68" i="1"/>
  <c r="DT68" i="1"/>
  <c r="DS68" i="1"/>
  <c r="DR68" i="1"/>
  <c r="DQ68" i="1"/>
  <c r="DP68" i="1"/>
  <c r="ED68" i="1"/>
  <c r="DQ58" i="1"/>
  <c r="DP58" i="1"/>
  <c r="DW58" i="1"/>
  <c r="DV58" i="1"/>
  <c r="EC58" i="1"/>
  <c r="EB58" i="1"/>
  <c r="DZ58" i="1"/>
  <c r="DU80" i="1"/>
  <c r="DT80" i="1"/>
  <c r="DS80" i="1"/>
  <c r="DR80" i="1"/>
  <c r="DQ80" i="1"/>
  <c r="DP80" i="1"/>
  <c r="DV80" i="1"/>
  <c r="DY70" i="1"/>
  <c r="DX70" i="1"/>
  <c r="EE70" i="1"/>
  <c r="DV70" i="1"/>
  <c r="DU70" i="1"/>
  <c r="DT70" i="1"/>
  <c r="DZ70" i="1"/>
  <c r="DU71" i="1"/>
  <c r="DT71" i="1"/>
  <c r="EA71" i="1"/>
  <c r="DZ71" i="1"/>
  <c r="DQ71" i="1"/>
  <c r="DP71" i="1"/>
  <c r="DV71" i="1"/>
  <c r="DV23" i="1"/>
  <c r="DU23" i="1"/>
  <c r="DT23" i="1"/>
  <c r="EA23" i="1"/>
  <c r="DR23" i="1"/>
  <c r="DY23" i="1"/>
  <c r="DX23" i="1"/>
  <c r="DV17" i="1"/>
  <c r="EC17" i="1"/>
  <c r="DT17" i="1"/>
  <c r="DS17" i="1"/>
  <c r="DZ17" i="1"/>
  <c r="DQ17" i="1"/>
  <c r="DP17" i="1"/>
  <c r="EC65" i="1"/>
  <c r="DT65" i="1"/>
  <c r="DS65" i="1"/>
  <c r="DR65" i="1"/>
  <c r="DQ65" i="1"/>
  <c r="DP65" i="1"/>
  <c r="DV65" i="1"/>
  <c r="DW48" i="1"/>
  <c r="DV48" i="1"/>
  <c r="EC48" i="1"/>
  <c r="DT48" i="1"/>
  <c r="EA48" i="1"/>
  <c r="DQ48" i="1"/>
  <c r="DR48" i="1"/>
  <c r="DU89" i="1"/>
  <c r="DT89" i="1"/>
  <c r="DS89" i="1"/>
  <c r="DR89" i="1"/>
  <c r="DQ89" i="1"/>
  <c r="DX89" i="1"/>
  <c r="ED89" i="1"/>
  <c r="DV41" i="1"/>
  <c r="DU41" i="1"/>
  <c r="DT41" i="1"/>
  <c r="EA41" i="1"/>
  <c r="DR41" i="1"/>
  <c r="DY41" i="1"/>
  <c r="DP41" i="1"/>
  <c r="DU83" i="1"/>
  <c r="DT83" i="1"/>
  <c r="DS83" i="1"/>
  <c r="DR83" i="1"/>
  <c r="DY83" i="1"/>
  <c r="DP83" i="1"/>
  <c r="DV83" i="1"/>
  <c r="DV35" i="1"/>
  <c r="DU35" i="1"/>
  <c r="DT35" i="1"/>
  <c r="EA35" i="1"/>
  <c r="DR35" i="1"/>
  <c r="DQ35" i="1"/>
  <c r="DP35" i="1"/>
  <c r="DU95" i="1"/>
  <c r="DT95" i="1"/>
  <c r="DS95" i="1"/>
  <c r="DR95" i="1"/>
  <c r="DQ95" i="1"/>
  <c r="DX95" i="1"/>
  <c r="DV95" i="1"/>
  <c r="DZ37" i="1"/>
  <c r="DZ73" i="1"/>
  <c r="DU64" i="1"/>
  <c r="EC64" i="1"/>
  <c r="DW37" i="1"/>
  <c r="EE37" i="1"/>
  <c r="DP74" i="1"/>
  <c r="DX74" i="1"/>
  <c r="DV39" i="1"/>
  <c r="ED39" i="1"/>
  <c r="DT100" i="1"/>
  <c r="EB100" i="1"/>
  <c r="DR39" i="1"/>
  <c r="DZ39" i="1"/>
  <c r="DU9" i="1"/>
  <c r="EC9" i="1"/>
  <c r="DS86" i="1"/>
  <c r="EA86" i="1"/>
  <c r="DR4" i="1"/>
  <c r="DZ4" i="1"/>
  <c r="DU10" i="1"/>
  <c r="EC10" i="1"/>
  <c r="DU85" i="1"/>
  <c r="EC85" i="1"/>
  <c r="DP11" i="1"/>
  <c r="DX11" i="1"/>
  <c r="DU15" i="1"/>
  <c r="EC15" i="1"/>
  <c r="DV40" i="1"/>
  <c r="ED40" i="1"/>
  <c r="DV76" i="1"/>
  <c r="ED76" i="1"/>
  <c r="DW40" i="1"/>
  <c r="EE40" i="1"/>
  <c r="DW76" i="1"/>
  <c r="EE76" i="1"/>
  <c r="DP6" i="1"/>
  <c r="DX6" i="1"/>
  <c r="DT18" i="1"/>
  <c r="EB18" i="1"/>
  <c r="DP24" i="1"/>
  <c r="DX24" i="1"/>
  <c r="DQ62" i="1"/>
  <c r="DY62" i="1"/>
  <c r="DQ98" i="1"/>
  <c r="DY98" i="1"/>
  <c r="DQ25" i="1"/>
  <c r="DY25" i="1"/>
  <c r="DT9" i="1"/>
  <c r="EB9" i="1"/>
  <c r="DW51" i="1"/>
  <c r="EE51" i="1"/>
  <c r="DW87" i="1"/>
  <c r="EE87" i="1"/>
  <c r="DU20" i="1"/>
  <c r="EC20" i="1"/>
  <c r="DP26" i="1"/>
  <c r="DX26" i="1"/>
  <c r="DP85" i="1"/>
  <c r="DX85" i="1"/>
  <c r="DV27" i="1"/>
  <c r="ED27" i="1"/>
  <c r="DQ76" i="1"/>
  <c r="DY76" i="1"/>
  <c r="DU50" i="1"/>
  <c r="EC50" i="1"/>
  <c r="DV86" i="1"/>
  <c r="ED86" i="1"/>
  <c r="DR52" i="1"/>
  <c r="DZ52" i="1"/>
  <c r="DS13" i="1"/>
  <c r="EA13" i="1"/>
  <c r="DR11" i="1"/>
  <c r="DZ11" i="1"/>
  <c r="DW55" i="1"/>
  <c r="EE55" i="1"/>
  <c r="DT19" i="1"/>
  <c r="EB19" i="1"/>
  <c r="DW14" i="1"/>
  <c r="EE14" i="1"/>
  <c r="DS75" i="1"/>
  <c r="EA75" i="1"/>
  <c r="DT39" i="1"/>
  <c r="EB39" i="1"/>
  <c r="DR25" i="1"/>
  <c r="DZ25" i="1"/>
  <c r="DQ26" i="1"/>
  <c r="DY26" i="1"/>
  <c r="DW27" i="1"/>
  <c r="EE27" i="1"/>
  <c r="DQ4" i="1"/>
  <c r="DY4" i="1"/>
  <c r="DT10" i="1"/>
  <c r="EB10" i="1"/>
  <c r="DQ51" i="1"/>
  <c r="DY51" i="1"/>
  <c r="DQ87" i="1"/>
  <c r="DY87" i="1"/>
  <c r="DT15" i="1"/>
  <c r="EB15" i="1"/>
  <c r="DW12" i="1"/>
  <c r="EE12" i="1"/>
  <c r="DS18" i="1"/>
  <c r="EA18" i="1"/>
  <c r="DW30" i="1"/>
  <c r="EE30" i="1"/>
  <c r="DU63" i="1"/>
  <c r="EC63" i="1"/>
  <c r="EC81" i="1"/>
  <c r="DU99" i="1"/>
  <c r="EC99" i="1"/>
  <c r="DP25" i="1"/>
  <c r="DX25" i="1"/>
  <c r="DS9" i="1"/>
  <c r="EA9" i="1"/>
  <c r="DR62" i="1"/>
  <c r="DZ62" i="1"/>
  <c r="DR98" i="1"/>
  <c r="DZ98" i="1"/>
  <c r="DT20" i="1"/>
  <c r="EB20" i="1"/>
  <c r="DT50" i="1"/>
  <c r="EB50" i="1"/>
  <c r="DT86" i="1"/>
  <c r="EB86" i="1"/>
  <c r="DU27" i="1"/>
  <c r="EC27" i="1"/>
  <c r="DV38" i="1"/>
  <c r="ED38" i="1"/>
  <c r="DQ85" i="1"/>
  <c r="DY85" i="1"/>
  <c r="DR61" i="1"/>
  <c r="DZ61" i="1"/>
  <c r="DU98" i="1"/>
  <c r="EC98" i="1"/>
  <c r="DQ100" i="1"/>
  <c r="DY100" i="1"/>
  <c r="DU100" i="1"/>
  <c r="EC100" i="1"/>
  <c r="DU74" i="1"/>
  <c r="EC74" i="1"/>
  <c r="DQ24" i="1"/>
  <c r="DY24" i="1"/>
  <c r="DP4" i="1"/>
  <c r="DX4" i="1"/>
  <c r="DR16" i="1"/>
  <c r="DZ16" i="1"/>
  <c r="DT37" i="1"/>
  <c r="EB37" i="1"/>
  <c r="DT73" i="1"/>
  <c r="EB73" i="1"/>
  <c r="DU52" i="1"/>
  <c r="EC52" i="1"/>
  <c r="DU88" i="1"/>
  <c r="EC88" i="1"/>
  <c r="DS15" i="1"/>
  <c r="EA15" i="1"/>
  <c r="DV61" i="1"/>
  <c r="ED61" i="1"/>
  <c r="DV97" i="1"/>
  <c r="ED97" i="1"/>
  <c r="DW61" i="1"/>
  <c r="EE61" i="1"/>
  <c r="DW97" i="1"/>
  <c r="EE97" i="1"/>
  <c r="DV12" i="1"/>
  <c r="ED12" i="1"/>
  <c r="DR18" i="1"/>
  <c r="DZ18" i="1"/>
  <c r="DV30" i="1"/>
  <c r="ED30" i="1"/>
  <c r="DR21" i="1"/>
  <c r="DZ21" i="1"/>
  <c r="DP62" i="1"/>
  <c r="DX62" i="1"/>
  <c r="DP98" i="1"/>
  <c r="DX98" i="1"/>
  <c r="DW25" i="1"/>
  <c r="EE25" i="1"/>
  <c r="DR9" i="1"/>
  <c r="DZ9" i="1"/>
  <c r="DV63" i="1"/>
  <c r="ED63" i="1"/>
  <c r="DV99" i="1"/>
  <c r="ED99" i="1"/>
  <c r="DS20" i="1"/>
  <c r="EA20" i="1"/>
  <c r="DP52" i="1"/>
  <c r="DX52" i="1"/>
  <c r="DP88" i="1"/>
  <c r="DX88" i="1"/>
  <c r="DT27" i="1"/>
  <c r="EB27" i="1"/>
  <c r="DU18" i="1"/>
  <c r="EC18" i="1"/>
  <c r="DP13" i="1"/>
  <c r="DX13" i="1"/>
  <c r="DV20" i="1"/>
  <c r="ED20" i="1"/>
  <c r="DV77" i="1"/>
  <c r="DW4" i="1"/>
  <c r="EE4" i="1"/>
  <c r="DQ16" i="1"/>
  <c r="DY16" i="1"/>
  <c r="EB22" i="1"/>
  <c r="DT40" i="1"/>
  <c r="EB40" i="1"/>
  <c r="DT76" i="1"/>
  <c r="EB76" i="1"/>
  <c r="DV29" i="1"/>
  <c r="ED29" i="1"/>
  <c r="DR15" i="1"/>
  <c r="DZ15" i="1"/>
  <c r="DR63" i="1"/>
  <c r="DZ63" i="1"/>
  <c r="DR99" i="1"/>
  <c r="DZ99" i="1"/>
  <c r="DS63" i="1"/>
  <c r="EA63" i="1"/>
  <c r="DS99" i="1"/>
  <c r="EA99" i="1"/>
  <c r="DU12" i="1"/>
  <c r="EC12" i="1"/>
  <c r="DQ18" i="1"/>
  <c r="DY18" i="1"/>
  <c r="DU30" i="1"/>
  <c r="EC30" i="1"/>
  <c r="DT63" i="1"/>
  <c r="EB63" i="1"/>
  <c r="EB81" i="1"/>
  <c r="DT99" i="1"/>
  <c r="EB99" i="1"/>
  <c r="DT13" i="1"/>
  <c r="EB13" i="1"/>
  <c r="DV25" i="1"/>
  <c r="ED25" i="1"/>
  <c r="DQ9" i="1"/>
  <c r="DY9" i="1"/>
  <c r="DW3" i="1"/>
  <c r="EE3" i="1"/>
  <c r="DS38" i="1"/>
  <c r="EA38" i="1"/>
  <c r="DS56" i="1"/>
  <c r="EA56" i="1"/>
  <c r="DS74" i="1"/>
  <c r="EA74" i="1"/>
  <c r="DR20" i="1"/>
  <c r="DZ20" i="1"/>
  <c r="DS27" i="1"/>
  <c r="EA27" i="1"/>
  <c r="DR40" i="1"/>
  <c r="DZ40" i="1"/>
  <c r="DT61" i="1"/>
  <c r="EB61" i="1"/>
  <c r="DV55" i="1"/>
  <c r="ED55" i="1"/>
  <c r="DR24" i="1"/>
  <c r="DZ24" i="1"/>
  <c r="DS31" i="1"/>
  <c r="EA31" i="1"/>
  <c r="DQ11" i="1"/>
  <c r="DY11" i="1"/>
  <c r="DQ6" i="1"/>
  <c r="DY6" i="1"/>
  <c r="DS50" i="1"/>
  <c r="EA50" i="1"/>
  <c r="DV4" i="1"/>
  <c r="ED4" i="1"/>
  <c r="DP16" i="1"/>
  <c r="DX16" i="1"/>
  <c r="DR28" i="1"/>
  <c r="DZ28" i="1"/>
  <c r="DU37" i="1"/>
  <c r="EC37" i="1"/>
  <c r="DU55" i="1"/>
  <c r="EC55" i="1"/>
  <c r="DU73" i="1"/>
  <c r="EC73" i="1"/>
  <c r="DU29" i="1"/>
  <c r="EC29" i="1"/>
  <c r="DQ15" i="1"/>
  <c r="DY15" i="1"/>
  <c r="DV64" i="1"/>
  <c r="ED64" i="1"/>
  <c r="DV100" i="1"/>
  <c r="ED100" i="1"/>
  <c r="DW64" i="1"/>
  <c r="EE64" i="1"/>
  <c r="DW100" i="1"/>
  <c r="EE100" i="1"/>
  <c r="DT12" i="1"/>
  <c r="EB12" i="1"/>
  <c r="DP18" i="1"/>
  <c r="DX18" i="1"/>
  <c r="DT30" i="1"/>
  <c r="EB30" i="1"/>
  <c r="DQ50" i="1"/>
  <c r="DY50" i="1"/>
  <c r="DQ86" i="1"/>
  <c r="DY86" i="1"/>
  <c r="DR19" i="1"/>
  <c r="DZ19" i="1"/>
  <c r="DU25" i="1"/>
  <c r="EC25" i="1"/>
  <c r="DP9" i="1"/>
  <c r="DX9" i="1"/>
  <c r="DV3" i="1"/>
  <c r="ED3" i="1"/>
  <c r="DW39" i="1"/>
  <c r="EE39" i="1"/>
  <c r="DW75" i="1"/>
  <c r="EE75" i="1"/>
  <c r="DV14" i="1"/>
  <c r="ED14" i="1"/>
  <c r="DQ20" i="1"/>
  <c r="DY20" i="1"/>
  <c r="DP37" i="1"/>
  <c r="DX37" i="1"/>
  <c r="DP55" i="1"/>
  <c r="DX55" i="1"/>
  <c r="DP73" i="1"/>
  <c r="DX73" i="1"/>
  <c r="DR27" i="1"/>
  <c r="DZ27" i="1"/>
  <c r="DR49" i="1"/>
  <c r="DZ49" i="1"/>
  <c r="DU86" i="1"/>
  <c r="EC86" i="1"/>
  <c r="DQ52" i="1"/>
  <c r="DY52" i="1"/>
  <c r="DR88" i="1"/>
  <c r="DZ88" i="1"/>
  <c r="DT97" i="1"/>
  <c r="EB97" i="1"/>
  <c r="DV73" i="1"/>
  <c r="ED73" i="1"/>
  <c r="DV18" i="1"/>
  <c r="ED18" i="1"/>
  <c r="DP100" i="1"/>
  <c r="DX100" i="1"/>
  <c r="DU4" i="1"/>
  <c r="EC4" i="1"/>
  <c r="DW16" i="1"/>
  <c r="EE16" i="1"/>
  <c r="DQ28" i="1"/>
  <c r="DY28" i="1"/>
  <c r="DQ39" i="1"/>
  <c r="DY39" i="1"/>
  <c r="DQ75" i="1"/>
  <c r="DY75" i="1"/>
  <c r="DT29" i="1"/>
  <c r="EB29" i="1"/>
  <c r="DP15" i="1"/>
  <c r="DX15" i="1"/>
  <c r="DS19" i="1"/>
  <c r="EA19" i="1"/>
  <c r="DW6" i="1"/>
  <c r="EE6" i="1"/>
  <c r="DS12" i="1"/>
  <c r="EA12" i="1"/>
  <c r="DW24" i="1"/>
  <c r="EE24" i="1"/>
  <c r="DS30" i="1"/>
  <c r="EA30" i="1"/>
  <c r="DW20" i="1"/>
  <c r="EE20" i="1"/>
  <c r="DU51" i="1"/>
  <c r="EC51" i="1"/>
  <c r="DU87" i="1"/>
  <c r="EC87" i="1"/>
  <c r="DQ19" i="1"/>
  <c r="DY19" i="1"/>
  <c r="DT25" i="1"/>
  <c r="EB25" i="1"/>
  <c r="DR50" i="1"/>
  <c r="DZ50" i="1"/>
  <c r="DR86" i="1"/>
  <c r="DZ86" i="1"/>
  <c r="DU3" i="1"/>
  <c r="EC3" i="1"/>
  <c r="DU14" i="1"/>
  <c r="EC14" i="1"/>
  <c r="DP20" i="1"/>
  <c r="DX20" i="1"/>
  <c r="DT38" i="1"/>
  <c r="EB38" i="1"/>
  <c r="DT74" i="1"/>
  <c r="EB74" i="1"/>
  <c r="DQ27" i="1"/>
  <c r="DY27" i="1"/>
  <c r="DV74" i="1"/>
  <c r="ED74" i="1"/>
  <c r="DQ61" i="1"/>
  <c r="DY61" i="1"/>
  <c r="DR97" i="1"/>
  <c r="DZ97" i="1"/>
  <c r="DV62" i="1"/>
  <c r="ED62" i="1"/>
  <c r="DY22" i="1"/>
  <c r="DW73" i="1"/>
  <c r="EE73" i="1"/>
  <c r="DP3" i="1"/>
  <c r="DX3" i="1"/>
  <c r="DP64" i="1"/>
  <c r="DX64" i="1"/>
  <c r="DQ66" i="1"/>
  <c r="DT75" i="1"/>
  <c r="EB75" i="1"/>
  <c r="DT2" i="1"/>
  <c r="DT4" i="1"/>
  <c r="EB4" i="1"/>
  <c r="DV16" i="1"/>
  <c r="ED16" i="1"/>
  <c r="DP28" i="1"/>
  <c r="DX28" i="1"/>
  <c r="DT49" i="1"/>
  <c r="EB49" i="1"/>
  <c r="DT85" i="1"/>
  <c r="EB85" i="1"/>
  <c r="DU40" i="1"/>
  <c r="EC40" i="1"/>
  <c r="DU76" i="1"/>
  <c r="EC76" i="1"/>
  <c r="DV11" i="1"/>
  <c r="ED11" i="1"/>
  <c r="DS29" i="1"/>
  <c r="EA29" i="1"/>
  <c r="DV85" i="1"/>
  <c r="ED85" i="1"/>
  <c r="DW31" i="1"/>
  <c r="EE31" i="1"/>
  <c r="DW85" i="1"/>
  <c r="EE85" i="1"/>
  <c r="DV6" i="1"/>
  <c r="ED6" i="1"/>
  <c r="DR12" i="1"/>
  <c r="DZ12" i="1"/>
  <c r="DV24" i="1"/>
  <c r="ED24" i="1"/>
  <c r="DR30" i="1"/>
  <c r="DZ30" i="1"/>
  <c r="DP50" i="1"/>
  <c r="DX50" i="1"/>
  <c r="DP86" i="1"/>
  <c r="DX86" i="1"/>
  <c r="DP19" i="1"/>
  <c r="DX19" i="1"/>
  <c r="DV51" i="1"/>
  <c r="ED51" i="1"/>
  <c r="DV87" i="1"/>
  <c r="ED87" i="1"/>
  <c r="DT3" i="1"/>
  <c r="EB3" i="1"/>
  <c r="DT14" i="1"/>
  <c r="EB14" i="1"/>
  <c r="DV26" i="1"/>
  <c r="ED26" i="1"/>
  <c r="DP40" i="1"/>
  <c r="DX40" i="1"/>
  <c r="DP76" i="1"/>
  <c r="DX76" i="1"/>
  <c r="DP27" i="1"/>
  <c r="DX27" i="1"/>
  <c r="DU38" i="1"/>
  <c r="EC38" i="1"/>
  <c r="DQ37" i="1"/>
  <c r="DY37" i="1"/>
  <c r="DT28" i="1"/>
  <c r="EB28" i="1"/>
  <c r="DV37" i="1"/>
  <c r="ED37" i="1"/>
  <c r="DR6" i="1"/>
  <c r="DZ6" i="1"/>
  <c r="DV75" i="1"/>
  <c r="ED75" i="1"/>
  <c r="DT64" i="1"/>
  <c r="EB64" i="1"/>
  <c r="DR75" i="1"/>
  <c r="DZ75" i="1"/>
  <c r="DQ67" i="1"/>
  <c r="DR10" i="1"/>
  <c r="DZ10" i="1"/>
  <c r="DU16" i="1"/>
  <c r="EC16" i="1"/>
  <c r="DW28" i="1"/>
  <c r="EE28" i="1"/>
  <c r="DT52" i="1"/>
  <c r="EB52" i="1"/>
  <c r="DT88" i="1"/>
  <c r="EB88" i="1"/>
  <c r="DU11" i="1"/>
  <c r="EC11" i="1"/>
  <c r="DR29" i="1"/>
  <c r="DZ29" i="1"/>
  <c r="DR51" i="1"/>
  <c r="DZ51" i="1"/>
  <c r="DR87" i="1"/>
  <c r="DZ87" i="1"/>
  <c r="DS51" i="1"/>
  <c r="EA51" i="1"/>
  <c r="DS87" i="1"/>
  <c r="EA87" i="1"/>
  <c r="DU6" i="1"/>
  <c r="EC6" i="1"/>
  <c r="DQ12" i="1"/>
  <c r="DY12" i="1"/>
  <c r="DU24" i="1"/>
  <c r="EC24" i="1"/>
  <c r="DQ30" i="1"/>
  <c r="DY30" i="1"/>
  <c r="DT51" i="1"/>
  <c r="EB51" i="1"/>
  <c r="DT87" i="1"/>
  <c r="EB87" i="1"/>
  <c r="DW19" i="1"/>
  <c r="EE19" i="1"/>
  <c r="DS3" i="1"/>
  <c r="EA3" i="1"/>
  <c r="DS62" i="1"/>
  <c r="EA62" i="1"/>
  <c r="DS98" i="1"/>
  <c r="EA98" i="1"/>
  <c r="DS14" i="1"/>
  <c r="EA14" i="1"/>
  <c r="DU26" i="1"/>
  <c r="EC26" i="1"/>
  <c r="DR76" i="1"/>
  <c r="DZ76" i="1"/>
  <c r="DQ46" i="1"/>
  <c r="DW10" i="1"/>
  <c r="EE10" i="1"/>
  <c r="DW15" i="1"/>
  <c r="EE15" i="1"/>
  <c r="DR26" i="1"/>
  <c r="DZ26" i="1"/>
  <c r="DS39" i="1"/>
  <c r="EA39" i="1"/>
  <c r="DQ10" i="1"/>
  <c r="DY10" i="1"/>
  <c r="DT16" i="1"/>
  <c r="EB16" i="1"/>
  <c r="DV28" i="1"/>
  <c r="ED28" i="1"/>
  <c r="DT55" i="1"/>
  <c r="EB55" i="1"/>
  <c r="DU61" i="1"/>
  <c r="EC61" i="1"/>
  <c r="DU97" i="1"/>
  <c r="EC97" i="1"/>
  <c r="DT11" i="1"/>
  <c r="EB11" i="1"/>
  <c r="DQ29" i="1"/>
  <c r="DY29" i="1"/>
  <c r="DV52" i="1"/>
  <c r="ED52" i="1"/>
  <c r="DV88" i="1"/>
  <c r="ED88" i="1"/>
  <c r="DW52" i="1"/>
  <c r="EE52" i="1"/>
  <c r="DW88" i="1"/>
  <c r="EE88" i="1"/>
  <c r="DT6" i="1"/>
  <c r="EB6" i="1"/>
  <c r="DP12" i="1"/>
  <c r="DX12" i="1"/>
  <c r="DT24" i="1"/>
  <c r="EB24" i="1"/>
  <c r="DP30" i="1"/>
  <c r="DX30" i="1"/>
  <c r="DX53" i="1"/>
  <c r="DQ38" i="1"/>
  <c r="DY38" i="1"/>
  <c r="DQ74" i="1"/>
  <c r="DY74" i="1"/>
  <c r="DV19" i="1"/>
  <c r="ED19" i="1"/>
  <c r="DR3" i="1"/>
  <c r="DZ3" i="1"/>
  <c r="DW63" i="1"/>
  <c r="EE63" i="1"/>
  <c r="DW99" i="1"/>
  <c r="EE99" i="1"/>
  <c r="DR14" i="1"/>
  <c r="DZ14" i="1"/>
  <c r="DT26" i="1"/>
  <c r="EB26" i="1"/>
  <c r="DP61" i="1"/>
  <c r="DX61" i="1"/>
  <c r="DP97" i="1"/>
  <c r="DX97" i="1"/>
  <c r="DQ40" i="1"/>
  <c r="DY40" i="1"/>
  <c r="DR85" i="1"/>
  <c r="DZ85" i="1"/>
  <c r="DV50" i="1"/>
  <c r="ED50" i="1"/>
  <c r="DQ88" i="1"/>
  <c r="DY88" i="1"/>
  <c r="DQ55" i="1"/>
  <c r="DY55" i="1"/>
  <c r="DP38" i="1"/>
  <c r="DX38" i="1"/>
  <c r="DV9" i="1"/>
  <c r="ED9" i="1"/>
  <c r="DP14" i="1"/>
  <c r="DX14" i="1"/>
  <c r="DQ73" i="1"/>
  <c r="DY73" i="1"/>
  <c r="DV10" i="1"/>
  <c r="ED10" i="1"/>
  <c r="DV15" i="1"/>
  <c r="ED15" i="1"/>
  <c r="DP10" i="1"/>
  <c r="DX10" i="1"/>
  <c r="DU28" i="1"/>
  <c r="EC28" i="1"/>
  <c r="DQ63" i="1"/>
  <c r="DY63" i="1"/>
  <c r="DQ81" i="1"/>
  <c r="DQ99" i="1"/>
  <c r="DY99" i="1"/>
  <c r="DS11" i="1"/>
  <c r="EA11" i="1"/>
  <c r="DP29" i="1"/>
  <c r="DX29" i="1"/>
  <c r="DS6" i="1"/>
  <c r="EA6" i="1"/>
  <c r="DW18" i="1"/>
  <c r="EE18" i="1"/>
  <c r="DS24" i="1"/>
  <c r="EA24" i="1"/>
  <c r="DW21" i="1"/>
  <c r="EE21" i="1"/>
  <c r="DT36" i="1"/>
  <c r="EB36" i="1"/>
  <c r="DU39" i="1"/>
  <c r="EC39" i="1"/>
  <c r="DU75" i="1"/>
  <c r="EC75" i="1"/>
  <c r="DR13" i="1"/>
  <c r="DZ13" i="1"/>
  <c r="DU19" i="1"/>
  <c r="EC19" i="1"/>
  <c r="DW9" i="1"/>
  <c r="EE9" i="1"/>
  <c r="DR38" i="1"/>
  <c r="DZ38" i="1"/>
  <c r="DR74" i="1"/>
  <c r="DZ74" i="1"/>
  <c r="DQ3" i="1"/>
  <c r="DY3" i="1"/>
  <c r="DQ14" i="1"/>
  <c r="DY14" i="1"/>
  <c r="DS26" i="1"/>
  <c r="EA26" i="1"/>
  <c r="DT62" i="1"/>
  <c r="EB62" i="1"/>
  <c r="DT98" i="1"/>
  <c r="EB98" i="1"/>
  <c r="DQ49" i="1"/>
  <c r="DY49" i="1"/>
  <c r="DQ97" i="1"/>
  <c r="DY97" i="1"/>
  <c r="DU62" i="1"/>
  <c r="EC62" i="1"/>
  <c r="DV98" i="1"/>
  <c r="ED98" i="1"/>
  <c r="DQ64" i="1"/>
  <c r="DY64" i="1"/>
  <c r="H12" i="7" l="1"/>
  <c r="G12" i="7"/>
  <c r="I12" i="7"/>
  <c r="J12" i="7"/>
  <c r="C12" i="7"/>
  <c r="D12" i="7"/>
  <c r="E12" i="7"/>
  <c r="DV2" i="1"/>
  <c r="AU58" i="1"/>
  <c r="AM58" i="1"/>
  <c r="AW90" i="1"/>
  <c r="AO90" i="1"/>
  <c r="AV8" i="1"/>
  <c r="AN8" i="1"/>
  <c r="AT15" i="1"/>
  <c r="AL15" i="1"/>
  <c r="AP60" i="1"/>
  <c r="AH60" i="1"/>
  <c r="AP5" i="1"/>
  <c r="AH5" i="1"/>
  <c r="AU54" i="1"/>
  <c r="AM54" i="1"/>
  <c r="AQ32" i="1"/>
  <c r="AI32" i="1"/>
  <c r="AI29" i="1"/>
  <c r="AQ29" i="1"/>
  <c r="AW69" i="1"/>
  <c r="AO69" i="1"/>
  <c r="AK88" i="1"/>
  <c r="AS88" i="1"/>
  <c r="AO86" i="1"/>
  <c r="AW86" i="1"/>
  <c r="AT54" i="1"/>
  <c r="AL54" i="1"/>
  <c r="AU45" i="1"/>
  <c r="AM45" i="1"/>
  <c r="AS22" i="1"/>
  <c r="AK22" i="1"/>
  <c r="AU87" i="1"/>
  <c r="AM87" i="1"/>
  <c r="AH29" i="1"/>
  <c r="AP29" i="1"/>
  <c r="AR79" i="1"/>
  <c r="AJ79" i="1"/>
  <c r="AQ2" i="1"/>
  <c r="AI2" i="1"/>
  <c r="AP28" i="1"/>
  <c r="AH28" i="1"/>
  <c r="AU4" i="1"/>
  <c r="AM4" i="1"/>
  <c r="AP23" i="1"/>
  <c r="AH23" i="1"/>
  <c r="AV40" i="1"/>
  <c r="AN40" i="1"/>
  <c r="AS53" i="1"/>
  <c r="AK53" i="1"/>
  <c r="AT58" i="1"/>
  <c r="AL58" i="1"/>
  <c r="AP52" i="1"/>
  <c r="AH52" i="1"/>
  <c r="DX2" i="1"/>
  <c r="AR21" i="1"/>
  <c r="AJ21" i="1"/>
  <c r="AW73" i="1"/>
  <c r="AO73" i="1"/>
  <c r="AP30" i="1"/>
  <c r="AH30" i="1"/>
  <c r="AH9" i="1"/>
  <c r="AP9" i="1"/>
  <c r="AT66" i="1"/>
  <c r="AL66" i="1"/>
  <c r="AR80" i="1"/>
  <c r="AJ80" i="1"/>
  <c r="AV18" i="1"/>
  <c r="AN18" i="1"/>
  <c r="AT47" i="1"/>
  <c r="AL47" i="1"/>
  <c r="AT7" i="1"/>
  <c r="AL7" i="1"/>
  <c r="AW64" i="1"/>
  <c r="AO64" i="1"/>
  <c r="AT39" i="1"/>
  <c r="AL39" i="1"/>
  <c r="AQ91" i="1"/>
  <c r="AI91" i="1"/>
  <c r="AW84" i="1"/>
  <c r="AO84" i="1"/>
  <c r="AV6" i="1"/>
  <c r="AN6" i="1"/>
  <c r="AI21" i="1"/>
  <c r="AQ21" i="1"/>
  <c r="AV73" i="1"/>
  <c r="AN73" i="1"/>
  <c r="AO12" i="1"/>
  <c r="AW12" i="1"/>
  <c r="AK67" i="1"/>
  <c r="AS67" i="1"/>
  <c r="AW5" i="1"/>
  <c r="AO5" i="1"/>
  <c r="AS13" i="1"/>
  <c r="AK13" i="1"/>
  <c r="AP32" i="1"/>
  <c r="AH32" i="1"/>
  <c r="AT74" i="1"/>
  <c r="AL74" i="1"/>
  <c r="AU78" i="1"/>
  <c r="AM78" i="1"/>
  <c r="AV26" i="1"/>
  <c r="AN26" i="1"/>
  <c r="AV84" i="1"/>
  <c r="AN84" i="1"/>
  <c r="AU6" i="1"/>
  <c r="AM6" i="1"/>
  <c r="AU31" i="1"/>
  <c r="AM31" i="1"/>
  <c r="AK65" i="1"/>
  <c r="AS65" i="1"/>
  <c r="AL82" i="1"/>
  <c r="AT82" i="1"/>
  <c r="AW19" i="1"/>
  <c r="AO19" i="1"/>
  <c r="AQ99" i="1"/>
  <c r="AI99" i="1"/>
  <c r="AN85" i="1"/>
  <c r="AV85" i="1"/>
  <c r="AV10" i="1"/>
  <c r="AN10" i="1"/>
  <c r="AU20" i="1"/>
  <c r="AM20" i="1"/>
  <c r="AK33" i="1"/>
  <c r="AS33" i="1"/>
  <c r="AQ79" i="1"/>
  <c r="AI79" i="1"/>
  <c r="AM72" i="1"/>
  <c r="AU72" i="1"/>
  <c r="AJ34" i="1"/>
  <c r="AR34" i="1"/>
  <c r="AU11" i="1"/>
  <c r="AM11" i="1"/>
  <c r="AT3" i="1"/>
  <c r="AL3" i="1"/>
  <c r="AU18" i="1"/>
  <c r="AM18" i="1"/>
  <c r="AW48" i="1"/>
  <c r="AO48" i="1"/>
  <c r="AQ89" i="1"/>
  <c r="AI89" i="1"/>
  <c r="AT4" i="1"/>
  <c r="AL4" i="1"/>
  <c r="AS59" i="1"/>
  <c r="AK59" i="1"/>
  <c r="AT53" i="1"/>
  <c r="AL53" i="1"/>
  <c r="AV70" i="1"/>
  <c r="AN70" i="1"/>
  <c r="AN27" i="1"/>
  <c r="AV27" i="1"/>
  <c r="AW63" i="1"/>
  <c r="AO63" i="1"/>
  <c r="AU77" i="1"/>
  <c r="AM77" i="1"/>
  <c r="AQ23" i="1"/>
  <c r="AI23" i="1"/>
  <c r="AQ92" i="1"/>
  <c r="AI92" i="1"/>
  <c r="AO40" i="1"/>
  <c r="AW40" i="1"/>
  <c r="AS44" i="1"/>
  <c r="AK44" i="1"/>
  <c r="AK61" i="1"/>
  <c r="AS61" i="1"/>
  <c r="AT13" i="1"/>
  <c r="AL13" i="1"/>
  <c r="AQ55" i="1"/>
  <c r="AI55" i="1"/>
  <c r="AQ52" i="1"/>
  <c r="AI52" i="1"/>
  <c r="AT31" i="1"/>
  <c r="AL31" i="1"/>
  <c r="AR65" i="1"/>
  <c r="AJ65" i="1"/>
  <c r="AS57" i="1"/>
  <c r="AK57" i="1"/>
  <c r="AS66" i="1"/>
  <c r="AK66" i="1"/>
  <c r="AP80" i="1"/>
  <c r="AH80" i="1"/>
  <c r="AU70" i="1"/>
  <c r="AM70" i="1"/>
  <c r="AK47" i="1"/>
  <c r="AS47" i="1"/>
  <c r="AV64" i="1"/>
  <c r="AN64" i="1"/>
  <c r="AM27" i="1"/>
  <c r="AU27" i="1"/>
  <c r="AV71" i="1"/>
  <c r="AN71" i="1"/>
  <c r="AU69" i="1"/>
  <c r="AM69" i="1"/>
  <c r="AW17" i="1"/>
  <c r="AO17" i="1"/>
  <c r="AT57" i="1"/>
  <c r="AL57" i="1"/>
  <c r="AH36" i="1"/>
  <c r="AP36" i="1"/>
  <c r="AU3" i="1"/>
  <c r="AM3" i="1"/>
  <c r="AU83" i="1"/>
  <c r="AM83" i="1"/>
  <c r="AN45" i="1"/>
  <c r="AV45" i="1"/>
  <c r="AT22" i="1"/>
  <c r="AL22" i="1"/>
  <c r="AW41" i="1"/>
  <c r="AO41" i="1"/>
  <c r="AV77" i="1"/>
  <c r="AN77" i="1"/>
  <c r="AV90" i="1"/>
  <c r="AN90" i="1"/>
  <c r="AU8" i="1"/>
  <c r="AM8" i="1"/>
  <c r="AR59" i="1"/>
  <c r="AJ59" i="1"/>
  <c r="AV19" i="1"/>
  <c r="AN19" i="1"/>
  <c r="AP99" i="1"/>
  <c r="AH99" i="1"/>
  <c r="AU85" i="1"/>
  <c r="AM85" i="1"/>
  <c r="AU10" i="1"/>
  <c r="AM10" i="1"/>
  <c r="AN20" i="1"/>
  <c r="AV20" i="1"/>
  <c r="AP56" i="1"/>
  <c r="AH56" i="1"/>
  <c r="AS23" i="1"/>
  <c r="AK23" i="1"/>
  <c r="AS46" i="1"/>
  <c r="AK46" i="1"/>
  <c r="AU74" i="1"/>
  <c r="AM74" i="1"/>
  <c r="AT89" i="1"/>
  <c r="AL89" i="1"/>
  <c r="AS16" i="1"/>
  <c r="AK16" i="1"/>
  <c r="AP68" i="1"/>
  <c r="AH68" i="1"/>
  <c r="AS49" i="1"/>
  <c r="AK49" i="1"/>
  <c r="AQ56" i="1"/>
  <c r="AI56" i="1"/>
  <c r="AU71" i="1"/>
  <c r="AM71" i="1"/>
  <c r="AS92" i="1"/>
  <c r="AK92" i="1"/>
  <c r="AS15" i="1"/>
  <c r="AK15" i="1"/>
  <c r="AR44" i="1"/>
  <c r="AJ44" i="1"/>
  <c r="AW28" i="1"/>
  <c r="AO28" i="1"/>
  <c r="AI83" i="1"/>
  <c r="AQ83" i="1"/>
  <c r="AP55" i="1"/>
  <c r="AH55" i="1"/>
  <c r="AS7" i="1"/>
  <c r="AK7" i="1"/>
  <c r="AS39" i="1"/>
  <c r="AK39" i="1"/>
  <c r="AW91" i="1"/>
  <c r="AO91" i="1"/>
  <c r="AR33" i="1"/>
  <c r="AJ33" i="1"/>
  <c r="AT71" i="1"/>
  <c r="AL71" i="1"/>
  <c r="AW23" i="1"/>
  <c r="AO23" i="1"/>
  <c r="AT90" i="1"/>
  <c r="AL90" i="1"/>
  <c r="AH21" i="1"/>
  <c r="AP21" i="1"/>
  <c r="AP79" i="1"/>
  <c r="AH79" i="1"/>
  <c r="AS31" i="1"/>
  <c r="AK31" i="1"/>
  <c r="AV69" i="1"/>
  <c r="AN69" i="1"/>
  <c r="AJ92" i="1"/>
  <c r="AR92" i="1"/>
  <c r="AT8" i="1"/>
  <c r="AL8" i="1"/>
  <c r="AM73" i="1"/>
  <c r="AU73" i="1"/>
  <c r="AW72" i="1"/>
  <c r="AO72" i="1"/>
  <c r="AQ65" i="1"/>
  <c r="AI65" i="1"/>
  <c r="AJ88" i="1"/>
  <c r="AR88" i="1"/>
  <c r="AU40" i="1"/>
  <c r="AM40" i="1"/>
  <c r="AN63" i="1"/>
  <c r="AV63" i="1"/>
  <c r="AR15" i="1"/>
  <c r="AJ15" i="1"/>
  <c r="AV12" i="1"/>
  <c r="AN12" i="1"/>
  <c r="AQ59" i="1"/>
  <c r="AI59" i="1"/>
  <c r="AQ34" i="1"/>
  <c r="AI34" i="1"/>
  <c r="AJ57" i="1"/>
  <c r="AR57" i="1"/>
  <c r="AV86" i="1"/>
  <c r="AN86" i="1"/>
  <c r="AI44" i="1"/>
  <c r="AQ44" i="1"/>
  <c r="AR67" i="1"/>
  <c r="AJ67" i="1"/>
  <c r="AM19" i="1"/>
  <c r="AU19" i="1"/>
  <c r="AV11" i="1"/>
  <c r="AN11" i="1"/>
  <c r="AR66" i="1"/>
  <c r="AJ66" i="1"/>
  <c r="AW42" i="1"/>
  <c r="AO42" i="1"/>
  <c r="AR53" i="1"/>
  <c r="AJ53" i="1"/>
  <c r="AQ76" i="1"/>
  <c r="AI76" i="1"/>
  <c r="AV28" i="1"/>
  <c r="AN28" i="1"/>
  <c r="AW51" i="1"/>
  <c r="AO51" i="1"/>
  <c r="AS3" i="1"/>
  <c r="AK3" i="1"/>
  <c r="AU38" i="1"/>
  <c r="AM38" i="1"/>
  <c r="AS54" i="1"/>
  <c r="AK54" i="1"/>
  <c r="AO83" i="1"/>
  <c r="AW83" i="1"/>
  <c r="AT85" i="1"/>
  <c r="AL85" i="1"/>
  <c r="AT18" i="1"/>
  <c r="AL18" i="1"/>
  <c r="AT70" i="1"/>
  <c r="AL70" i="1"/>
  <c r="AT45" i="1"/>
  <c r="AL45" i="1"/>
  <c r="AW32" i="1"/>
  <c r="AO32" i="1"/>
  <c r="AW55" i="1"/>
  <c r="AO55" i="1"/>
  <c r="AT10" i="1"/>
  <c r="AL10" i="1"/>
  <c r="AN48" i="1"/>
  <c r="AV48" i="1"/>
  <c r="AR47" i="1"/>
  <c r="AJ47" i="1"/>
  <c r="AU96" i="1"/>
  <c r="AM96" i="1"/>
  <c r="AQ74" i="1"/>
  <c r="AI74" i="1"/>
  <c r="AT20" i="1"/>
  <c r="AL20" i="1"/>
  <c r="AS89" i="1"/>
  <c r="AK89" i="1"/>
  <c r="AW78" i="1"/>
  <c r="AO78" i="1"/>
  <c r="AU64" i="1"/>
  <c r="AM64" i="1"/>
  <c r="AW87" i="1"/>
  <c r="AO87" i="1"/>
  <c r="AJ39" i="1"/>
  <c r="AR39" i="1"/>
  <c r="AU26" i="1"/>
  <c r="AM26" i="1"/>
  <c r="AV91" i="1"/>
  <c r="AN91" i="1"/>
  <c r="AT84" i="1"/>
  <c r="AL84" i="1"/>
  <c r="AK58" i="1"/>
  <c r="AS58" i="1"/>
  <c r="AL77" i="1"/>
  <c r="AT77" i="1"/>
  <c r="AW29" i="1"/>
  <c r="AO29" i="1"/>
  <c r="AW52" i="1"/>
  <c r="AO52" i="1"/>
  <c r="AS4" i="1"/>
  <c r="AK4" i="1"/>
  <c r="AT27" i="1"/>
  <c r="AL27" i="1"/>
  <c r="AO56" i="1"/>
  <c r="AW56" i="1"/>
  <c r="AL6" i="1"/>
  <c r="AT6" i="1"/>
  <c r="AQ33" i="1"/>
  <c r="AI33" i="1"/>
  <c r="AQ71" i="1"/>
  <c r="AI71" i="1"/>
  <c r="AR46" i="1"/>
  <c r="AJ46" i="1"/>
  <c r="AS90" i="1"/>
  <c r="AK90" i="1"/>
  <c r="AI98" i="1"/>
  <c r="AQ98" i="1"/>
  <c r="AW79" i="1"/>
  <c r="AO79" i="1"/>
  <c r="AT69" i="1"/>
  <c r="AL69" i="1"/>
  <c r="AP92" i="1"/>
  <c r="AH92" i="1"/>
  <c r="AS8" i="1"/>
  <c r="AK8" i="1"/>
  <c r="AT73" i="1"/>
  <c r="AL73" i="1"/>
  <c r="AV72" i="1"/>
  <c r="AN72" i="1"/>
  <c r="AP65" i="1"/>
  <c r="AH65" i="1"/>
  <c r="AQ88" i="1"/>
  <c r="AI88" i="1"/>
  <c r="AT40" i="1"/>
  <c r="AL40" i="1"/>
  <c r="AU63" i="1"/>
  <c r="AM63" i="1"/>
  <c r="AQ15" i="1"/>
  <c r="AI15" i="1"/>
  <c r="AU12" i="1"/>
  <c r="AM12" i="1"/>
  <c r="AP59" i="1"/>
  <c r="AH59" i="1"/>
  <c r="AH34" i="1"/>
  <c r="AP34" i="1"/>
  <c r="AQ57" i="1"/>
  <c r="AI57" i="1"/>
  <c r="AM86" i="1"/>
  <c r="AU86" i="1"/>
  <c r="AP44" i="1"/>
  <c r="AH44" i="1"/>
  <c r="AQ67" i="1"/>
  <c r="AI67" i="1"/>
  <c r="AL19" i="1"/>
  <c r="AT19" i="1"/>
  <c r="AT11" i="1"/>
  <c r="AL11" i="1"/>
  <c r="AI66" i="1"/>
  <c r="AQ66" i="1"/>
  <c r="AV42" i="1"/>
  <c r="AN42" i="1"/>
  <c r="AQ53" i="1"/>
  <c r="AI53" i="1"/>
  <c r="AR76" i="1"/>
  <c r="AJ76" i="1"/>
  <c r="AM28" i="1"/>
  <c r="AU28" i="1"/>
  <c r="AV51" i="1"/>
  <c r="AN51" i="1"/>
  <c r="AJ3" i="1"/>
  <c r="AR3" i="1"/>
  <c r="AV38" i="1"/>
  <c r="AN38" i="1"/>
  <c r="AR54" i="1"/>
  <c r="AJ54" i="1"/>
  <c r="AV35" i="1"/>
  <c r="AN35" i="1"/>
  <c r="AV83" i="1"/>
  <c r="AN83" i="1"/>
  <c r="AO95" i="1"/>
  <c r="AW95" i="1"/>
  <c r="AS18" i="1"/>
  <c r="AK18" i="1"/>
  <c r="AU93" i="1"/>
  <c r="AM93" i="1"/>
  <c r="AS45" i="1"/>
  <c r="AK45" i="1"/>
  <c r="AK97" i="1"/>
  <c r="AS97" i="1"/>
  <c r="AV55" i="1"/>
  <c r="AN55" i="1"/>
  <c r="AS10" i="1"/>
  <c r="AK10" i="1"/>
  <c r="AU48" i="1"/>
  <c r="AM48" i="1"/>
  <c r="AQ47" i="1"/>
  <c r="AI47" i="1"/>
  <c r="AW96" i="1"/>
  <c r="AO96" i="1"/>
  <c r="AS74" i="1"/>
  <c r="AK74" i="1"/>
  <c r="AK20" i="1"/>
  <c r="AS20" i="1"/>
  <c r="AR89" i="1"/>
  <c r="AJ89" i="1"/>
  <c r="AV78" i="1"/>
  <c r="AN78" i="1"/>
  <c r="AT64" i="1"/>
  <c r="AL64" i="1"/>
  <c r="AV87" i="1"/>
  <c r="AN87" i="1"/>
  <c r="AQ39" i="1"/>
  <c r="AI39" i="1"/>
  <c r="AT26" i="1"/>
  <c r="AL26" i="1"/>
  <c r="AM91" i="1"/>
  <c r="AU91" i="1"/>
  <c r="AU81" i="1"/>
  <c r="AM81" i="1"/>
  <c r="AS84" i="1"/>
  <c r="AK84" i="1"/>
  <c r="AR37" i="1"/>
  <c r="AJ37" i="1"/>
  <c r="AQ77" i="1"/>
  <c r="AI77" i="1"/>
  <c r="AK100" i="1"/>
  <c r="AS100" i="1"/>
  <c r="AV52" i="1"/>
  <c r="AN52" i="1"/>
  <c r="AU75" i="1"/>
  <c r="AM75" i="1"/>
  <c r="AS27" i="1"/>
  <c r="AK27" i="1"/>
  <c r="AV14" i="1"/>
  <c r="AN14" i="1"/>
  <c r="AK6" i="1"/>
  <c r="AS6" i="1"/>
  <c r="AP33" i="1"/>
  <c r="AH33" i="1"/>
  <c r="AS71" i="1"/>
  <c r="AK71" i="1"/>
  <c r="AQ46" i="1"/>
  <c r="AI46" i="1"/>
  <c r="AR90" i="1"/>
  <c r="AJ90" i="1"/>
  <c r="AO98" i="1"/>
  <c r="AW98" i="1"/>
  <c r="AV79" i="1"/>
  <c r="AN79" i="1"/>
  <c r="AR94" i="1"/>
  <c r="AJ94" i="1"/>
  <c r="AS69" i="1"/>
  <c r="AK69" i="1"/>
  <c r="AV50" i="1"/>
  <c r="AN50" i="1"/>
  <c r="AR8" i="1"/>
  <c r="AJ8" i="1"/>
  <c r="AJ25" i="1"/>
  <c r="AR25" i="1"/>
  <c r="AT72" i="1"/>
  <c r="AL72" i="1"/>
  <c r="AO65" i="1"/>
  <c r="AW65" i="1"/>
  <c r="AH88" i="1"/>
  <c r="AP88" i="1"/>
  <c r="AS40" i="1"/>
  <c r="AK40" i="1"/>
  <c r="AL63" i="1"/>
  <c r="AT63" i="1"/>
  <c r="AP15" i="1"/>
  <c r="AH15" i="1"/>
  <c r="AT12" i="1"/>
  <c r="AL12" i="1"/>
  <c r="AO59" i="1"/>
  <c r="AW59" i="1"/>
  <c r="AW34" i="1"/>
  <c r="AO34" i="1"/>
  <c r="AP57" i="1"/>
  <c r="AH57" i="1"/>
  <c r="AT86" i="1"/>
  <c r="AL86" i="1"/>
  <c r="AW44" i="1"/>
  <c r="AO44" i="1"/>
  <c r="AH67" i="1"/>
  <c r="AP67" i="1"/>
  <c r="AS19" i="1"/>
  <c r="AK19" i="1"/>
  <c r="AK11" i="1"/>
  <c r="AS11" i="1"/>
  <c r="AP66" i="1"/>
  <c r="AH66" i="1"/>
  <c r="AU42" i="1"/>
  <c r="AM42" i="1"/>
  <c r="AH53" i="1"/>
  <c r="AP53" i="1"/>
  <c r="AP76" i="1"/>
  <c r="AH76" i="1"/>
  <c r="AT28" i="1"/>
  <c r="AL28" i="1"/>
  <c r="AU51" i="1"/>
  <c r="AM51" i="1"/>
  <c r="AI3" i="1"/>
  <c r="AQ3" i="1"/>
  <c r="AT38" i="1"/>
  <c r="AL38" i="1"/>
  <c r="AQ54" i="1"/>
  <c r="AI54" i="1"/>
  <c r="AU35" i="1"/>
  <c r="AM35" i="1"/>
  <c r="AK83" i="1"/>
  <c r="AS83" i="1"/>
  <c r="AV95" i="1"/>
  <c r="AN95" i="1"/>
  <c r="AR18" i="1"/>
  <c r="AJ18" i="1"/>
  <c r="AW93" i="1"/>
  <c r="AO93" i="1"/>
  <c r="AR45" i="1"/>
  <c r="AJ45" i="1"/>
  <c r="AR97" i="1"/>
  <c r="AJ97" i="1"/>
  <c r="AM55" i="1"/>
  <c r="AU55" i="1"/>
  <c r="AR43" i="1"/>
  <c r="AJ43" i="1"/>
  <c r="AT48" i="1"/>
  <c r="AL48" i="1"/>
  <c r="AP47" i="1"/>
  <c r="AH47" i="1"/>
  <c r="AV96" i="1"/>
  <c r="AN96" i="1"/>
  <c r="AR74" i="1"/>
  <c r="AJ74" i="1"/>
  <c r="AW24" i="1"/>
  <c r="AO24" i="1"/>
  <c r="AR20" i="1"/>
  <c r="AJ20" i="1"/>
  <c r="AP89" i="1"/>
  <c r="AH89" i="1"/>
  <c r="AL78" i="1"/>
  <c r="AT78" i="1"/>
  <c r="AK64" i="1"/>
  <c r="AS64" i="1"/>
  <c r="AT87" i="1"/>
  <c r="AL87" i="1"/>
  <c r="AP39" i="1"/>
  <c r="AH39" i="1"/>
  <c r="AS26" i="1"/>
  <c r="AK26" i="1"/>
  <c r="AT91" i="1"/>
  <c r="AL91" i="1"/>
  <c r="AW81" i="1"/>
  <c r="AO81" i="1"/>
  <c r="AR84" i="1"/>
  <c r="AJ84" i="1"/>
  <c r="AQ37" i="1"/>
  <c r="AI37" i="1"/>
  <c r="AS77" i="1"/>
  <c r="AK77" i="1"/>
  <c r="AR100" i="1"/>
  <c r="AJ100" i="1"/>
  <c r="AU52" i="1"/>
  <c r="AM52" i="1"/>
  <c r="AO75" i="1"/>
  <c r="AW75" i="1"/>
  <c r="AR27" i="1"/>
  <c r="AJ27" i="1"/>
  <c r="AM14" i="1"/>
  <c r="AU14" i="1"/>
  <c r="AR6" i="1"/>
  <c r="AJ6" i="1"/>
  <c r="AN62" i="1"/>
  <c r="AV62" i="1"/>
  <c r="AR71" i="1"/>
  <c r="AJ71" i="1"/>
  <c r="AP46" i="1"/>
  <c r="AH46" i="1"/>
  <c r="AQ90" i="1"/>
  <c r="AI90" i="1"/>
  <c r="AV98" i="1"/>
  <c r="AN98" i="1"/>
  <c r="AU79" i="1"/>
  <c r="AM79" i="1"/>
  <c r="AQ94" i="1"/>
  <c r="AI94" i="1"/>
  <c r="AR69" i="1"/>
  <c r="AJ69" i="1"/>
  <c r="AM50" i="1"/>
  <c r="AU50" i="1"/>
  <c r="AI8" i="1"/>
  <c r="AQ8" i="1"/>
  <c r="AQ25" i="1"/>
  <c r="AI25" i="1"/>
  <c r="AS72" i="1"/>
  <c r="AK72" i="1"/>
  <c r="AN17" i="1"/>
  <c r="AV17" i="1"/>
  <c r="AW88" i="1"/>
  <c r="AO88" i="1"/>
  <c r="AO30" i="1"/>
  <c r="AW30" i="1"/>
  <c r="AS63" i="1"/>
  <c r="AK63" i="1"/>
  <c r="AV2" i="1"/>
  <c r="AN2" i="1"/>
  <c r="AS12" i="1"/>
  <c r="AK12" i="1"/>
  <c r="AK82" i="1"/>
  <c r="AS82" i="1"/>
  <c r="AV34" i="1"/>
  <c r="AN34" i="1"/>
  <c r="AW9" i="1"/>
  <c r="AO9" i="1"/>
  <c r="AQ86" i="1"/>
  <c r="AI86" i="1"/>
  <c r="AW60" i="1"/>
  <c r="AO60" i="1"/>
  <c r="AW67" i="1"/>
  <c r="AO67" i="1"/>
  <c r="AW36" i="1"/>
  <c r="AO36" i="1"/>
  <c r="AJ11" i="1"/>
  <c r="AR11" i="1"/>
  <c r="AR61" i="1"/>
  <c r="AJ61" i="1"/>
  <c r="AL42" i="1"/>
  <c r="AT42" i="1"/>
  <c r="AO53" i="1"/>
  <c r="AW53" i="1"/>
  <c r="AK76" i="1"/>
  <c r="AS76" i="1"/>
  <c r="AS28" i="1"/>
  <c r="AK28" i="1"/>
  <c r="AT51" i="1"/>
  <c r="AL51" i="1"/>
  <c r="AP3" i="1"/>
  <c r="AH3" i="1"/>
  <c r="AS38" i="1"/>
  <c r="AK38" i="1"/>
  <c r="AH54" i="1"/>
  <c r="AP54" i="1"/>
  <c r="AT35" i="1"/>
  <c r="AL35" i="1"/>
  <c r="AR83" i="1"/>
  <c r="AJ83" i="1"/>
  <c r="AU95" i="1"/>
  <c r="AM95" i="1"/>
  <c r="AQ18" i="1"/>
  <c r="AI18" i="1"/>
  <c r="AV93" i="1"/>
  <c r="AN93" i="1"/>
  <c r="AQ45" i="1"/>
  <c r="AI45" i="1"/>
  <c r="AI97" i="1"/>
  <c r="AQ97" i="1"/>
  <c r="AT55" i="1"/>
  <c r="AL55" i="1"/>
  <c r="AI43" i="1"/>
  <c r="AQ43" i="1"/>
  <c r="AS48" i="1"/>
  <c r="AK48" i="1"/>
  <c r="AW47" i="1"/>
  <c r="AO47" i="1"/>
  <c r="AL96" i="1"/>
  <c r="AT96" i="1"/>
  <c r="AP74" i="1"/>
  <c r="AH74" i="1"/>
  <c r="AV24" i="1"/>
  <c r="AN24" i="1"/>
  <c r="AQ20" i="1"/>
  <c r="AI20" i="1"/>
  <c r="AV41" i="1"/>
  <c r="AN41" i="1"/>
  <c r="AS78" i="1"/>
  <c r="AK78" i="1"/>
  <c r="AJ16" i="1"/>
  <c r="AR16" i="1"/>
  <c r="AK87" i="1"/>
  <c r="AS87" i="1"/>
  <c r="AO68" i="1"/>
  <c r="AW68" i="1"/>
  <c r="AR26" i="1"/>
  <c r="AJ26" i="1"/>
  <c r="AR49" i="1"/>
  <c r="AJ49" i="1"/>
  <c r="AN81" i="1"/>
  <c r="AV81" i="1"/>
  <c r="AQ84" i="1"/>
  <c r="AI84" i="1"/>
  <c r="AP37" i="1"/>
  <c r="AH37" i="1"/>
  <c r="AR77" i="1"/>
  <c r="AJ77" i="1"/>
  <c r="AQ100" i="1"/>
  <c r="AI100" i="1"/>
  <c r="AT52" i="1"/>
  <c r="AL52" i="1"/>
  <c r="AV75" i="1"/>
  <c r="AN75" i="1"/>
  <c r="AQ27" i="1"/>
  <c r="AI27" i="1"/>
  <c r="AL14" i="1"/>
  <c r="AT14" i="1"/>
  <c r="AQ6" i="1"/>
  <c r="AI6" i="1"/>
  <c r="AU62" i="1"/>
  <c r="AM62" i="1"/>
  <c r="AH71" i="1"/>
  <c r="AP71" i="1"/>
  <c r="AW46" i="1"/>
  <c r="AO46" i="1"/>
  <c r="AH90" i="1"/>
  <c r="AP90" i="1"/>
  <c r="AU98" i="1"/>
  <c r="AM98" i="1"/>
  <c r="AT79" i="1"/>
  <c r="AL79" i="1"/>
  <c r="AP94" i="1"/>
  <c r="AH94" i="1"/>
  <c r="AQ69" i="1"/>
  <c r="AI69" i="1"/>
  <c r="AT50" i="1"/>
  <c r="AL50" i="1"/>
  <c r="AH8" i="1"/>
  <c r="AP8" i="1"/>
  <c r="AP25" i="1"/>
  <c r="AH25" i="1"/>
  <c r="AR72" i="1"/>
  <c r="AJ72" i="1"/>
  <c r="AU17" i="1"/>
  <c r="AM17" i="1"/>
  <c r="AV88" i="1"/>
  <c r="AN88" i="1"/>
  <c r="AN30" i="1"/>
  <c r="AV30" i="1"/>
  <c r="AR63" i="1"/>
  <c r="AJ63" i="1"/>
  <c r="AU2" i="1"/>
  <c r="AM2" i="1"/>
  <c r="AR12" i="1"/>
  <c r="AJ12" i="1"/>
  <c r="AR82" i="1"/>
  <c r="AJ82" i="1"/>
  <c r="AU34" i="1"/>
  <c r="AM34" i="1"/>
  <c r="AV9" i="1"/>
  <c r="AN9" i="1"/>
  <c r="AS86" i="1"/>
  <c r="AK86" i="1"/>
  <c r="AV60" i="1"/>
  <c r="AN60" i="1"/>
  <c r="AN67" i="1"/>
  <c r="AV67" i="1"/>
  <c r="AV36" i="1"/>
  <c r="AN36" i="1"/>
  <c r="AQ11" i="1"/>
  <c r="AI11" i="1"/>
  <c r="AI61" i="1"/>
  <c r="AQ61" i="1"/>
  <c r="AS42" i="1"/>
  <c r="AK42" i="1"/>
  <c r="AV5" i="1"/>
  <c r="AN5" i="1"/>
  <c r="AO76" i="1"/>
  <c r="AW76" i="1"/>
  <c r="AU99" i="1"/>
  <c r="AM99" i="1"/>
  <c r="AK51" i="1"/>
  <c r="AS51" i="1"/>
  <c r="AI80" i="1"/>
  <c r="AQ80" i="1"/>
  <c r="AJ38" i="1"/>
  <c r="AR38" i="1"/>
  <c r="AR13" i="1"/>
  <c r="AJ13" i="1"/>
  <c r="AS35" i="1"/>
  <c r="AK35" i="1"/>
  <c r="AP83" i="1"/>
  <c r="AH83" i="1"/>
  <c r="AL95" i="1"/>
  <c r="AT95" i="1"/>
  <c r="AH18" i="1"/>
  <c r="AP18" i="1"/>
  <c r="AT93" i="1"/>
  <c r="AL93" i="1"/>
  <c r="AP45" i="1"/>
  <c r="AH45" i="1"/>
  <c r="AP97" i="1"/>
  <c r="AH97" i="1"/>
  <c r="AK55" i="1"/>
  <c r="AS55" i="1"/>
  <c r="AP43" i="1"/>
  <c r="AH43" i="1"/>
  <c r="AR48" i="1"/>
  <c r="AJ48" i="1"/>
  <c r="AR22" i="1"/>
  <c r="AJ22" i="1"/>
  <c r="AS96" i="1"/>
  <c r="AK96" i="1"/>
  <c r="AR7" i="1"/>
  <c r="AJ7" i="1"/>
  <c r="AU24" i="1"/>
  <c r="AM24" i="1"/>
  <c r="AP20" i="1"/>
  <c r="AH20" i="1"/>
  <c r="AU41" i="1"/>
  <c r="AM41" i="1"/>
  <c r="AJ78" i="1"/>
  <c r="AR78" i="1"/>
  <c r="AI16" i="1"/>
  <c r="AQ16" i="1"/>
  <c r="AR87" i="1"/>
  <c r="AJ87" i="1"/>
  <c r="AV68" i="1"/>
  <c r="AN68" i="1"/>
  <c r="AI26" i="1"/>
  <c r="AQ26" i="1"/>
  <c r="AQ49" i="1"/>
  <c r="AI49" i="1"/>
  <c r="AT81" i="1"/>
  <c r="AL81" i="1"/>
  <c r="AP84" i="1"/>
  <c r="AH84" i="1"/>
  <c r="AW37" i="1"/>
  <c r="AO37" i="1"/>
  <c r="AP77" i="1"/>
  <c r="AH77" i="1"/>
  <c r="AP100" i="1"/>
  <c r="AH100" i="1"/>
  <c r="AK52" i="1"/>
  <c r="AS52" i="1"/>
  <c r="AT75" i="1"/>
  <c r="AL75" i="1"/>
  <c r="AH27" i="1"/>
  <c r="AP27" i="1"/>
  <c r="AS14" i="1"/>
  <c r="AK14" i="1"/>
  <c r="AP6" i="1"/>
  <c r="AH6" i="1"/>
  <c r="AT62" i="1"/>
  <c r="AL62" i="1"/>
  <c r="AV23" i="1"/>
  <c r="AN23" i="1"/>
  <c r="AV46" i="1"/>
  <c r="AN46" i="1"/>
  <c r="AW21" i="1"/>
  <c r="AO21" i="1"/>
  <c r="AT98" i="1"/>
  <c r="AL98" i="1"/>
  <c r="AR31" i="1"/>
  <c r="AJ31" i="1"/>
  <c r="AK94" i="1"/>
  <c r="AS94" i="1"/>
  <c r="AP69" i="1"/>
  <c r="AH69" i="1"/>
  <c r="AS50" i="1"/>
  <c r="AK50" i="1"/>
  <c r="AW8" i="1"/>
  <c r="AO8" i="1"/>
  <c r="AW25" i="1"/>
  <c r="AO25" i="1"/>
  <c r="AQ72" i="1"/>
  <c r="AI72" i="1"/>
  <c r="AT17" i="1"/>
  <c r="AL17" i="1"/>
  <c r="AU88" i="1"/>
  <c r="AM88" i="1"/>
  <c r="AU30" i="1"/>
  <c r="AM30" i="1"/>
  <c r="AQ63" i="1"/>
  <c r="AI63" i="1"/>
  <c r="AR2" i="1"/>
  <c r="AJ2" i="1"/>
  <c r="AQ12" i="1"/>
  <c r="AI12" i="1"/>
  <c r="AQ82" i="1"/>
  <c r="AI82" i="1"/>
  <c r="AT34" i="1"/>
  <c r="AL34" i="1"/>
  <c r="AU9" i="1"/>
  <c r="AM9" i="1"/>
  <c r="AR86" i="1"/>
  <c r="AJ86" i="1"/>
  <c r="AU60" i="1"/>
  <c r="AM60" i="1"/>
  <c r="AU67" i="1"/>
  <c r="AM67" i="1"/>
  <c r="AM36" i="1"/>
  <c r="AU36" i="1"/>
  <c r="AP11" i="1"/>
  <c r="AH11" i="1"/>
  <c r="AP61" i="1"/>
  <c r="AH61" i="1"/>
  <c r="AR42" i="1"/>
  <c r="AJ42" i="1"/>
  <c r="AU5" i="1"/>
  <c r="AM5" i="1"/>
  <c r="AV76" i="1"/>
  <c r="AN76" i="1"/>
  <c r="AW99" i="1"/>
  <c r="AO99" i="1"/>
  <c r="AR51" i="1"/>
  <c r="AJ51" i="1"/>
  <c r="AO80" i="1"/>
  <c r="AW80" i="1"/>
  <c r="AQ38" i="1"/>
  <c r="AI38" i="1"/>
  <c r="AQ13" i="1"/>
  <c r="AI13" i="1"/>
  <c r="AR35" i="1"/>
  <c r="AJ35" i="1"/>
  <c r="AK85" i="1"/>
  <c r="AS85" i="1"/>
  <c r="AQ95" i="1"/>
  <c r="AI95" i="1"/>
  <c r="AK70" i="1"/>
  <c r="AS70" i="1"/>
  <c r="AS93" i="1"/>
  <c r="AK93" i="1"/>
  <c r="AV32" i="1"/>
  <c r="AN32" i="1"/>
  <c r="AO97" i="1"/>
  <c r="AW97" i="1"/>
  <c r="AO43" i="1"/>
  <c r="AW43" i="1"/>
  <c r="AI48" i="1"/>
  <c r="AQ48" i="1"/>
  <c r="AQ22" i="1"/>
  <c r="AI22" i="1"/>
  <c r="AR96" i="1"/>
  <c r="AJ96" i="1"/>
  <c r="AQ7" i="1"/>
  <c r="AI7" i="1"/>
  <c r="AL24" i="1"/>
  <c r="AT24" i="1"/>
  <c r="AW20" i="1"/>
  <c r="AO20" i="1"/>
  <c r="AL41" i="1"/>
  <c r="AT41" i="1"/>
  <c r="AQ78" i="1"/>
  <c r="AI78" i="1"/>
  <c r="AP16" i="1"/>
  <c r="AH16" i="1"/>
  <c r="AQ87" i="1"/>
  <c r="AI87" i="1"/>
  <c r="AM68" i="1"/>
  <c r="AU68" i="1"/>
  <c r="AH26" i="1"/>
  <c r="AP26" i="1"/>
  <c r="AH49" i="1"/>
  <c r="AP49" i="1"/>
  <c r="AS81" i="1"/>
  <c r="AK81" i="1"/>
  <c r="AR58" i="1"/>
  <c r="AJ58" i="1"/>
  <c r="AV37" i="1"/>
  <c r="AN37" i="1"/>
  <c r="AU29" i="1"/>
  <c r="AM29" i="1"/>
  <c r="AW100" i="1"/>
  <c r="AO100" i="1"/>
  <c r="AR4" i="1"/>
  <c r="AJ4" i="1"/>
  <c r="AS75" i="1"/>
  <c r="AK75" i="1"/>
  <c r="AU56" i="1"/>
  <c r="AM56" i="1"/>
  <c r="AR14" i="1"/>
  <c r="AJ14" i="1"/>
  <c r="AS62" i="1"/>
  <c r="AK62" i="1"/>
  <c r="AU23" i="1"/>
  <c r="AM23" i="1"/>
  <c r="AU46" i="1"/>
  <c r="AM46" i="1"/>
  <c r="AV21" i="1"/>
  <c r="AN21" i="1"/>
  <c r="AS98" i="1"/>
  <c r="AK98" i="1"/>
  <c r="AQ31" i="1"/>
  <c r="AI31" i="1"/>
  <c r="AO94" i="1"/>
  <c r="AW94" i="1"/>
  <c r="AO92" i="1"/>
  <c r="AW92" i="1"/>
  <c r="AR50" i="1"/>
  <c r="AJ50" i="1"/>
  <c r="AP73" i="1"/>
  <c r="AH73" i="1"/>
  <c r="AV25" i="1"/>
  <c r="AN25" i="1"/>
  <c r="AH72" i="1"/>
  <c r="AP72" i="1"/>
  <c r="AS17" i="1"/>
  <c r="AK17" i="1"/>
  <c r="AT88" i="1"/>
  <c r="AL88" i="1"/>
  <c r="AT30" i="1"/>
  <c r="AL30" i="1"/>
  <c r="AP63" i="1"/>
  <c r="AH63" i="1"/>
  <c r="AP2" i="1"/>
  <c r="AP12" i="1"/>
  <c r="AH12" i="1"/>
  <c r="AP82" i="1"/>
  <c r="AH82" i="1"/>
  <c r="AS34" i="1"/>
  <c r="AK34" i="1"/>
  <c r="AT9" i="1"/>
  <c r="AL9" i="1"/>
  <c r="AP86" i="1"/>
  <c r="AH86" i="1"/>
  <c r="AL60" i="1"/>
  <c r="AT60" i="1"/>
  <c r="AT67" i="1"/>
  <c r="AL67" i="1"/>
  <c r="AT36" i="1"/>
  <c r="AL36" i="1"/>
  <c r="AW11" i="1"/>
  <c r="AO11" i="1"/>
  <c r="AW61" i="1"/>
  <c r="AO61" i="1"/>
  <c r="AQ42" i="1"/>
  <c r="AI42" i="1"/>
  <c r="AT5" i="1"/>
  <c r="AL5" i="1"/>
  <c r="AU76" i="1"/>
  <c r="AM76" i="1"/>
  <c r="AN99" i="1"/>
  <c r="AV99" i="1"/>
  <c r="AQ51" i="1"/>
  <c r="AI51" i="1"/>
  <c r="AN80" i="1"/>
  <c r="AV80" i="1"/>
  <c r="AP38" i="1"/>
  <c r="AH38" i="1"/>
  <c r="AP13" i="1"/>
  <c r="AH13" i="1"/>
  <c r="AQ35" i="1"/>
  <c r="AI35" i="1"/>
  <c r="AR85" i="1"/>
  <c r="AJ85" i="1"/>
  <c r="AS95" i="1"/>
  <c r="AK95" i="1"/>
  <c r="AJ70" i="1"/>
  <c r="AR70" i="1"/>
  <c r="AJ93" i="1"/>
  <c r="AR93" i="1"/>
  <c r="AM32" i="1"/>
  <c r="AU32" i="1"/>
  <c r="AV97" i="1"/>
  <c r="AN97" i="1"/>
  <c r="AR10" i="1"/>
  <c r="AJ10" i="1"/>
  <c r="AV43" i="1"/>
  <c r="AN43" i="1"/>
  <c r="AP48" i="1"/>
  <c r="AH48" i="1"/>
  <c r="AP22" i="1"/>
  <c r="AH22" i="1"/>
  <c r="AQ96" i="1"/>
  <c r="AI96" i="1"/>
  <c r="AP7" i="1"/>
  <c r="AH7" i="1"/>
  <c r="AK24" i="1"/>
  <c r="AS24" i="1"/>
  <c r="AS41" i="1"/>
  <c r="AK41" i="1"/>
  <c r="AP78" i="1"/>
  <c r="AH78" i="1"/>
  <c r="AW16" i="1"/>
  <c r="AO16" i="1"/>
  <c r="AP87" i="1"/>
  <c r="AH87" i="1"/>
  <c r="AT68" i="1"/>
  <c r="AL68" i="1"/>
  <c r="AW26" i="1"/>
  <c r="AO26" i="1"/>
  <c r="AW49" i="1"/>
  <c r="AO49" i="1"/>
  <c r="AR81" i="1"/>
  <c r="AJ81" i="1"/>
  <c r="AQ58" i="1"/>
  <c r="AI58" i="1"/>
  <c r="AM37" i="1"/>
  <c r="AU37" i="1"/>
  <c r="AV29" i="1"/>
  <c r="AN29" i="1"/>
  <c r="AV100" i="1"/>
  <c r="AN100" i="1"/>
  <c r="AQ4" i="1"/>
  <c r="AI4" i="1"/>
  <c r="AJ75" i="1"/>
  <c r="AR75" i="1"/>
  <c r="AV56" i="1"/>
  <c r="AN56" i="1"/>
  <c r="AQ14" i="1"/>
  <c r="AI14" i="1"/>
  <c r="AW33" i="1"/>
  <c r="AO33" i="1"/>
  <c r="AR62" i="1"/>
  <c r="AJ62" i="1"/>
  <c r="AT23" i="1"/>
  <c r="AL23" i="1"/>
  <c r="AL46" i="1"/>
  <c r="AT46" i="1"/>
  <c r="AU21" i="1"/>
  <c r="AM21" i="1"/>
  <c r="AR98" i="1"/>
  <c r="AJ98" i="1"/>
  <c r="AH31" i="1"/>
  <c r="AP31" i="1"/>
  <c r="AV94" i="1"/>
  <c r="AN94" i="1"/>
  <c r="AV92" i="1"/>
  <c r="AN92" i="1"/>
  <c r="AQ50" i="1"/>
  <c r="AI50" i="1"/>
  <c r="AK73" i="1"/>
  <c r="AS73" i="1"/>
  <c r="AU25" i="1"/>
  <c r="AM25" i="1"/>
  <c r="AT65" i="1"/>
  <c r="AL65" i="1"/>
  <c r="AR17" i="1"/>
  <c r="AJ17" i="1"/>
  <c r="AR40" i="1"/>
  <c r="AJ40" i="1"/>
  <c r="AS30" i="1"/>
  <c r="AK30" i="1"/>
  <c r="AW15" i="1"/>
  <c r="AO15" i="1"/>
  <c r="AW2" i="1"/>
  <c r="AO2" i="1"/>
  <c r="AV59" i="1"/>
  <c r="AN59" i="1"/>
  <c r="AW82" i="1"/>
  <c r="AO82" i="1"/>
  <c r="AO57" i="1"/>
  <c r="AW57" i="1"/>
  <c r="AK9" i="1"/>
  <c r="AS9" i="1"/>
  <c r="AV44" i="1"/>
  <c r="AN44" i="1"/>
  <c r="AS60" i="1"/>
  <c r="AK60" i="1"/>
  <c r="AR19" i="1"/>
  <c r="AJ19" i="1"/>
  <c r="AS36" i="1"/>
  <c r="AK36" i="1"/>
  <c r="AU66" i="1"/>
  <c r="AM66" i="1"/>
  <c r="AV61" i="1"/>
  <c r="AN61" i="1"/>
  <c r="AP42" i="1"/>
  <c r="AH42" i="1"/>
  <c r="AS5" i="1"/>
  <c r="AK5" i="1"/>
  <c r="AT76" i="1"/>
  <c r="AL76" i="1"/>
  <c r="AT99" i="1"/>
  <c r="AL99" i="1"/>
  <c r="AP51" i="1"/>
  <c r="AH51" i="1"/>
  <c r="AU80" i="1"/>
  <c r="AM80" i="1"/>
  <c r="AW38" i="1"/>
  <c r="AO38" i="1"/>
  <c r="AW13" i="1"/>
  <c r="AO13" i="1"/>
  <c r="AP35" i="1"/>
  <c r="AH35" i="1"/>
  <c r="AQ85" i="1"/>
  <c r="AI85" i="1"/>
  <c r="AR95" i="1"/>
  <c r="AJ95" i="1"/>
  <c r="AQ70" i="1"/>
  <c r="AI70" i="1"/>
  <c r="AQ93" i="1"/>
  <c r="AI93" i="1"/>
  <c r="AT32" i="1"/>
  <c r="AL32" i="1"/>
  <c r="AU97" i="1"/>
  <c r="AM97" i="1"/>
  <c r="AQ10" i="1"/>
  <c r="AI10" i="1"/>
  <c r="AU43" i="1"/>
  <c r="AM43" i="1"/>
  <c r="AO22" i="1"/>
  <c r="AW22" i="1"/>
  <c r="AP96" i="1"/>
  <c r="AH96" i="1"/>
  <c r="AW7" i="1"/>
  <c r="AO7" i="1"/>
  <c r="AR24" i="1"/>
  <c r="AJ24" i="1"/>
  <c r="AO89" i="1"/>
  <c r="AW89" i="1"/>
  <c r="AR41" i="1"/>
  <c r="AJ41" i="1"/>
  <c r="AR64" i="1"/>
  <c r="AJ64" i="1"/>
  <c r="AV16" i="1"/>
  <c r="AN16" i="1"/>
  <c r="AW39" i="1"/>
  <c r="AO39" i="1"/>
  <c r="AQ68" i="1"/>
  <c r="AI68" i="1"/>
  <c r="AP91" i="1"/>
  <c r="AH91" i="1"/>
  <c r="AV49" i="1"/>
  <c r="AN49" i="1"/>
  <c r="AQ81" i="1"/>
  <c r="AI81" i="1"/>
  <c r="AP58" i="1"/>
  <c r="AH58" i="1"/>
  <c r="AT37" i="1"/>
  <c r="AL37" i="1"/>
  <c r="AT29" i="1"/>
  <c r="AL29" i="1"/>
  <c r="AU100" i="1"/>
  <c r="AM100" i="1"/>
  <c r="AP4" i="1"/>
  <c r="AH4" i="1"/>
  <c r="AQ75" i="1"/>
  <c r="AI75" i="1"/>
  <c r="AT56" i="1"/>
  <c r="AL56" i="1"/>
  <c r="AP14" i="1"/>
  <c r="AH14" i="1"/>
  <c r="AV33" i="1"/>
  <c r="AN33" i="1"/>
  <c r="AI62" i="1"/>
  <c r="AQ62" i="1"/>
  <c r="AT21" i="1"/>
  <c r="AL21" i="1"/>
  <c r="AP98" i="1"/>
  <c r="AH98" i="1"/>
  <c r="AW31" i="1"/>
  <c r="AO31" i="1"/>
  <c r="AU94" i="1"/>
  <c r="AM94" i="1"/>
  <c r="AU92" i="1"/>
  <c r="AM92" i="1"/>
  <c r="AP50" i="1"/>
  <c r="AH50" i="1"/>
  <c r="AJ73" i="1"/>
  <c r="AR73" i="1"/>
  <c r="AT25" i="1"/>
  <c r="AL25" i="1"/>
  <c r="AV65" i="1"/>
  <c r="AN65" i="1"/>
  <c r="AI17" i="1"/>
  <c r="AQ17" i="1"/>
  <c r="AQ40" i="1"/>
  <c r="AI40" i="1"/>
  <c r="AR30" i="1"/>
  <c r="AJ30" i="1"/>
  <c r="AV15" i="1"/>
  <c r="AN15" i="1"/>
  <c r="AT2" i="1"/>
  <c r="AL2" i="1"/>
  <c r="AU59" i="1"/>
  <c r="AM59" i="1"/>
  <c r="AV82" i="1"/>
  <c r="AN82" i="1"/>
  <c r="AV57" i="1"/>
  <c r="AN57" i="1"/>
  <c r="AR9" i="1"/>
  <c r="AJ9" i="1"/>
  <c r="AU44" i="1"/>
  <c r="AM44" i="1"/>
  <c r="AR60" i="1"/>
  <c r="AJ60" i="1"/>
  <c r="AQ19" i="1"/>
  <c r="AI19" i="1"/>
  <c r="AR36" i="1"/>
  <c r="AJ36" i="1"/>
  <c r="AW66" i="1"/>
  <c r="AO66" i="1"/>
  <c r="AU61" i="1"/>
  <c r="AM61" i="1"/>
  <c r="AV53" i="1"/>
  <c r="AN53" i="1"/>
  <c r="AR5" i="1"/>
  <c r="AJ5" i="1"/>
  <c r="AR28" i="1"/>
  <c r="AJ28" i="1"/>
  <c r="AS99" i="1"/>
  <c r="AK99" i="1"/>
  <c r="AW3" i="1"/>
  <c r="AO3" i="1"/>
  <c r="AT80" i="1"/>
  <c r="AL80" i="1"/>
  <c r="AW54" i="1"/>
  <c r="AO54" i="1"/>
  <c r="AV13" i="1"/>
  <c r="AN13" i="1"/>
  <c r="AW35" i="1"/>
  <c r="AO35" i="1"/>
  <c r="AH85" i="1"/>
  <c r="AP85" i="1"/>
  <c r="AP95" i="1"/>
  <c r="AH95" i="1"/>
  <c r="AP70" i="1"/>
  <c r="AH70" i="1"/>
  <c r="AH93" i="1"/>
  <c r="AP93" i="1"/>
  <c r="AS32" i="1"/>
  <c r="AK32" i="1"/>
  <c r="AT97" i="1"/>
  <c r="AL97" i="1"/>
  <c r="AP10" i="1"/>
  <c r="AH10" i="1"/>
  <c r="AT43" i="1"/>
  <c r="AL43" i="1"/>
  <c r="AU47" i="1"/>
  <c r="AM47" i="1"/>
  <c r="AN22" i="1"/>
  <c r="AV22" i="1"/>
  <c r="AO74" i="1"/>
  <c r="AW74" i="1"/>
  <c r="AV7" i="1"/>
  <c r="AN7" i="1"/>
  <c r="AQ24" i="1"/>
  <c r="AI24" i="1"/>
  <c r="AV89" i="1"/>
  <c r="AN89" i="1"/>
  <c r="AQ41" i="1"/>
  <c r="AI41" i="1"/>
  <c r="AQ64" i="1"/>
  <c r="AI64" i="1"/>
  <c r="AU16" i="1"/>
  <c r="AM16" i="1"/>
  <c r="AV39" i="1"/>
  <c r="AN39" i="1"/>
  <c r="AS68" i="1"/>
  <c r="AK68" i="1"/>
  <c r="AK91" i="1"/>
  <c r="AS91" i="1"/>
  <c r="AU49" i="1"/>
  <c r="AM49" i="1"/>
  <c r="AP81" i="1"/>
  <c r="AH81" i="1"/>
  <c r="AO58" i="1"/>
  <c r="AW58" i="1"/>
  <c r="AS37" i="1"/>
  <c r="AK37" i="1"/>
  <c r="AS29" i="1"/>
  <c r="AK29" i="1"/>
  <c r="AL100" i="1"/>
  <c r="AT100" i="1"/>
  <c r="AO4" i="1"/>
  <c r="AW4" i="1"/>
  <c r="AP75" i="1"/>
  <c r="AH75" i="1"/>
  <c r="AS56" i="1"/>
  <c r="AK56" i="1"/>
  <c r="AW14" i="1"/>
  <c r="AO14" i="1"/>
  <c r="AU33" i="1"/>
  <c r="AM33" i="1"/>
  <c r="AP62" i="1"/>
  <c r="AH62" i="1"/>
  <c r="AO71" i="1"/>
  <c r="AW71" i="1"/>
  <c r="AR23" i="1"/>
  <c r="AJ23" i="1"/>
  <c r="AM90" i="1"/>
  <c r="AU90" i="1"/>
  <c r="AS21" i="1"/>
  <c r="AK21" i="1"/>
  <c r="AK79" i="1"/>
  <c r="AS79" i="1"/>
  <c r="AV31" i="1"/>
  <c r="AN31" i="1"/>
  <c r="AT94" i="1"/>
  <c r="AL94" i="1"/>
  <c r="AT92" i="1"/>
  <c r="AL92" i="1"/>
  <c r="AW50" i="1"/>
  <c r="AO50" i="1"/>
  <c r="AQ73" i="1"/>
  <c r="AI73" i="1"/>
  <c r="AS25" i="1"/>
  <c r="AK25" i="1"/>
  <c r="AU65" i="1"/>
  <c r="AM65" i="1"/>
  <c r="AP17" i="1"/>
  <c r="AH17" i="1"/>
  <c r="AP40" i="1"/>
  <c r="AH40" i="1"/>
  <c r="AQ30" i="1"/>
  <c r="AI30" i="1"/>
  <c r="AU15" i="1"/>
  <c r="AM15" i="1"/>
  <c r="AS2" i="1"/>
  <c r="AK2" i="1"/>
  <c r="AT59" i="1"/>
  <c r="AL59" i="1"/>
  <c r="AU82" i="1"/>
  <c r="AM82" i="1"/>
  <c r="AU57" i="1"/>
  <c r="AM57" i="1"/>
  <c r="AQ9" i="1"/>
  <c r="AI9" i="1"/>
  <c r="AT44" i="1"/>
  <c r="AL44" i="1"/>
  <c r="AQ60" i="1"/>
  <c r="AI60" i="1"/>
  <c r="AP19" i="1"/>
  <c r="AH19" i="1"/>
  <c r="AQ36" i="1"/>
  <c r="AI36" i="1"/>
  <c r="AV66" i="1"/>
  <c r="AN66" i="1"/>
  <c r="AT61" i="1"/>
  <c r="AL61" i="1"/>
  <c r="AM53" i="1"/>
  <c r="AU53" i="1"/>
  <c r="AQ5" i="1"/>
  <c r="AI5" i="1"/>
  <c r="AQ28" i="1"/>
  <c r="AI28" i="1"/>
  <c r="AR99" i="1"/>
  <c r="AJ99" i="1"/>
  <c r="AV3" i="1"/>
  <c r="AN3" i="1"/>
  <c r="AS80" i="1"/>
  <c r="AK80" i="1"/>
  <c r="AV54" i="1"/>
  <c r="AN54" i="1"/>
  <c r="AU13" i="1"/>
  <c r="AM13" i="1"/>
  <c r="AT83" i="1"/>
  <c r="AL83" i="1"/>
  <c r="AW85" i="1"/>
  <c r="AO85" i="1"/>
  <c r="AW18" i="1"/>
  <c r="AO18" i="1"/>
  <c r="AW70" i="1"/>
  <c r="AO70" i="1"/>
  <c r="AW45" i="1"/>
  <c r="AO45" i="1"/>
  <c r="AR32" i="1"/>
  <c r="AJ32" i="1"/>
  <c r="AR55" i="1"/>
  <c r="AJ55" i="1"/>
  <c r="AW10" i="1"/>
  <c r="AO10" i="1"/>
  <c r="AS43" i="1"/>
  <c r="AK43" i="1"/>
  <c r="AV47" i="1"/>
  <c r="AN47" i="1"/>
  <c r="AU22" i="1"/>
  <c r="AM22" i="1"/>
  <c r="AV74" i="1"/>
  <c r="AN74" i="1"/>
  <c r="AU7" i="1"/>
  <c r="AM7" i="1"/>
  <c r="AP24" i="1"/>
  <c r="AH24" i="1"/>
  <c r="AU89" i="1"/>
  <c r="AM89" i="1"/>
  <c r="AP41" i="1"/>
  <c r="AH41" i="1"/>
  <c r="AP64" i="1"/>
  <c r="AH64" i="1"/>
  <c r="AT16" i="1"/>
  <c r="AL16" i="1"/>
  <c r="AU39" i="1"/>
  <c r="AM39" i="1"/>
  <c r="AR68" i="1"/>
  <c r="AJ68" i="1"/>
  <c r="AR91" i="1"/>
  <c r="AJ91" i="1"/>
  <c r="AT49" i="1"/>
  <c r="AL49" i="1"/>
  <c r="AU84" i="1"/>
  <c r="AM84" i="1"/>
  <c r="AV58" i="1"/>
  <c r="AN58" i="1"/>
  <c r="AO77" i="1"/>
  <c r="AW77" i="1"/>
  <c r="AR29" i="1"/>
  <c r="AJ29" i="1"/>
  <c r="AJ52" i="1"/>
  <c r="AR52" i="1"/>
  <c r="AN4" i="1"/>
  <c r="AV4" i="1"/>
  <c r="AW27" i="1"/>
  <c r="AO27" i="1"/>
  <c r="AJ56" i="1"/>
  <c r="AR56" i="1"/>
  <c r="AW6" i="1"/>
  <c r="AO6" i="1"/>
  <c r="AT33" i="1"/>
  <c r="AL33" i="1"/>
  <c r="AO62" i="1"/>
  <c r="AW62" i="1"/>
  <c r="EN72" i="1"/>
  <c r="EV72" i="1"/>
  <c r="ER41" i="1"/>
  <c r="EZ41" i="1"/>
  <c r="ES5" i="1"/>
  <c r="FA5" i="1"/>
  <c r="FB52" i="1"/>
  <c r="ET52" i="1"/>
  <c r="EU16" i="1"/>
  <c r="FC16" i="1"/>
  <c r="EZ63" i="1"/>
  <c r="ER63" i="1"/>
  <c r="EY27" i="1"/>
  <c r="EQ27" i="1"/>
  <c r="EP74" i="1"/>
  <c r="EX74" i="1"/>
  <c r="FA38" i="1"/>
  <c r="ES38" i="1"/>
  <c r="FB79" i="1"/>
  <c r="ET79" i="1"/>
  <c r="FR79" i="1" s="1"/>
  <c r="EV43" i="1"/>
  <c r="EN43" i="1"/>
  <c r="EW33" i="1"/>
  <c r="EO33" i="1"/>
  <c r="EV85" i="1"/>
  <c r="EN85" i="1"/>
  <c r="FB44" i="1"/>
  <c r="ET44" i="1"/>
  <c r="EN96" i="1"/>
  <c r="EV96" i="1"/>
  <c r="EZ65" i="1"/>
  <c r="ER65" i="1"/>
  <c r="EX29" i="1"/>
  <c r="EP29" i="1"/>
  <c r="ER76" i="1"/>
  <c r="EZ76" i="1"/>
  <c r="EW40" i="1"/>
  <c r="EO40" i="1"/>
  <c r="EX69" i="1"/>
  <c r="EP69" i="1"/>
  <c r="ES11" i="1"/>
  <c r="FA11" i="1"/>
  <c r="EV12" i="1"/>
  <c r="EN12" i="1"/>
  <c r="FA71" i="1"/>
  <c r="ES71" i="1"/>
  <c r="EW18" i="1"/>
  <c r="EO18" i="1"/>
  <c r="FB82" i="1"/>
  <c r="ET82" i="1"/>
  <c r="EZ10" i="1"/>
  <c r="ER10" i="1"/>
  <c r="EW93" i="1"/>
  <c r="EO93" i="1"/>
  <c r="EZ21" i="1"/>
  <c r="ER21" i="1"/>
  <c r="EV48" i="1"/>
  <c r="EN48" i="1"/>
  <c r="FB32" i="1"/>
  <c r="ET32" i="1"/>
  <c r="EW60" i="1"/>
  <c r="EO60" i="1"/>
  <c r="EN37" i="1"/>
  <c r="EV37" i="1"/>
  <c r="EZ84" i="1"/>
  <c r="ER84" i="1"/>
  <c r="EY11" i="1"/>
  <c r="EQ11" i="1"/>
  <c r="EU72" i="1"/>
  <c r="FC72" i="1"/>
  <c r="EX41" i="1"/>
  <c r="EP41" i="1"/>
  <c r="EY5" i="1"/>
  <c r="EQ5" i="1"/>
  <c r="FA52" i="1"/>
  <c r="ES52" i="1"/>
  <c r="EQ16" i="1"/>
  <c r="EY16" i="1"/>
  <c r="EY63" i="1"/>
  <c r="EQ63" i="1"/>
  <c r="FC27" i="1"/>
  <c r="EU27" i="1"/>
  <c r="EV74" i="1"/>
  <c r="EN74" i="1"/>
  <c r="EY38" i="1"/>
  <c r="EQ38" i="1"/>
  <c r="FA79" i="1"/>
  <c r="ES79" i="1"/>
  <c r="EQ43" i="1"/>
  <c r="EY43" i="1"/>
  <c r="FA33" i="1"/>
  <c r="ES33" i="1"/>
  <c r="EY85" i="1"/>
  <c r="EQ85" i="1"/>
  <c r="EZ44" i="1"/>
  <c r="ER44" i="1"/>
  <c r="ES12" i="1"/>
  <c r="FA12" i="1"/>
  <c r="EQ71" i="1"/>
  <c r="EY71" i="1"/>
  <c r="FA18" i="1"/>
  <c r="ES18" i="1"/>
  <c r="EY82" i="1"/>
  <c r="EQ82" i="1"/>
  <c r="EV10" i="1"/>
  <c r="EN10" i="1"/>
  <c r="EV93" i="1"/>
  <c r="EN93" i="1"/>
  <c r="EW21" i="1"/>
  <c r="EO21" i="1"/>
  <c r="EU48" i="1"/>
  <c r="FC48" i="1"/>
  <c r="EZ32" i="1"/>
  <c r="ER32" i="1"/>
  <c r="EU60" i="1"/>
  <c r="FC60" i="1"/>
  <c r="FA37" i="1"/>
  <c r="ES37" i="1"/>
  <c r="EU84" i="1"/>
  <c r="FC84" i="1"/>
  <c r="EU69" i="1"/>
  <c r="FC69" i="1"/>
  <c r="EW42" i="1"/>
  <c r="EO42" i="1"/>
  <c r="FC65" i="1"/>
  <c r="EU65" i="1"/>
  <c r="EW78" i="1"/>
  <c r="EO78" i="1"/>
  <c r="EZ13" i="1"/>
  <c r="ER13" i="1"/>
  <c r="EX11" i="1"/>
  <c r="EP11" i="1"/>
  <c r="FA72" i="1"/>
  <c r="ES72" i="1"/>
  <c r="EV41" i="1"/>
  <c r="EN41" i="1"/>
  <c r="EX5" i="1"/>
  <c r="EP5" i="1"/>
  <c r="ER52" i="1"/>
  <c r="EZ52" i="1"/>
  <c r="EO16" i="1"/>
  <c r="EW16" i="1"/>
  <c r="EW63" i="1"/>
  <c r="EO63" i="1"/>
  <c r="FB27" i="1"/>
  <c r="ET27" i="1"/>
  <c r="EZ74" i="1"/>
  <c r="ER74" i="1"/>
  <c r="EW38" i="1"/>
  <c r="EO38" i="1"/>
  <c r="ER79" i="1"/>
  <c r="EZ79" i="1"/>
  <c r="EW43" i="1"/>
  <c r="EO43" i="1"/>
  <c r="EX33" i="1"/>
  <c r="EP33" i="1"/>
  <c r="EW85" i="1"/>
  <c r="EO85" i="1"/>
  <c r="EP44" i="1"/>
  <c r="EX44" i="1"/>
  <c r="EX12" i="1"/>
  <c r="EP12" i="1"/>
  <c r="EW71" i="1"/>
  <c r="EO71" i="1"/>
  <c r="EX18" i="1"/>
  <c r="EP18" i="1"/>
  <c r="EW82" i="1"/>
  <c r="EO82" i="1"/>
  <c r="FA10" i="1"/>
  <c r="ES10" i="1"/>
  <c r="EX93" i="1"/>
  <c r="EP93" i="1"/>
  <c r="EX21" i="1"/>
  <c r="EP21" i="1"/>
  <c r="FA48" i="1"/>
  <c r="ES48" i="1"/>
  <c r="EW32" i="1"/>
  <c r="EO32" i="1"/>
  <c r="FA60" i="1"/>
  <c r="ES60" i="1"/>
  <c r="EZ37" i="1"/>
  <c r="ER37" i="1"/>
  <c r="FA84" i="1"/>
  <c r="ES84" i="1"/>
  <c r="FA69" i="1"/>
  <c r="ES69" i="1"/>
  <c r="FC49" i="1"/>
  <c r="EU49" i="1"/>
  <c r="FB77" i="1"/>
  <c r="ET77" i="1"/>
  <c r="FC41" i="1"/>
  <c r="EU41" i="1"/>
  <c r="FC88" i="1"/>
  <c r="EU88" i="1"/>
  <c r="EX52" i="1"/>
  <c r="EP52" i="1"/>
  <c r="EU99" i="1"/>
  <c r="FC99" i="1"/>
  <c r="EX63" i="1"/>
  <c r="EP63" i="1"/>
  <c r="FB36" i="1"/>
  <c r="ET36" i="1"/>
  <c r="FC74" i="1"/>
  <c r="EU74" i="1"/>
  <c r="EZ2" i="1"/>
  <c r="ER2" i="1"/>
  <c r="EX79" i="1"/>
  <c r="EP79" i="1"/>
  <c r="FB7" i="1"/>
  <c r="ET7" i="1"/>
  <c r="EV33" i="1"/>
  <c r="EN33" i="1"/>
  <c r="FB22" i="1"/>
  <c r="ET22" i="1"/>
  <c r="FC44" i="1"/>
  <c r="EU44" i="1"/>
  <c r="EW12" i="1"/>
  <c r="EO12" i="1"/>
  <c r="EV35" i="1"/>
  <c r="EN35" i="1"/>
  <c r="EV18" i="1"/>
  <c r="EN18" i="1"/>
  <c r="EX46" i="1"/>
  <c r="EP46" i="1"/>
  <c r="EX10" i="1"/>
  <c r="EP10" i="1"/>
  <c r="EY57" i="1"/>
  <c r="EQ57" i="1"/>
  <c r="EV21" i="1"/>
  <c r="EN21" i="1"/>
  <c r="FB68" i="1"/>
  <c r="ET68" i="1"/>
  <c r="FC32" i="1"/>
  <c r="EU32" i="1"/>
  <c r="EZ73" i="1"/>
  <c r="ER73" i="1"/>
  <c r="FC37" i="1"/>
  <c r="EU37" i="1"/>
  <c r="FB42" i="1"/>
  <c r="ET42" i="1"/>
  <c r="EQ65" i="1"/>
  <c r="EY65" i="1"/>
  <c r="ET78" i="1"/>
  <c r="FB78" i="1"/>
  <c r="EY76" i="1"/>
  <c r="EQ76" i="1"/>
  <c r="EX4" i="1"/>
  <c r="EP4" i="1"/>
  <c r="EU87" i="1"/>
  <c r="FC87" i="1"/>
  <c r="FA15" i="1"/>
  <c r="ES15" i="1"/>
  <c r="FC98" i="1"/>
  <c r="EU98" i="1"/>
  <c r="EZ26" i="1"/>
  <c r="ER26" i="1"/>
  <c r="EU54" i="1"/>
  <c r="FC54" i="1"/>
  <c r="FB31" i="1"/>
  <c r="ET31" i="1"/>
  <c r="FC6" i="1"/>
  <c r="EU6" i="1"/>
  <c r="FB49" i="1"/>
  <c r="ET49" i="1"/>
  <c r="EZ77" i="1"/>
  <c r="ER77" i="1"/>
  <c r="FA41" i="1"/>
  <c r="ES41" i="1"/>
  <c r="FB88" i="1"/>
  <c r="ET88" i="1"/>
  <c r="EV52" i="1"/>
  <c r="EN52" i="1"/>
  <c r="ET99" i="1"/>
  <c r="FB99" i="1"/>
  <c r="EV63" i="1"/>
  <c r="EN63" i="1"/>
  <c r="EZ36" i="1"/>
  <c r="ER36" i="1"/>
  <c r="FA74" i="1"/>
  <c r="ES74" i="1"/>
  <c r="EQ2" i="1"/>
  <c r="EY2" i="1"/>
  <c r="EV79" i="1"/>
  <c r="EN79" i="1"/>
  <c r="EZ7" i="1"/>
  <c r="ER7" i="1"/>
  <c r="EY33" i="1"/>
  <c r="EQ33" i="1"/>
  <c r="EZ22" i="1"/>
  <c r="ER22" i="1"/>
  <c r="FA44" i="1"/>
  <c r="ES44" i="1"/>
  <c r="EY12" i="1"/>
  <c r="EQ12" i="1"/>
  <c r="EX35" i="1"/>
  <c r="EP35" i="1"/>
  <c r="EY18" i="1"/>
  <c r="EQ18" i="1"/>
  <c r="EZ46" i="1"/>
  <c r="ER46" i="1"/>
  <c r="FC10" i="1"/>
  <c r="EU10" i="1"/>
  <c r="EX57" i="1"/>
  <c r="EP57" i="1"/>
  <c r="EY21" i="1"/>
  <c r="EQ21" i="1"/>
  <c r="EZ68" i="1"/>
  <c r="ER68" i="1"/>
  <c r="FA32" i="1"/>
  <c r="ES32" i="1"/>
  <c r="EX73" i="1"/>
  <c r="EP73" i="1"/>
  <c r="FB37" i="1"/>
  <c r="ET37" i="1"/>
  <c r="FA49" i="1"/>
  <c r="ES49" i="1"/>
  <c r="EX77" i="1"/>
  <c r="EP77" i="1"/>
  <c r="EY41" i="1"/>
  <c r="EQ41" i="1"/>
  <c r="FA88" i="1"/>
  <c r="ES88" i="1"/>
  <c r="EY52" i="1"/>
  <c r="EQ52" i="1"/>
  <c r="FA99" i="1"/>
  <c r="ES99" i="1"/>
  <c r="EU63" i="1"/>
  <c r="FC63" i="1"/>
  <c r="EY36" i="1"/>
  <c r="EQ36" i="1"/>
  <c r="EQ74" i="1"/>
  <c r="EY74" i="1"/>
  <c r="EX2" i="1"/>
  <c r="EP2" i="1"/>
  <c r="EY79" i="1"/>
  <c r="EQ79" i="1"/>
  <c r="FA7" i="1"/>
  <c r="ES7" i="1"/>
  <c r="FC33" i="1"/>
  <c r="EU33" i="1"/>
  <c r="EX22" i="1"/>
  <c r="EP22" i="1"/>
  <c r="EQ44" i="1"/>
  <c r="EY44" i="1"/>
  <c r="FC12" i="1"/>
  <c r="EU12" i="1"/>
  <c r="FB35" i="1"/>
  <c r="ET35" i="1"/>
  <c r="FC18" i="1"/>
  <c r="EU18" i="1"/>
  <c r="EV46" i="1"/>
  <c r="EN46" i="1"/>
  <c r="EQ10" i="1"/>
  <c r="EY10" i="1"/>
  <c r="EW57" i="1"/>
  <c r="EO57" i="1"/>
  <c r="FC21" i="1"/>
  <c r="EU21" i="1"/>
  <c r="EX68" i="1"/>
  <c r="EP68" i="1"/>
  <c r="EY32" i="1"/>
  <c r="EQ32" i="1"/>
  <c r="FA73" i="1"/>
  <c r="ES73" i="1"/>
  <c r="EY37" i="1"/>
  <c r="EQ37" i="1"/>
  <c r="FC96" i="1"/>
  <c r="EU96" i="1"/>
  <c r="EQ42" i="1"/>
  <c r="EY42" i="1"/>
  <c r="EZ29" i="1"/>
  <c r="ER29" i="1"/>
  <c r="EY78" i="1"/>
  <c r="EQ78" i="1"/>
  <c r="FC40" i="1"/>
  <c r="EU40" i="1"/>
  <c r="EZ59" i="1"/>
  <c r="ER59" i="1"/>
  <c r="FA23" i="1"/>
  <c r="ES23" i="1"/>
  <c r="FB70" i="1"/>
  <c r="ET70" i="1"/>
  <c r="EW34" i="1"/>
  <c r="EO34" i="1"/>
  <c r="EZ81" i="1"/>
  <c r="ER81" i="1"/>
  <c r="EN45" i="1"/>
  <c r="EV45" i="1"/>
  <c r="EP92" i="1"/>
  <c r="EX92" i="1"/>
  <c r="FA56" i="1"/>
  <c r="ES56" i="1"/>
  <c r="FC97" i="1"/>
  <c r="EU97" i="1"/>
  <c r="EV61" i="1"/>
  <c r="EN61" i="1"/>
  <c r="ER49" i="1"/>
  <c r="EZ49" i="1"/>
  <c r="EV77" i="1"/>
  <c r="EN77" i="1"/>
  <c r="EW41" i="1"/>
  <c r="EO41" i="1"/>
  <c r="EZ88" i="1"/>
  <c r="ER88" i="1"/>
  <c r="EW52" i="1"/>
  <c r="EO52" i="1"/>
  <c r="EZ99" i="1"/>
  <c r="ER99" i="1"/>
  <c r="FA63" i="1"/>
  <c r="ES63" i="1"/>
  <c r="EW36" i="1"/>
  <c r="EO36" i="1"/>
  <c r="EW74" i="1"/>
  <c r="EO74" i="1"/>
  <c r="FA2" i="1"/>
  <c r="ES2" i="1"/>
  <c r="EW79" i="1"/>
  <c r="EO79" i="1"/>
  <c r="EX7" i="1"/>
  <c r="EP7" i="1"/>
  <c r="ET33" i="1"/>
  <c r="FB33" i="1"/>
  <c r="EV22" i="1"/>
  <c r="EN22" i="1"/>
  <c r="EW44" i="1"/>
  <c r="EO44" i="1"/>
  <c r="FB12" i="1"/>
  <c r="ET12" i="1"/>
  <c r="EZ35" i="1"/>
  <c r="ER35" i="1"/>
  <c r="FB18" i="1"/>
  <c r="ET18" i="1"/>
  <c r="FC46" i="1"/>
  <c r="EU46" i="1"/>
  <c r="EO10" i="1"/>
  <c r="EW10" i="1"/>
  <c r="EV57" i="1"/>
  <c r="EN57" i="1"/>
  <c r="FB21" i="1"/>
  <c r="ET21" i="1"/>
  <c r="EV68" i="1"/>
  <c r="EN68" i="1"/>
  <c r="EX32" i="1"/>
  <c r="EP32" i="1"/>
  <c r="EV73" i="1"/>
  <c r="EN73" i="1"/>
  <c r="EW37" i="1"/>
  <c r="EO37" i="1"/>
  <c r="EX42" i="1"/>
  <c r="EP42" i="1"/>
  <c r="FB29" i="1"/>
  <c r="ET29" i="1"/>
  <c r="EX78" i="1"/>
  <c r="EP78" i="1"/>
  <c r="FB40" i="1"/>
  <c r="ET40" i="1"/>
  <c r="FC4" i="1"/>
  <c r="EU4" i="1"/>
  <c r="EW51" i="1"/>
  <c r="EO51" i="1"/>
  <c r="EY15" i="1"/>
  <c r="EQ15" i="1"/>
  <c r="EP62" i="1"/>
  <c r="EX62" i="1"/>
  <c r="FA26" i="1"/>
  <c r="ES26" i="1"/>
  <c r="FB67" i="1"/>
  <c r="ET67" i="1"/>
  <c r="FC31" i="1"/>
  <c r="EU31" i="1"/>
  <c r="FB94" i="1"/>
  <c r="ET94" i="1"/>
  <c r="EO11" i="1"/>
  <c r="EW11" i="1"/>
  <c r="EX49" i="1"/>
  <c r="EP49" i="1"/>
  <c r="ET72" i="1"/>
  <c r="FB72" i="1"/>
  <c r="FC77" i="1"/>
  <c r="EU77" i="1"/>
  <c r="FB5" i="1"/>
  <c r="ET5" i="1"/>
  <c r="EX88" i="1"/>
  <c r="EP88" i="1"/>
  <c r="FB16" i="1"/>
  <c r="ET16" i="1"/>
  <c r="EY99" i="1"/>
  <c r="EQ99" i="1"/>
  <c r="EZ27" i="1"/>
  <c r="ER27" i="1"/>
  <c r="EV36" i="1"/>
  <c r="EN36" i="1"/>
  <c r="FB38" i="1"/>
  <c r="ET38" i="1"/>
  <c r="EW2" i="1"/>
  <c r="EO2" i="1"/>
  <c r="FC43" i="1"/>
  <c r="EU43" i="1"/>
  <c r="EV7" i="1"/>
  <c r="EN7" i="1"/>
  <c r="FC85" i="1"/>
  <c r="EU85" i="1"/>
  <c r="FA22" i="1"/>
  <c r="ES22" i="1"/>
  <c r="EV71" i="1"/>
  <c r="EN71" i="1"/>
  <c r="EU35" i="1"/>
  <c r="FC35" i="1"/>
  <c r="EZ82" i="1"/>
  <c r="ER82" i="1"/>
  <c r="FB46" i="1"/>
  <c r="ET46" i="1"/>
  <c r="EU93" i="1"/>
  <c r="FC93" i="1"/>
  <c r="ET57" i="1"/>
  <c r="FB57" i="1"/>
  <c r="FB48" i="1"/>
  <c r="ET48" i="1"/>
  <c r="FC68" i="1"/>
  <c r="EU68" i="1"/>
  <c r="EN60" i="1"/>
  <c r="EV60" i="1"/>
  <c r="FC73" i="1"/>
  <c r="EU73" i="1"/>
  <c r="EY84" i="1"/>
  <c r="EQ84" i="1"/>
  <c r="EW69" i="1"/>
  <c r="EO69" i="1"/>
  <c r="FA96" i="1"/>
  <c r="ES96" i="1"/>
  <c r="FC42" i="1"/>
  <c r="EU42" i="1"/>
  <c r="EW29" i="1"/>
  <c r="EO29" i="1"/>
  <c r="EU78" i="1"/>
  <c r="FC78" i="1"/>
  <c r="FB11" i="1"/>
  <c r="ET11" i="1"/>
  <c r="EV49" i="1"/>
  <c r="EN49" i="1"/>
  <c r="EZ72" i="1"/>
  <c r="ER72" i="1"/>
  <c r="FA77" i="1"/>
  <c r="ES77" i="1"/>
  <c r="EO5" i="1"/>
  <c r="EW5" i="1"/>
  <c r="EV88" i="1"/>
  <c r="EN88" i="1"/>
  <c r="FA16" i="1"/>
  <c r="ES16" i="1"/>
  <c r="EW99" i="1"/>
  <c r="EO99" i="1"/>
  <c r="EX27" i="1"/>
  <c r="EP27" i="1"/>
  <c r="EX36" i="1"/>
  <c r="EP36" i="1"/>
  <c r="EX38" i="1"/>
  <c r="EP38" i="1"/>
  <c r="FB2" i="1"/>
  <c r="ET2" i="1"/>
  <c r="FB43" i="1"/>
  <c r="ET43" i="1"/>
  <c r="FC7" i="1"/>
  <c r="EU7" i="1"/>
  <c r="FB85" i="1"/>
  <c r="ET85" i="1"/>
  <c r="FC22" i="1"/>
  <c r="EU22" i="1"/>
  <c r="EP71" i="1"/>
  <c r="EX71" i="1"/>
  <c r="FA35" i="1"/>
  <c r="ES35" i="1"/>
  <c r="EX82" i="1"/>
  <c r="EP82" i="1"/>
  <c r="FA46" i="1"/>
  <c r="ES46" i="1"/>
  <c r="ET93" i="1"/>
  <c r="FB93" i="1"/>
  <c r="EZ57" i="1"/>
  <c r="ER57" i="1"/>
  <c r="EY48" i="1"/>
  <c r="EQ48" i="1"/>
  <c r="FA68" i="1"/>
  <c r="ES68" i="1"/>
  <c r="FB60" i="1"/>
  <c r="ET60" i="1"/>
  <c r="FB73" i="1"/>
  <c r="ET73" i="1"/>
  <c r="EX84" i="1"/>
  <c r="EP84" i="1"/>
  <c r="EN69" i="1"/>
  <c r="EV69" i="1"/>
  <c r="ES42" i="1"/>
  <c r="FA42" i="1"/>
  <c r="EV29" i="1"/>
  <c r="EN29" i="1"/>
  <c r="FA78" i="1"/>
  <c r="ES78" i="1"/>
  <c r="EZ40" i="1"/>
  <c r="ER40" i="1"/>
  <c r="EO4" i="1"/>
  <c r="EW4" i="1"/>
  <c r="EZ51" i="1"/>
  <c r="ER51" i="1"/>
  <c r="ET15" i="1"/>
  <c r="FB15" i="1"/>
  <c r="EV80" i="1"/>
  <c r="EN80" i="1"/>
  <c r="FA89" i="1"/>
  <c r="ES89" i="1"/>
  <c r="FB17" i="1"/>
  <c r="ET17" i="1"/>
  <c r="EY100" i="1"/>
  <c r="EQ100" i="1"/>
  <c r="FB28" i="1"/>
  <c r="ET28" i="1"/>
  <c r="EY30" i="1"/>
  <c r="EQ30" i="1"/>
  <c r="EY39" i="1"/>
  <c r="EQ39" i="1"/>
  <c r="EQ3" i="1"/>
  <c r="EY3" i="1"/>
  <c r="EZ50" i="1"/>
  <c r="ER50" i="1"/>
  <c r="ES14" i="1"/>
  <c r="FA14" i="1"/>
  <c r="EZ55" i="1"/>
  <c r="ER55" i="1"/>
  <c r="FC19" i="1"/>
  <c r="EU19" i="1"/>
  <c r="EZ11" i="1"/>
  <c r="ER11" i="1"/>
  <c r="EY49" i="1"/>
  <c r="EQ49" i="1"/>
  <c r="EY72" i="1"/>
  <c r="EQ72" i="1"/>
  <c r="EQ77" i="1"/>
  <c r="EY77" i="1"/>
  <c r="EZ5" i="1"/>
  <c r="ER5" i="1"/>
  <c r="EY88" i="1"/>
  <c r="EQ88" i="1"/>
  <c r="EZ16" i="1"/>
  <c r="ER16" i="1"/>
  <c r="EV99" i="1"/>
  <c r="EN99" i="1"/>
  <c r="EW27" i="1"/>
  <c r="EO27" i="1"/>
  <c r="FC36" i="1"/>
  <c r="EU36" i="1"/>
  <c r="EZ38" i="1"/>
  <c r="ER38" i="1"/>
  <c r="EV2" i="1"/>
  <c r="FA43" i="1"/>
  <c r="ES43" i="1"/>
  <c r="EQ7" i="1"/>
  <c r="EY7" i="1"/>
  <c r="FA85" i="1"/>
  <c r="ES85" i="1"/>
  <c r="EQ22" i="1"/>
  <c r="EY22" i="1"/>
  <c r="FB71" i="1"/>
  <c r="ET71" i="1"/>
  <c r="EY35" i="1"/>
  <c r="EQ35" i="1"/>
  <c r="EV82" i="1"/>
  <c r="EN82" i="1"/>
  <c r="EY46" i="1"/>
  <c r="EQ46" i="1"/>
  <c r="FA93" i="1"/>
  <c r="ES93" i="1"/>
  <c r="EU57" i="1"/>
  <c r="FC57" i="1"/>
  <c r="EX48" i="1"/>
  <c r="EP48" i="1"/>
  <c r="EQ68" i="1"/>
  <c r="EY68" i="1"/>
  <c r="EZ60" i="1"/>
  <c r="ER60" i="1"/>
  <c r="EY73" i="1"/>
  <c r="EQ73" i="1"/>
  <c r="EW84" i="1"/>
  <c r="EO84" i="1"/>
  <c r="FB69" i="1"/>
  <c r="ET69" i="1"/>
  <c r="EY96" i="1"/>
  <c r="EQ96" i="1"/>
  <c r="FB65" i="1"/>
  <c r="ET65" i="1"/>
  <c r="FC29" i="1"/>
  <c r="EU29" i="1"/>
  <c r="FC76" i="1"/>
  <c r="EU76" i="1"/>
  <c r="EX40" i="1"/>
  <c r="EP40" i="1"/>
  <c r="EV11" i="1"/>
  <c r="EN11" i="1"/>
  <c r="EW49" i="1"/>
  <c r="EO49" i="1"/>
  <c r="EX72" i="1"/>
  <c r="EP72" i="1"/>
  <c r="EW77" i="1"/>
  <c r="EO77" i="1"/>
  <c r="EV5" i="1"/>
  <c r="EN5" i="1"/>
  <c r="EW88" i="1"/>
  <c r="EO88" i="1"/>
  <c r="EV16" i="1"/>
  <c r="EN16" i="1"/>
  <c r="EX99" i="1"/>
  <c r="EP99" i="1"/>
  <c r="EV27" i="1"/>
  <c r="EN27" i="1"/>
  <c r="FA36" i="1"/>
  <c r="ES36" i="1"/>
  <c r="EV38" i="1"/>
  <c r="EN38" i="1"/>
  <c r="FC2" i="1"/>
  <c r="EU2" i="1"/>
  <c r="EZ43" i="1"/>
  <c r="ER43" i="1"/>
  <c r="EO7" i="1"/>
  <c r="EW7" i="1"/>
  <c r="ER85" i="1"/>
  <c r="EZ85" i="1"/>
  <c r="EW22" i="1"/>
  <c r="EO22" i="1"/>
  <c r="EZ71" i="1"/>
  <c r="ER71" i="1"/>
  <c r="EW35" i="1"/>
  <c r="EO35" i="1"/>
  <c r="FA82" i="1"/>
  <c r="ES82" i="1"/>
  <c r="EW46" i="1"/>
  <c r="EO46" i="1"/>
  <c r="EZ93" i="1"/>
  <c r="ER93" i="1"/>
  <c r="FA57" i="1"/>
  <c r="ES57" i="1"/>
  <c r="EW48" i="1"/>
  <c r="EO48" i="1"/>
  <c r="EW68" i="1"/>
  <c r="EO68" i="1"/>
  <c r="EY60" i="1"/>
  <c r="EQ60" i="1"/>
  <c r="EW73" i="1"/>
  <c r="EO73" i="1"/>
  <c r="EV84" i="1"/>
  <c r="EN84" i="1"/>
  <c r="EZ69" i="1"/>
  <c r="ER69" i="1"/>
  <c r="EX96" i="1"/>
  <c r="EP96" i="1"/>
  <c r="FB47" i="1"/>
  <c r="ET47" i="1"/>
  <c r="EU8" i="1"/>
  <c r="FC8" i="1"/>
  <c r="EU11" i="1"/>
  <c r="FC11" i="1"/>
  <c r="EW72" i="1"/>
  <c r="EO72" i="1"/>
  <c r="FB41" i="1"/>
  <c r="ET41" i="1"/>
  <c r="EU5" i="1"/>
  <c r="FC5" i="1"/>
  <c r="FC52" i="1"/>
  <c r="EU52" i="1"/>
  <c r="EX16" i="1"/>
  <c r="EP16" i="1"/>
  <c r="FB63" i="1"/>
  <c r="ET63" i="1"/>
  <c r="FA27" i="1"/>
  <c r="ES27" i="1"/>
  <c r="FB74" i="1"/>
  <c r="ET74" i="1"/>
  <c r="FC38" i="1"/>
  <c r="EU38" i="1"/>
  <c r="FC79" i="1"/>
  <c r="EU79" i="1"/>
  <c r="EX43" i="1"/>
  <c r="EP43" i="1"/>
  <c r="EZ33" i="1"/>
  <c r="ER33" i="1"/>
  <c r="EX85" i="1"/>
  <c r="EP85" i="1"/>
  <c r="EV44" i="1"/>
  <c r="EN44" i="1"/>
  <c r="EZ12" i="1"/>
  <c r="ER12" i="1"/>
  <c r="FC71" i="1"/>
  <c r="EU71" i="1"/>
  <c r="EZ18" i="1"/>
  <c r="ER18" i="1"/>
  <c r="FC82" i="1"/>
  <c r="EU82" i="1"/>
  <c r="FB10" i="1"/>
  <c r="ET10" i="1"/>
  <c r="EY93" i="1"/>
  <c r="EQ93" i="1"/>
  <c r="ES21" i="1"/>
  <c r="FA21" i="1"/>
  <c r="EZ48" i="1"/>
  <c r="ER48" i="1"/>
  <c r="EV32" i="1"/>
  <c r="EN32" i="1"/>
  <c r="EX60" i="1"/>
  <c r="EP60" i="1"/>
  <c r="EX37" i="1"/>
  <c r="EP37" i="1"/>
  <c r="ET84" i="1"/>
  <c r="FB84" i="1"/>
  <c r="EY69" i="1"/>
  <c r="EQ69" i="1"/>
  <c r="EW96" i="1"/>
  <c r="EO96" i="1"/>
  <c r="EV65" i="1"/>
  <c r="EN65" i="1"/>
  <c r="EY29" i="1"/>
  <c r="EQ29" i="1"/>
  <c r="FB76" i="1"/>
  <c r="ET76" i="1"/>
  <c r="EY40" i="1"/>
  <c r="EQ40" i="1"/>
  <c r="EZ96" i="1"/>
  <c r="ER96" i="1"/>
  <c r="EZ42" i="1"/>
  <c r="ER42" i="1"/>
  <c r="EW65" i="1"/>
  <c r="EO65" i="1"/>
  <c r="EZ78" i="1"/>
  <c r="ER78" i="1"/>
  <c r="EW76" i="1"/>
  <c r="EO76" i="1"/>
  <c r="FA4" i="1"/>
  <c r="ES4" i="1"/>
  <c r="FA87" i="1"/>
  <c r="ES87" i="1"/>
  <c r="EX15" i="1"/>
  <c r="EP15" i="1"/>
  <c r="FB98" i="1"/>
  <c r="ET98" i="1"/>
  <c r="EV26" i="1"/>
  <c r="EN26" i="1"/>
  <c r="FA54" i="1"/>
  <c r="ES54" i="1"/>
  <c r="FA31" i="1"/>
  <c r="ES31" i="1"/>
  <c r="FB6" i="1"/>
  <c r="ET6" i="1"/>
  <c r="EY94" i="1"/>
  <c r="EQ94" i="1"/>
  <c r="EP59" i="1"/>
  <c r="EX59" i="1"/>
  <c r="EY23" i="1"/>
  <c r="EQ23" i="1"/>
  <c r="FA70" i="1"/>
  <c r="ES70" i="1"/>
  <c r="EU34" i="1"/>
  <c r="FC34" i="1"/>
  <c r="EY81" i="1"/>
  <c r="EQ81" i="1"/>
  <c r="EU45" i="1"/>
  <c r="FC45" i="1"/>
  <c r="EW92" i="1"/>
  <c r="EO92" i="1"/>
  <c r="EQ56" i="1"/>
  <c r="EY56" i="1"/>
  <c r="FA97" i="1"/>
  <c r="ES97" i="1"/>
  <c r="EY61" i="1"/>
  <c r="EQ61" i="1"/>
  <c r="EV13" i="1"/>
  <c r="EN13" i="1"/>
  <c r="FB80" i="1"/>
  <c r="ET80" i="1"/>
  <c r="EY89" i="1"/>
  <c r="EQ89" i="1"/>
  <c r="EZ17" i="1"/>
  <c r="ER17" i="1"/>
  <c r="FB100" i="1"/>
  <c r="ET100" i="1"/>
  <c r="EZ28" i="1"/>
  <c r="ER28" i="1"/>
  <c r="FC30" i="1"/>
  <c r="EU30" i="1"/>
  <c r="EX39" i="1"/>
  <c r="EP39" i="1"/>
  <c r="FC3" i="1"/>
  <c r="EU3" i="1"/>
  <c r="EP50" i="1"/>
  <c r="EX50" i="1"/>
  <c r="EY14" i="1"/>
  <c r="EQ14" i="1"/>
  <c r="EV55" i="1"/>
  <c r="EN55" i="1"/>
  <c r="EY19" i="1"/>
  <c r="EQ19" i="1"/>
  <c r="EX47" i="1"/>
  <c r="EP47" i="1"/>
  <c r="ES8" i="1"/>
  <c r="FA8" i="1"/>
  <c r="EZ4" i="1"/>
  <c r="ER4" i="1"/>
  <c r="EV51" i="1"/>
  <c r="EN51" i="1"/>
  <c r="EV15" i="1"/>
  <c r="EN15" i="1"/>
  <c r="EV62" i="1"/>
  <c r="EN62" i="1"/>
  <c r="FC26" i="1"/>
  <c r="EU26" i="1"/>
  <c r="FC67" i="1"/>
  <c r="EU67" i="1"/>
  <c r="EX31" i="1"/>
  <c r="EP31" i="1"/>
  <c r="EX94" i="1"/>
  <c r="EP94" i="1"/>
  <c r="EV59" i="1"/>
  <c r="EN59" i="1"/>
  <c r="EX23" i="1"/>
  <c r="EP23" i="1"/>
  <c r="EZ70" i="1"/>
  <c r="ER70" i="1"/>
  <c r="EY34" i="1"/>
  <c r="EQ34" i="1"/>
  <c r="EW81" i="1"/>
  <c r="EO81" i="1"/>
  <c r="FA45" i="1"/>
  <c r="ES45" i="1"/>
  <c r="EZ92" i="1"/>
  <c r="ER92" i="1"/>
  <c r="EW56" i="1"/>
  <c r="EO56" i="1"/>
  <c r="FB97" i="1"/>
  <c r="ET97" i="1"/>
  <c r="EW61" i="1"/>
  <c r="EO61" i="1"/>
  <c r="FA13" i="1"/>
  <c r="ES13" i="1"/>
  <c r="EZ80" i="1"/>
  <c r="ER80" i="1"/>
  <c r="EW89" i="1"/>
  <c r="EO89" i="1"/>
  <c r="EO17" i="1"/>
  <c r="EW17" i="1"/>
  <c r="EX100" i="1"/>
  <c r="EP100" i="1"/>
  <c r="FA28" i="1"/>
  <c r="ES28" i="1"/>
  <c r="FB30" i="1"/>
  <c r="ET30" i="1"/>
  <c r="EW39" i="1"/>
  <c r="EO39" i="1"/>
  <c r="FB3" i="1"/>
  <c r="ET3" i="1"/>
  <c r="EV50" i="1"/>
  <c r="EN50" i="1"/>
  <c r="EX14" i="1"/>
  <c r="EP14" i="1"/>
  <c r="FA55" i="1"/>
  <c r="ES55" i="1"/>
  <c r="EW19" i="1"/>
  <c r="EO19" i="1"/>
  <c r="EV47" i="1"/>
  <c r="EN47" i="1"/>
  <c r="EY8" i="1"/>
  <c r="EQ8" i="1"/>
  <c r="EY66" i="1"/>
  <c r="EQ66" i="1"/>
  <c r="EY95" i="1"/>
  <c r="EQ95" i="1"/>
  <c r="FC59" i="1"/>
  <c r="EU59" i="1"/>
  <c r="EW24" i="1"/>
  <c r="EO24" i="1"/>
  <c r="EX70" i="1"/>
  <c r="EP70" i="1"/>
  <c r="EU90" i="1"/>
  <c r="FC90" i="1"/>
  <c r="EN81" i="1"/>
  <c r="EV81" i="1"/>
  <c r="EX9" i="1"/>
  <c r="EP9" i="1"/>
  <c r="EV92" i="1"/>
  <c r="EN92" i="1"/>
  <c r="FB20" i="1"/>
  <c r="ET20" i="1"/>
  <c r="ER97" i="1"/>
  <c r="EZ97" i="1"/>
  <c r="EZ25" i="1"/>
  <c r="ER25" i="1"/>
  <c r="FC58" i="1"/>
  <c r="EU58" i="1"/>
  <c r="EX13" i="1"/>
  <c r="EP13" i="1"/>
  <c r="FC80" i="1"/>
  <c r="EU80" i="1"/>
  <c r="EX53" i="1"/>
  <c r="EP53" i="1"/>
  <c r="EU17" i="1"/>
  <c r="FC17" i="1"/>
  <c r="FA64" i="1"/>
  <c r="ES64" i="1"/>
  <c r="EX28" i="1"/>
  <c r="EP28" i="1"/>
  <c r="EY75" i="1"/>
  <c r="EQ75" i="1"/>
  <c r="EN39" i="1"/>
  <c r="EV39" i="1"/>
  <c r="FB86" i="1"/>
  <c r="FZ86" i="1" s="1"/>
  <c r="ET86" i="1"/>
  <c r="FC50" i="1"/>
  <c r="EU50" i="1"/>
  <c r="EV91" i="1"/>
  <c r="EN91" i="1"/>
  <c r="FC55" i="1"/>
  <c r="EU55" i="1"/>
  <c r="EZ47" i="1"/>
  <c r="ER47" i="1"/>
  <c r="EX8" i="1"/>
  <c r="EP8" i="1"/>
  <c r="ES40" i="1"/>
  <c r="FA40" i="1"/>
  <c r="EQ4" i="1"/>
  <c r="EY4" i="1"/>
  <c r="ET51" i="1"/>
  <c r="FB51" i="1"/>
  <c r="FC15" i="1"/>
  <c r="EU15" i="1"/>
  <c r="FB62" i="1"/>
  <c r="ET62" i="1"/>
  <c r="EY26" i="1"/>
  <c r="EQ26" i="1"/>
  <c r="FA67" i="1"/>
  <c r="ES67" i="1"/>
  <c r="EY31" i="1"/>
  <c r="EQ31" i="1"/>
  <c r="EZ66" i="1"/>
  <c r="ER66" i="1"/>
  <c r="EP95" i="1"/>
  <c r="EX95" i="1"/>
  <c r="FA59" i="1"/>
  <c r="ES59" i="1"/>
  <c r="FA24" i="1"/>
  <c r="ES24" i="1"/>
  <c r="EV70" i="1"/>
  <c r="EN70" i="1"/>
  <c r="ET90" i="1"/>
  <c r="FB90" i="1"/>
  <c r="EX81" i="1"/>
  <c r="EP81" i="1"/>
  <c r="EW9" i="1"/>
  <c r="EO9" i="1"/>
  <c r="FC92" i="1"/>
  <c r="EU92" i="1"/>
  <c r="EW20" i="1"/>
  <c r="EO20" i="1"/>
  <c r="EW97" i="1"/>
  <c r="EO97" i="1"/>
  <c r="EV25" i="1"/>
  <c r="EN25" i="1"/>
  <c r="FB58" i="1"/>
  <c r="ET58" i="1"/>
  <c r="FC13" i="1"/>
  <c r="EU13" i="1"/>
  <c r="FA80" i="1"/>
  <c r="ES80" i="1"/>
  <c r="EV53" i="1"/>
  <c r="EN53" i="1"/>
  <c r="FA17" i="1"/>
  <c r="ES17" i="1"/>
  <c r="EX64" i="1"/>
  <c r="EP64" i="1"/>
  <c r="FC28" i="1"/>
  <c r="EU28" i="1"/>
  <c r="EX75" i="1"/>
  <c r="EP75" i="1"/>
  <c r="FB39" i="1"/>
  <c r="ET39" i="1"/>
  <c r="EZ86" i="1"/>
  <c r="ER86" i="1"/>
  <c r="FA50" i="1"/>
  <c r="ES50" i="1"/>
  <c r="FC91" i="1"/>
  <c r="EU91" i="1"/>
  <c r="FB55" i="1"/>
  <c r="ET55" i="1"/>
  <c r="FC47" i="1"/>
  <c r="EU47" i="1"/>
  <c r="FB83" i="1"/>
  <c r="ET83" i="1"/>
  <c r="EZ62" i="1"/>
  <c r="ER62" i="1"/>
  <c r="EX26" i="1"/>
  <c r="EP26" i="1"/>
  <c r="EZ67" i="1"/>
  <c r="ER67" i="1"/>
  <c r="EW31" i="1"/>
  <c r="EO31" i="1"/>
  <c r="EX66" i="1"/>
  <c r="EP66" i="1"/>
  <c r="FA95" i="1"/>
  <c r="ES95" i="1"/>
  <c r="EQ59" i="1"/>
  <c r="EY59" i="1"/>
  <c r="EZ24" i="1"/>
  <c r="ER24" i="1"/>
  <c r="EY70" i="1"/>
  <c r="EQ70" i="1"/>
  <c r="FA90" i="1"/>
  <c r="ES90" i="1"/>
  <c r="FC81" i="1"/>
  <c r="EU81" i="1"/>
  <c r="EV9" i="1"/>
  <c r="EN9" i="1"/>
  <c r="FA92" i="1"/>
  <c r="ES92" i="1"/>
  <c r="EZ20" i="1"/>
  <c r="ER20" i="1"/>
  <c r="EY97" i="1"/>
  <c r="EQ97" i="1"/>
  <c r="FB25" i="1"/>
  <c r="ET25" i="1"/>
  <c r="FA58" i="1"/>
  <c r="ES58" i="1"/>
  <c r="EQ13" i="1"/>
  <c r="EY13" i="1"/>
  <c r="EQ80" i="1"/>
  <c r="EY80" i="1"/>
  <c r="FB53" i="1"/>
  <c r="ET53" i="1"/>
  <c r="EY17" i="1"/>
  <c r="EQ17" i="1"/>
  <c r="EV64" i="1"/>
  <c r="EN64" i="1"/>
  <c r="EY28" i="1"/>
  <c r="EQ28" i="1"/>
  <c r="EZ75" i="1"/>
  <c r="ER75" i="1"/>
  <c r="FC39" i="1"/>
  <c r="EU39" i="1"/>
  <c r="EP86" i="1"/>
  <c r="EX86" i="1"/>
  <c r="EQ50" i="1"/>
  <c r="EY50" i="1"/>
  <c r="FA91" i="1"/>
  <c r="ES91" i="1"/>
  <c r="EY55" i="1"/>
  <c r="EQ55" i="1"/>
  <c r="FA47" i="1"/>
  <c r="ES47" i="1"/>
  <c r="EP83" i="1"/>
  <c r="EX83" i="1"/>
  <c r="EW87" i="1"/>
  <c r="EO87" i="1"/>
  <c r="EY51" i="1"/>
  <c r="EQ51" i="1"/>
  <c r="EY98" i="1"/>
  <c r="EQ98" i="1"/>
  <c r="FC62" i="1"/>
  <c r="EU62" i="1"/>
  <c r="ET54" i="1"/>
  <c r="FB54" i="1"/>
  <c r="EX67" i="1"/>
  <c r="EP67" i="1"/>
  <c r="EZ6" i="1"/>
  <c r="ER6" i="1"/>
  <c r="FB66" i="1"/>
  <c r="ET66" i="1"/>
  <c r="EW95" i="1"/>
  <c r="EO95" i="1"/>
  <c r="EW59" i="1"/>
  <c r="EO59" i="1"/>
  <c r="EX24" i="1"/>
  <c r="EP24" i="1"/>
  <c r="EW70" i="1"/>
  <c r="EO70" i="1"/>
  <c r="EZ90" i="1"/>
  <c r="ER90" i="1"/>
  <c r="FA81" i="1"/>
  <c r="ES81" i="1"/>
  <c r="ES9" i="1"/>
  <c r="FA9" i="1"/>
  <c r="FB92" i="1"/>
  <c r="ET92" i="1"/>
  <c r="EV20" i="1"/>
  <c r="EN20" i="1"/>
  <c r="EX97" i="1"/>
  <c r="EP97" i="1"/>
  <c r="FA25" i="1"/>
  <c r="ES25" i="1"/>
  <c r="ER58" i="1"/>
  <c r="EZ58" i="1"/>
  <c r="EO13" i="1"/>
  <c r="EW13" i="1"/>
  <c r="EW80" i="1"/>
  <c r="EO80" i="1"/>
  <c r="EZ53" i="1"/>
  <c r="ER53" i="1"/>
  <c r="EX17" i="1"/>
  <c r="EP17" i="1"/>
  <c r="ER64" i="1"/>
  <c r="EZ64" i="1"/>
  <c r="EW28" i="1"/>
  <c r="EO28" i="1"/>
  <c r="EW75" i="1"/>
  <c r="EO75" i="1"/>
  <c r="FA39" i="1"/>
  <c r="ES39" i="1"/>
  <c r="EV86" i="1"/>
  <c r="EN86" i="1"/>
  <c r="EW50" i="1"/>
  <c r="EO50" i="1"/>
  <c r="FB91" i="1"/>
  <c r="ET91" i="1"/>
  <c r="EW55" i="1"/>
  <c r="EO55" i="1"/>
  <c r="EQ47" i="1"/>
  <c r="EY47" i="1"/>
  <c r="EZ83" i="1"/>
  <c r="ER83" i="1"/>
  <c r="EP65" i="1"/>
  <c r="EX65" i="1"/>
  <c r="FA29" i="1"/>
  <c r="ES29" i="1"/>
  <c r="FA76" i="1"/>
  <c r="ES76" i="1"/>
  <c r="EV40" i="1"/>
  <c r="EN40" i="1"/>
  <c r="EN87" i="1"/>
  <c r="EV87" i="1"/>
  <c r="EX51" i="1"/>
  <c r="EP51" i="1"/>
  <c r="EZ98" i="1"/>
  <c r="ER98" i="1"/>
  <c r="FA62" i="1"/>
  <c r="ES62" i="1"/>
  <c r="EZ54" i="1"/>
  <c r="FX54" i="1" s="1"/>
  <c r="ER54" i="1"/>
  <c r="EV67" i="1"/>
  <c r="EN67" i="1"/>
  <c r="EX6" i="1"/>
  <c r="EP6" i="1"/>
  <c r="EW94" i="1"/>
  <c r="EO94" i="1"/>
  <c r="EW66" i="1"/>
  <c r="EO66" i="1"/>
  <c r="EV95" i="1"/>
  <c r="EN95" i="1"/>
  <c r="FB23" i="1"/>
  <c r="ET23" i="1"/>
  <c r="EV24" i="1"/>
  <c r="EN24" i="1"/>
  <c r="FB34" i="1"/>
  <c r="ET34" i="1"/>
  <c r="EY90" i="1"/>
  <c r="EQ90" i="1"/>
  <c r="ET45" i="1"/>
  <c r="FB45" i="1"/>
  <c r="EZ9" i="1"/>
  <c r="ER9" i="1"/>
  <c r="FB56" i="1"/>
  <c r="ET56" i="1"/>
  <c r="FC20" i="1"/>
  <c r="EU20" i="1"/>
  <c r="FC61" i="1"/>
  <c r="EU61" i="1"/>
  <c r="EX25" i="1"/>
  <c r="EP25" i="1"/>
  <c r="EX58" i="1"/>
  <c r="EP58" i="1"/>
  <c r="EV89" i="1"/>
  <c r="EN89" i="1"/>
  <c r="FC53" i="1"/>
  <c r="EU53" i="1"/>
  <c r="EV100" i="1"/>
  <c r="EN100" i="1"/>
  <c r="FC64" i="1"/>
  <c r="EU64" i="1"/>
  <c r="EZ30" i="1"/>
  <c r="ER30" i="1"/>
  <c r="EV75" i="1"/>
  <c r="EN75" i="1"/>
  <c r="ES3" i="1"/>
  <c r="FA3" i="1"/>
  <c r="FC86" i="1"/>
  <c r="EU86" i="1"/>
  <c r="ER14" i="1"/>
  <c r="EZ14" i="1"/>
  <c r="EZ91" i="1"/>
  <c r="ER91" i="1"/>
  <c r="EZ19" i="1"/>
  <c r="ER19" i="1"/>
  <c r="EW47" i="1"/>
  <c r="EO47" i="1"/>
  <c r="EV83" i="1"/>
  <c r="EN83" i="1"/>
  <c r="ET87" i="1"/>
  <c r="FB87" i="1"/>
  <c r="EU51" i="1"/>
  <c r="FC51" i="1"/>
  <c r="EP98" i="1"/>
  <c r="EX98" i="1"/>
  <c r="EQ62" i="1"/>
  <c r="EY62" i="1"/>
  <c r="EY54" i="1"/>
  <c r="EQ54" i="1"/>
  <c r="EY67" i="1"/>
  <c r="EQ67" i="1"/>
  <c r="EW6" i="1"/>
  <c r="EO6" i="1"/>
  <c r="EV94" i="1"/>
  <c r="EN94" i="1"/>
  <c r="EV66" i="1"/>
  <c r="EN66" i="1"/>
  <c r="EZ95" i="1"/>
  <c r="ER95" i="1"/>
  <c r="EW23" i="1"/>
  <c r="EO23" i="1"/>
  <c r="EY24" i="1"/>
  <c r="EQ24" i="1"/>
  <c r="FA34" i="1"/>
  <c r="ES34" i="1"/>
  <c r="EW90" i="1"/>
  <c r="EO90" i="1"/>
  <c r="EZ45" i="1"/>
  <c r="ER45" i="1"/>
  <c r="EQ9" i="1"/>
  <c r="EY9" i="1"/>
  <c r="EX56" i="1"/>
  <c r="EP56" i="1"/>
  <c r="FA20" i="1"/>
  <c r="ES20" i="1"/>
  <c r="FB61" i="1"/>
  <c r="ET61" i="1"/>
  <c r="EU25" i="1"/>
  <c r="FC25" i="1"/>
  <c r="EV58" i="1"/>
  <c r="EN58" i="1"/>
  <c r="EX89" i="1"/>
  <c r="EP89" i="1"/>
  <c r="FA53" i="1"/>
  <c r="ES53" i="1"/>
  <c r="EW100" i="1"/>
  <c r="EO100" i="1"/>
  <c r="FB64" i="1"/>
  <c r="ET64" i="1"/>
  <c r="EW30" i="1"/>
  <c r="EO30" i="1"/>
  <c r="FB75" i="1"/>
  <c r="ET75" i="1"/>
  <c r="EZ3" i="1"/>
  <c r="ER3" i="1"/>
  <c r="FA86" i="1"/>
  <c r="ES86" i="1"/>
  <c r="EW14" i="1"/>
  <c r="EO14" i="1"/>
  <c r="EY91" i="1"/>
  <c r="EQ91" i="1"/>
  <c r="FA19" i="1"/>
  <c r="ES19" i="1"/>
  <c r="FB8" i="1"/>
  <c r="ET8" i="1"/>
  <c r="FC83" i="1"/>
  <c r="EU83" i="1"/>
  <c r="EZ87" i="1"/>
  <c r="ER87" i="1"/>
  <c r="FA51" i="1"/>
  <c r="ES51" i="1"/>
  <c r="EW98" i="1"/>
  <c r="EO98" i="1"/>
  <c r="EW62" i="1"/>
  <c r="EO62" i="1"/>
  <c r="EW54" i="1"/>
  <c r="EO54" i="1"/>
  <c r="EW67" i="1"/>
  <c r="EO67" i="1"/>
  <c r="ES6" i="1"/>
  <c r="FA6" i="1"/>
  <c r="FC94" i="1"/>
  <c r="EU94" i="1"/>
  <c r="EU66" i="1"/>
  <c r="FC66" i="1"/>
  <c r="FC95" i="1"/>
  <c r="EU95" i="1"/>
  <c r="EZ23" i="1"/>
  <c r="ER23" i="1"/>
  <c r="FC24" i="1"/>
  <c r="EU24" i="1"/>
  <c r="EZ34" i="1"/>
  <c r="ER34" i="1"/>
  <c r="EV90" i="1"/>
  <c r="EN90" i="1"/>
  <c r="EY45" i="1"/>
  <c r="EQ45" i="1"/>
  <c r="FC9" i="1"/>
  <c r="EU9" i="1"/>
  <c r="EV56" i="1"/>
  <c r="EN56" i="1"/>
  <c r="EY20" i="1"/>
  <c r="EQ20" i="1"/>
  <c r="FA61" i="1"/>
  <c r="ES61" i="1"/>
  <c r="EY25" i="1"/>
  <c r="EQ25" i="1"/>
  <c r="EY58" i="1"/>
  <c r="EQ58" i="1"/>
  <c r="FB89" i="1"/>
  <c r="ET89" i="1"/>
  <c r="EQ53" i="1"/>
  <c r="EY53" i="1"/>
  <c r="FC100" i="1"/>
  <c r="EU100" i="1"/>
  <c r="EY64" i="1"/>
  <c r="EQ64" i="1"/>
  <c r="EV30" i="1"/>
  <c r="EN30" i="1"/>
  <c r="EU75" i="1"/>
  <c r="FC75" i="1"/>
  <c r="EW3" i="1"/>
  <c r="EO3" i="1"/>
  <c r="EY86" i="1"/>
  <c r="EQ86" i="1"/>
  <c r="EV14" i="1"/>
  <c r="EN14" i="1"/>
  <c r="EX91" i="1"/>
  <c r="EP91" i="1"/>
  <c r="EX19" i="1"/>
  <c r="EP19" i="1"/>
  <c r="EO8" i="1"/>
  <c r="EW8" i="1"/>
  <c r="FA83" i="1"/>
  <c r="ES83" i="1"/>
  <c r="EX76" i="1"/>
  <c r="EP76" i="1"/>
  <c r="FB4" i="1"/>
  <c r="ET4" i="1"/>
  <c r="EY87" i="1"/>
  <c r="EQ87" i="1"/>
  <c r="EW15" i="1"/>
  <c r="EO15" i="1"/>
  <c r="FA98" i="1"/>
  <c r="ES98" i="1"/>
  <c r="FB26" i="1"/>
  <c r="ET26" i="1"/>
  <c r="EX54" i="1"/>
  <c r="EP54" i="1"/>
  <c r="EZ31" i="1"/>
  <c r="ER31" i="1"/>
  <c r="EV6" i="1"/>
  <c r="EN6" i="1"/>
  <c r="FA94" i="1"/>
  <c r="ES94" i="1"/>
  <c r="FA66" i="1"/>
  <c r="ES66" i="1"/>
  <c r="FB95" i="1"/>
  <c r="ET95" i="1"/>
  <c r="EV23" i="1"/>
  <c r="EN23" i="1"/>
  <c r="FB24" i="1"/>
  <c r="ET24" i="1"/>
  <c r="EX34" i="1"/>
  <c r="EP34" i="1"/>
  <c r="EX90" i="1"/>
  <c r="EP90" i="1"/>
  <c r="EX45" i="1"/>
  <c r="EP45" i="1"/>
  <c r="FB9" i="1"/>
  <c r="ET9" i="1"/>
  <c r="EZ56" i="1"/>
  <c r="ER56" i="1"/>
  <c r="EP20" i="1"/>
  <c r="EX20" i="1"/>
  <c r="EZ61" i="1"/>
  <c r="ER61" i="1"/>
  <c r="EW25" i="1"/>
  <c r="EO25" i="1"/>
  <c r="EW58" i="1"/>
  <c r="EO58" i="1"/>
  <c r="EZ89" i="1"/>
  <c r="ER89" i="1"/>
  <c r="EW53" i="1"/>
  <c r="EO53" i="1"/>
  <c r="FA100" i="1"/>
  <c r="ES100" i="1"/>
  <c r="EW64" i="1"/>
  <c r="EO64" i="1"/>
  <c r="FA30" i="1"/>
  <c r="ES30" i="1"/>
  <c r="FA75" i="1"/>
  <c r="ES75" i="1"/>
  <c r="EX3" i="1"/>
  <c r="EP3" i="1"/>
  <c r="EW86" i="1"/>
  <c r="EO86" i="1"/>
  <c r="FB14" i="1"/>
  <c r="ET14" i="1"/>
  <c r="EW91" i="1"/>
  <c r="EO91" i="1"/>
  <c r="EV19" i="1"/>
  <c r="EN19" i="1"/>
  <c r="EZ8" i="1"/>
  <c r="ER8" i="1"/>
  <c r="FP8" i="1" s="1"/>
  <c r="EY83" i="1"/>
  <c r="EQ83" i="1"/>
  <c r="FB96" i="1"/>
  <c r="ET96" i="1"/>
  <c r="EV42" i="1"/>
  <c r="EN42" i="1"/>
  <c r="FA65" i="1"/>
  <c r="ES65" i="1"/>
  <c r="EV78" i="1"/>
  <c r="EN78" i="1"/>
  <c r="EV76" i="1"/>
  <c r="EN76" i="1"/>
  <c r="EN4" i="1"/>
  <c r="EV4" i="1"/>
  <c r="EX87" i="1"/>
  <c r="EP87" i="1"/>
  <c r="EZ15" i="1"/>
  <c r="ER15" i="1"/>
  <c r="EV98" i="1"/>
  <c r="EN98" i="1"/>
  <c r="EO26" i="1"/>
  <c r="EW26" i="1"/>
  <c r="EV54" i="1"/>
  <c r="EN54" i="1"/>
  <c r="EV31" i="1"/>
  <c r="EN31" i="1"/>
  <c r="EQ6" i="1"/>
  <c r="EY6" i="1"/>
  <c r="EZ94" i="1"/>
  <c r="ER94" i="1"/>
  <c r="FB59" i="1"/>
  <c r="ET59" i="1"/>
  <c r="FC23" i="1"/>
  <c r="EU23" i="1"/>
  <c r="FC70" i="1"/>
  <c r="EU70" i="1"/>
  <c r="EV34" i="1"/>
  <c r="EN34" i="1"/>
  <c r="ET81" i="1"/>
  <c r="FB81" i="1"/>
  <c r="EW45" i="1"/>
  <c r="EO45" i="1"/>
  <c r="EY92" i="1"/>
  <c r="EQ92" i="1"/>
  <c r="FC56" i="1"/>
  <c r="EU56" i="1"/>
  <c r="EV97" i="1"/>
  <c r="EN97" i="1"/>
  <c r="EX61" i="1"/>
  <c r="EP61" i="1"/>
  <c r="FB13" i="1"/>
  <c r="ET13" i="1"/>
  <c r="EP80" i="1"/>
  <c r="EX80" i="1"/>
  <c r="FC89" i="1"/>
  <c r="EU89" i="1"/>
  <c r="EV17" i="1"/>
  <c r="EN17" i="1"/>
  <c r="EZ100" i="1"/>
  <c r="ER100" i="1"/>
  <c r="EV28" i="1"/>
  <c r="EN28" i="1"/>
  <c r="EX30" i="1"/>
  <c r="EP30" i="1"/>
  <c r="EZ39" i="1"/>
  <c r="FX39" i="1" s="1"/>
  <c r="ER39" i="1"/>
  <c r="EV3" i="1"/>
  <c r="EN3" i="1"/>
  <c r="FB50" i="1"/>
  <c r="ET50" i="1"/>
  <c r="EU14" i="1"/>
  <c r="FC14" i="1"/>
  <c r="EX55" i="1"/>
  <c r="EP55" i="1"/>
  <c r="FB19" i="1"/>
  <c r="ET19" i="1"/>
  <c r="EV8" i="1"/>
  <c r="EN8" i="1"/>
  <c r="EW83" i="1"/>
  <c r="EO83" i="1"/>
  <c r="DS2" i="1"/>
  <c r="DY2" i="1"/>
  <c r="FU2" i="1" s="1"/>
  <c r="DQ2" i="1"/>
  <c r="ED2" i="1"/>
  <c r="DZ2" i="1"/>
  <c r="DR2" i="1"/>
  <c r="EC2" i="1"/>
  <c r="DU2" i="1"/>
  <c r="EA2" i="1"/>
  <c r="EE2" i="1"/>
  <c r="DW2" i="1"/>
  <c r="DP2" i="1"/>
  <c r="EE81" i="1"/>
  <c r="DQ77" i="1"/>
  <c r="DQ45" i="1"/>
  <c r="DR90" i="1"/>
  <c r="ED8" i="1"/>
  <c r="EE33" i="1"/>
  <c r="EB31" i="1"/>
  <c r="DZ67" i="1"/>
  <c r="ED36" i="1"/>
  <c r="DS48" i="1"/>
  <c r="ED21" i="1"/>
  <c r="DR44" i="1"/>
  <c r="EC54" i="1"/>
  <c r="DR56" i="1"/>
  <c r="DY92" i="1"/>
  <c r="EB95" i="1"/>
  <c r="EC42" i="1"/>
  <c r="DX83" i="1"/>
  <c r="DZ60" i="1"/>
  <c r="DQ83" i="1"/>
  <c r="DW57" i="1"/>
  <c r="DV91" i="1"/>
  <c r="DU60" i="1"/>
  <c r="EC56" i="1"/>
  <c r="ED13" i="1"/>
  <c r="EC13" i="1"/>
  <c r="DZ92" i="1"/>
  <c r="EC80" i="1"/>
  <c r="DR58" i="1"/>
  <c r="DY7" i="1"/>
  <c r="DP47" i="1"/>
  <c r="EB17" i="1"/>
  <c r="EB93" i="1"/>
  <c r="EB72" i="1"/>
  <c r="ED65" i="1"/>
  <c r="ED70" i="1"/>
  <c r="EB35" i="1"/>
  <c r="DZ68" i="1"/>
  <c r="DT5" i="1"/>
  <c r="ED59" i="1"/>
  <c r="DZ89" i="1"/>
  <c r="ED71" i="1"/>
  <c r="DZ33" i="1"/>
  <c r="DT96" i="1"/>
  <c r="ED34" i="1"/>
  <c r="DX8" i="1"/>
  <c r="ED79" i="1"/>
  <c r="DR32" i="1"/>
  <c r="EE43" i="1"/>
  <c r="EC21" i="1"/>
  <c r="DQ13" i="1"/>
  <c r="DW67" i="1"/>
  <c r="DP21" i="1"/>
  <c r="EE54" i="1"/>
  <c r="DY48" i="1"/>
  <c r="EC46" i="1"/>
  <c r="DZ36" i="1"/>
  <c r="DV93" i="1"/>
  <c r="DV32" i="1"/>
  <c r="EB94" i="1"/>
  <c r="DU77" i="1"/>
  <c r="EA65" i="1"/>
  <c r="DS57" i="1"/>
  <c r="DT82" i="1"/>
  <c r="EC57" i="1"/>
  <c r="DR53" i="1"/>
  <c r="DU32" i="1"/>
  <c r="DT66" i="1"/>
  <c r="EB46" i="1"/>
  <c r="DY95" i="1"/>
  <c r="DU33" i="1"/>
  <c r="DY31" i="1"/>
  <c r="DU22" i="1"/>
  <c r="EB33" i="1"/>
  <c r="DP49" i="1"/>
  <c r="DZ94" i="1"/>
  <c r="DP34" i="1"/>
  <c r="DT57" i="1"/>
  <c r="EC31" i="1"/>
  <c r="DS47" i="1"/>
  <c r="DT54" i="1"/>
  <c r="EB7" i="1"/>
  <c r="DQ70" i="1"/>
  <c r="EB43" i="1"/>
  <c r="DU78" i="1"/>
  <c r="DY53" i="1"/>
  <c r="DQ59" i="1"/>
  <c r="ED46" i="1"/>
  <c r="DY43" i="1"/>
  <c r="DR54" i="1"/>
  <c r="DP31" i="1"/>
  <c r="DT77" i="1"/>
  <c r="DW49" i="1"/>
  <c r="DS41" i="1"/>
  <c r="EA92" i="1"/>
  <c r="DZ31" i="1"/>
  <c r="DU58" i="1"/>
  <c r="DQ32" i="1"/>
  <c r="EE36" i="1"/>
  <c r="EC89" i="1"/>
  <c r="ED56" i="1"/>
  <c r="DU68" i="1"/>
  <c r="DY65" i="1"/>
  <c r="EA78" i="1"/>
  <c r="DT58" i="1"/>
  <c r="DS33" i="1"/>
  <c r="EE96" i="1"/>
  <c r="DY71" i="1"/>
  <c r="ED67" i="1"/>
  <c r="DU66" i="1"/>
  <c r="EC49" i="1"/>
  <c r="DQ79" i="1"/>
  <c r="EC72" i="1"/>
  <c r="DY54" i="1"/>
  <c r="DY57" i="1"/>
  <c r="EE93" i="1"/>
  <c r="DW70" i="1"/>
  <c r="DS66" i="1"/>
  <c r="DR47" i="1"/>
  <c r="ED53" i="1"/>
  <c r="EE72" i="1"/>
  <c r="EA8" i="1"/>
  <c r="DW22" i="1"/>
  <c r="DR71" i="1"/>
  <c r="DP67" i="1"/>
  <c r="DV68" i="1"/>
  <c r="EE13" i="1"/>
  <c r="DU90" i="1"/>
  <c r="EA53" i="1"/>
  <c r="DV49" i="1"/>
  <c r="DV81" i="1"/>
  <c r="DP89" i="1"/>
  <c r="EB53" i="1"/>
  <c r="EE79" i="1"/>
  <c r="EA36" i="1"/>
  <c r="DV92" i="1"/>
  <c r="DU17" i="1"/>
  <c r="ED69" i="1"/>
  <c r="DW91" i="1"/>
  <c r="DY80" i="1"/>
  <c r="DV90" i="1"/>
  <c r="DZ22" i="1"/>
  <c r="ED84" i="1"/>
  <c r="DR5" i="1"/>
  <c r="DZ72" i="1"/>
  <c r="DW45" i="1"/>
  <c r="EE60" i="1"/>
  <c r="EB21" i="1"/>
  <c r="DZ35" i="1"/>
  <c r="DQ41" i="1"/>
  <c r="DR7" i="1"/>
  <c r="EB69" i="1"/>
  <c r="DZ79" i="1"/>
  <c r="DV89" i="1"/>
  <c r="DX35" i="1"/>
  <c r="ED7" i="1"/>
  <c r="DT56" i="1"/>
  <c r="EC91" i="1"/>
  <c r="EC45" i="1"/>
  <c r="DX17" i="1"/>
  <c r="DP46" i="1"/>
  <c r="DX43" i="1"/>
  <c r="DS81" i="1"/>
  <c r="EB60" i="1"/>
  <c r="EB90" i="1"/>
  <c r="DR17" i="1"/>
  <c r="DQ90" i="1"/>
  <c r="EB84" i="1"/>
  <c r="DX5" i="1"/>
  <c r="EE48" i="1"/>
  <c r="EB23" i="1"/>
  <c r="EB44" i="1"/>
  <c r="DV54" i="1"/>
  <c r="EA95" i="1"/>
  <c r="EA72" i="1"/>
  <c r="EC79" i="1"/>
  <c r="DY89" i="1"/>
  <c r="DP7" i="1"/>
  <c r="DW90" i="1"/>
  <c r="DP56" i="1"/>
  <c r="DS35" i="1"/>
  <c r="DP92" i="1"/>
  <c r="DQ82" i="1"/>
  <c r="DU84" i="1"/>
  <c r="DY94" i="1"/>
  <c r="DS5" i="1"/>
  <c r="EB67" i="1"/>
  <c r="DY68" i="1"/>
  <c r="DZ83" i="1"/>
  <c r="DU48" i="1"/>
  <c r="DS32" i="1"/>
  <c r="EC70" i="1"/>
  <c r="EA96" i="1"/>
  <c r="EE69" i="1"/>
  <c r="ED31" i="1"/>
  <c r="EC83" i="1"/>
  <c r="DX91" i="1"/>
  <c r="EA17" i="1"/>
  <c r="DY36" i="1"/>
  <c r="DR70" i="1"/>
  <c r="EB42" i="1"/>
  <c r="DP77" i="1"/>
  <c r="DQ34" i="1"/>
  <c r="DV94" i="1"/>
  <c r="EE84" i="1"/>
  <c r="DU65" i="1"/>
  <c r="DY56" i="1"/>
  <c r="DS90" i="1"/>
  <c r="DT91" i="1"/>
  <c r="EC71" i="1"/>
  <c r="EB45" i="1"/>
  <c r="DX82" i="1"/>
  <c r="EA54" i="1"/>
  <c r="EC95" i="1"/>
  <c r="EC59" i="1"/>
  <c r="EB32" i="1"/>
  <c r="DY42" i="1"/>
  <c r="DT34" i="1"/>
  <c r="ED22" i="1"/>
  <c r="DY58" i="1"/>
  <c r="DU94" i="1"/>
  <c r="ED66" i="1"/>
  <c r="EB78" i="1"/>
  <c r="DS60" i="1"/>
  <c r="EC43" i="1"/>
  <c r="EA44" i="1"/>
  <c r="EA69" i="1"/>
  <c r="EB48" i="1"/>
  <c r="EA84" i="1"/>
  <c r="DS23" i="1"/>
  <c r="EB80" i="1"/>
  <c r="DV44" i="1"/>
  <c r="EA89" i="1"/>
  <c r="EB83" i="1"/>
  <c r="DZ93" i="1"/>
  <c r="DZ43" i="1"/>
  <c r="EE34" i="1"/>
  <c r="ED23" i="1"/>
  <c r="DY8" i="1"/>
  <c r="EA68" i="1"/>
  <c r="EB70" i="1"/>
  <c r="DX94" i="1"/>
  <c r="EE78" i="1"/>
  <c r="EB79" i="1"/>
  <c r="DY47" i="1"/>
  <c r="EA21" i="1"/>
  <c r="DZ96" i="1"/>
  <c r="EC5" i="1"/>
  <c r="EC93" i="1"/>
  <c r="EC35" i="1"/>
  <c r="ED42" i="1"/>
  <c r="EC7" i="1"/>
  <c r="DX68" i="1"/>
  <c r="EC96" i="1"/>
  <c r="DS93" i="1"/>
  <c r="DZ42" i="1"/>
  <c r="DX32" i="1"/>
  <c r="EC47" i="1"/>
  <c r="EA77" i="1"/>
  <c r="DZ84" i="1"/>
  <c r="DY84" i="1"/>
  <c r="EE82" i="1"/>
  <c r="EB65" i="1"/>
  <c r="DZ34" i="1"/>
  <c r="DU82" i="1"/>
  <c r="DX80" i="1"/>
  <c r="EC92" i="1"/>
  <c r="ED60" i="1"/>
  <c r="EA59" i="1"/>
  <c r="EC8" i="1"/>
  <c r="EB71" i="1"/>
  <c r="DS71" i="1"/>
  <c r="DZ91" i="1"/>
  <c r="ED80" i="1"/>
  <c r="DU36" i="1"/>
  <c r="ED33" i="1"/>
  <c r="DZ66" i="1"/>
  <c r="ED57" i="1"/>
  <c r="ED43" i="1"/>
  <c r="DQ23" i="1"/>
  <c r="DZ77" i="1"/>
  <c r="EE66" i="1"/>
  <c r="DZ23" i="1"/>
  <c r="DX58" i="1"/>
  <c r="ED41" i="1"/>
  <c r="EB59" i="1"/>
  <c r="DZ69" i="1"/>
  <c r="DY78" i="1"/>
  <c r="DY21" i="1"/>
  <c r="ED95" i="1"/>
  <c r="DX41" i="1"/>
  <c r="EE58" i="1"/>
  <c r="EC53" i="1"/>
  <c r="EC41" i="1"/>
  <c r="DY60" i="1"/>
  <c r="DS45" i="1"/>
  <c r="ED47" i="1"/>
  <c r="DY69" i="1"/>
  <c r="EC23" i="1"/>
  <c r="DY93" i="1"/>
  <c r="ED82" i="1"/>
  <c r="DY5" i="1"/>
  <c r="DZ80" i="1"/>
  <c r="DY44" i="1"/>
  <c r="ED45" i="1"/>
  <c r="DP23" i="1"/>
  <c r="DR8" i="1"/>
  <c r="EC67" i="1"/>
  <c r="DY96" i="1"/>
  <c r="DP70" i="1"/>
  <c r="EE94" i="1"/>
  <c r="EE7" i="1"/>
  <c r="DR57" i="1"/>
  <c r="DY17" i="1"/>
  <c r="EB92" i="1"/>
  <c r="DZ81" i="1"/>
  <c r="DX22" i="1"/>
  <c r="EE42" i="1"/>
  <c r="DY35" i="1"/>
  <c r="EA83" i="1"/>
  <c r="EC44" i="1"/>
  <c r="EA80" i="1"/>
  <c r="EC69" i="1"/>
  <c r="DY72" i="1"/>
  <c r="ED48" i="1"/>
  <c r="EE46" i="1"/>
  <c r="DZ78" i="1"/>
  <c r="DP95" i="1"/>
  <c r="DP90" i="1"/>
  <c r="DX90" i="1"/>
  <c r="DW95" i="1"/>
  <c r="EE95" i="1"/>
  <c r="DW65" i="1"/>
  <c r="EE65" i="1"/>
  <c r="DW71" i="1"/>
  <c r="EE71" i="1"/>
  <c r="DS58" i="1"/>
  <c r="EA58" i="1"/>
  <c r="DW59" i="1"/>
  <c r="EE59" i="1"/>
  <c r="DS94" i="1"/>
  <c r="EA94" i="1"/>
  <c r="EA7" i="1"/>
  <c r="DS7" i="1"/>
  <c r="ED5" i="1"/>
  <c r="EC34" i="1"/>
  <c r="DW35" i="1"/>
  <c r="EE35" i="1"/>
  <c r="DW17" i="1"/>
  <c r="EE17" i="1"/>
  <c r="DW5" i="1"/>
  <c r="EE5" i="1"/>
  <c r="EB8" i="1"/>
  <c r="EB68" i="1"/>
  <c r="DY91" i="1"/>
  <c r="ED96" i="1"/>
  <c r="EB47" i="1"/>
  <c r="DW83" i="1"/>
  <c r="EE83" i="1"/>
  <c r="DS34" i="1"/>
  <c r="EA34" i="1"/>
  <c r="DX71" i="1"/>
  <c r="ED83" i="1"/>
  <c r="DZ48" i="1"/>
  <c r="DZ59" i="1"/>
  <c r="EA42" i="1"/>
  <c r="DY33" i="1"/>
  <c r="ED78" i="1"/>
  <c r="DX59" i="1"/>
  <c r="ED58" i="1"/>
  <c r="DW41" i="1"/>
  <c r="EE41" i="1"/>
  <c r="DW8" i="1"/>
  <c r="EE8" i="1"/>
  <c r="DW47" i="1"/>
  <c r="EE47" i="1"/>
  <c r="DX33" i="1"/>
  <c r="DP33" i="1"/>
  <c r="DW80" i="1"/>
  <c r="EE80" i="1"/>
  <c r="DP84" i="1"/>
  <c r="DX84" i="1"/>
  <c r="EE68" i="1"/>
  <c r="DW68" i="1"/>
  <c r="DX93" i="1"/>
  <c r="DP93" i="1"/>
  <c r="DP96" i="1"/>
  <c r="DX96" i="1"/>
  <c r="DP72" i="1"/>
  <c r="DX72" i="1"/>
  <c r="DS91" i="1"/>
  <c r="EA91" i="1"/>
  <c r="EB41" i="1"/>
  <c r="DX65" i="1"/>
  <c r="DZ41" i="1"/>
  <c r="DZ95" i="1"/>
  <c r="ED35" i="1"/>
  <c r="ED17" i="1"/>
  <c r="DW89" i="1"/>
  <c r="EE89" i="1"/>
  <c r="DS70" i="1"/>
  <c r="EA70" i="1"/>
  <c r="DS79" i="1"/>
  <c r="EA79" i="1"/>
  <c r="DP81" i="1"/>
  <c r="DX81" i="1"/>
  <c r="DP60" i="1"/>
  <c r="DX60" i="1"/>
  <c r="ED72" i="1"/>
  <c r="DS82" i="1"/>
  <c r="EA82" i="1"/>
  <c r="DP69" i="1"/>
  <c r="DX69" i="1"/>
  <c r="DX79" i="1"/>
  <c r="EB89" i="1"/>
  <c r="DZ65" i="1"/>
  <c r="DZ45" i="1"/>
  <c r="DX44" i="1"/>
  <c r="DP48" i="1"/>
  <c r="DX48" i="1"/>
  <c r="DW23" i="1"/>
  <c r="FS23" i="1" s="1"/>
  <c r="EE23" i="1"/>
  <c r="DW44" i="1"/>
  <c r="EE44" i="1"/>
  <c r="DX45" i="1"/>
  <c r="DP45" i="1"/>
  <c r="DP54" i="1"/>
  <c r="DX54" i="1"/>
  <c r="DP57" i="1"/>
  <c r="DX57" i="1"/>
  <c r="DS22" i="1"/>
  <c r="EA22" i="1"/>
  <c r="DW92" i="1"/>
  <c r="EE92" i="1"/>
  <c r="DW56" i="1"/>
  <c r="EE56" i="1"/>
  <c r="DP36" i="1"/>
  <c r="DX36" i="1"/>
  <c r="DW32" i="1"/>
  <c r="EE32" i="1"/>
  <c r="DW53" i="1"/>
  <c r="EE53" i="1"/>
  <c r="DP42" i="1"/>
  <c r="DX42" i="1"/>
  <c r="DZ46" i="1"/>
  <c r="DR46" i="1"/>
  <c r="DP78" i="1"/>
  <c r="DX78" i="1"/>
  <c r="EA67" i="1"/>
  <c r="DS67" i="1"/>
  <c r="DS43" i="1"/>
  <c r="EA43" i="1"/>
  <c r="DS46" i="1"/>
  <c r="EA46" i="1"/>
  <c r="DW77" i="1"/>
  <c r="EE77" i="1"/>
  <c r="DR82" i="1"/>
  <c r="DZ82" i="1"/>
  <c r="DP66" i="1"/>
  <c r="DX66" i="1"/>
  <c r="FN34" i="1" l="1"/>
  <c r="FX89" i="1"/>
  <c r="FS5" i="1"/>
  <c r="FW49" i="1"/>
  <c r="FP65" i="1"/>
  <c r="FP68" i="1"/>
  <c r="FL12" i="1"/>
  <c r="FX29" i="1"/>
  <c r="FO29" i="1"/>
  <c r="FL10" i="1"/>
  <c r="FO99" i="1"/>
  <c r="FX16" i="1"/>
  <c r="FZ74" i="1"/>
  <c r="FV32" i="1"/>
  <c r="FY33" i="1"/>
  <c r="GA74" i="1"/>
  <c r="FP21" i="1"/>
  <c r="GA88" i="1"/>
  <c r="FX49" i="1"/>
  <c r="FP33" i="1"/>
  <c r="FN29" i="1"/>
  <c r="FN68" i="1"/>
  <c r="FL24" i="1"/>
  <c r="FS10" i="1"/>
  <c r="FS85" i="1"/>
  <c r="FN99" i="1"/>
  <c r="FM36" i="1"/>
  <c r="FQ82" i="1"/>
  <c r="FX92" i="1"/>
  <c r="FT75" i="1"/>
  <c r="FU64" i="1"/>
  <c r="FR22" i="1"/>
  <c r="FL93" i="1"/>
  <c r="GA54" i="1"/>
  <c r="FY44" i="1"/>
  <c r="FR15" i="1"/>
  <c r="FV73" i="1"/>
  <c r="FR49" i="1"/>
  <c r="FN41" i="1"/>
  <c r="FQ43" i="1"/>
  <c r="FN95" i="1"/>
  <c r="FL51" i="1"/>
  <c r="FQ66" i="1"/>
  <c r="GA57" i="1"/>
  <c r="FW30" i="1"/>
  <c r="FU50" i="1"/>
  <c r="FP46" i="1"/>
  <c r="FV81" i="1"/>
  <c r="FT78" i="1"/>
  <c r="FN70" i="1"/>
  <c r="FR80" i="1"/>
  <c r="GA61" i="1"/>
  <c r="FX9" i="1"/>
  <c r="FN50" i="1"/>
  <c r="FN78" i="1"/>
  <c r="GA53" i="1"/>
  <c r="FY100" i="1"/>
  <c r="FM60" i="1"/>
  <c r="FN56" i="1"/>
  <c r="FZ58" i="1"/>
  <c r="FY13" i="1"/>
  <c r="FU5" i="1"/>
  <c r="FO2" i="1"/>
  <c r="FO25" i="1"/>
  <c r="FQ33" i="1"/>
  <c r="FM24" i="1"/>
  <c r="FT85" i="1"/>
  <c r="FR82" i="1"/>
  <c r="FU40" i="1"/>
  <c r="FV24" i="1"/>
  <c r="FT35" i="1"/>
  <c r="FX76" i="1"/>
  <c r="FV19" i="1"/>
  <c r="FZ59" i="1"/>
  <c r="FR29" i="1"/>
  <c r="FL7" i="1"/>
  <c r="FR97" i="1"/>
  <c r="FM35" i="1"/>
  <c r="FP67" i="1"/>
  <c r="FS94" i="1"/>
  <c r="FS97" i="1"/>
  <c r="FU12" i="1"/>
  <c r="FQ24" i="1"/>
  <c r="FW55" i="1"/>
  <c r="FQ99" i="1"/>
  <c r="FR36" i="1"/>
  <c r="FZ88" i="1"/>
  <c r="FL71" i="1"/>
  <c r="FX52" i="1"/>
  <c r="FV49" i="1"/>
  <c r="FU18" i="1"/>
  <c r="FX63" i="1"/>
  <c r="FO27" i="1"/>
  <c r="FS27" i="1"/>
  <c r="FL85" i="1"/>
  <c r="FP37" i="1"/>
  <c r="FT40" i="1"/>
  <c r="FV23" i="1"/>
  <c r="FT81" i="1"/>
  <c r="FZ53" i="1"/>
  <c r="FL4" i="1"/>
  <c r="FN75" i="1"/>
  <c r="FT48" i="1"/>
  <c r="FP30" i="1"/>
  <c r="FW77" i="1"/>
  <c r="FU60" i="1"/>
  <c r="FX33" i="1"/>
  <c r="FV29" i="1"/>
  <c r="FV68" i="1"/>
  <c r="FT24" i="1"/>
  <c r="GA10" i="1"/>
  <c r="GA85" i="1"/>
  <c r="FV99" i="1"/>
  <c r="FU36" i="1"/>
  <c r="FY82" i="1"/>
  <c r="FL17" i="1"/>
  <c r="FP94" i="1"/>
  <c r="GA71" i="1"/>
  <c r="GA4" i="1"/>
  <c r="FQ49" i="1"/>
  <c r="FM41" i="1"/>
  <c r="FQ47" i="1"/>
  <c r="FL70" i="1"/>
  <c r="FP80" i="1"/>
  <c r="FQ61" i="1"/>
  <c r="FN9" i="1"/>
  <c r="FZ15" i="1"/>
  <c r="FN73" i="1"/>
  <c r="FX21" i="1"/>
  <c r="FT4" i="1"/>
  <c r="FZ49" i="1"/>
  <c r="FV41" i="1"/>
  <c r="FY43" i="1"/>
  <c r="FV95" i="1"/>
  <c r="FT51" i="1"/>
  <c r="FY66" i="1"/>
  <c r="FS57" i="1"/>
  <c r="FS11" i="1"/>
  <c r="FQ88" i="1"/>
  <c r="FR2" i="1"/>
  <c r="FM77" i="1"/>
  <c r="FW58" i="1"/>
  <c r="FS6" i="1"/>
  <c r="GA77" i="1"/>
  <c r="FQ39" i="1"/>
  <c r="FQ7" i="1"/>
  <c r="FN55" i="1"/>
  <c r="FP83" i="1"/>
  <c r="FM28" i="1"/>
  <c r="FL19" i="1"/>
  <c r="FP59" i="1"/>
  <c r="FT17" i="1"/>
  <c r="FX94" i="1"/>
  <c r="FS71" i="1"/>
  <c r="FS4" i="1"/>
  <c r="FY49" i="1"/>
  <c r="FU41" i="1"/>
  <c r="FY47" i="1"/>
  <c r="FT70" i="1"/>
  <c r="FX80" i="1"/>
  <c r="FY61" i="1"/>
  <c r="FV9" i="1"/>
  <c r="FN30" i="1"/>
  <c r="FL50" i="1"/>
  <c r="FU62" i="1"/>
  <c r="FQ100" i="1"/>
  <c r="FL91" i="1"/>
  <c r="GA89" i="1"/>
  <c r="FM10" i="1"/>
  <c r="FM85" i="1"/>
  <c r="FP99" i="1"/>
  <c r="FO36" i="1"/>
  <c r="FS82" i="1"/>
  <c r="FV40" i="1"/>
  <c r="FZ92" i="1"/>
  <c r="FX23" i="1"/>
  <c r="FU4" i="1"/>
  <c r="FS20" i="1"/>
  <c r="FT69" i="1"/>
  <c r="FX42" i="1"/>
  <c r="FW74" i="1"/>
  <c r="GA6" i="1"/>
  <c r="FS77" i="1"/>
  <c r="FY39" i="1"/>
  <c r="FY7" i="1"/>
  <c r="FV55" i="1"/>
  <c r="FX83" i="1"/>
  <c r="FU28" i="1"/>
  <c r="FT19" i="1"/>
  <c r="FX59" i="1"/>
  <c r="FQ65" i="1"/>
  <c r="FR31" i="1"/>
  <c r="FL62" i="1"/>
  <c r="FX100" i="1"/>
  <c r="FW91" i="1"/>
  <c r="FR89" i="1"/>
  <c r="FP43" i="1"/>
  <c r="FL95" i="1"/>
  <c r="FS3" i="1"/>
  <c r="FS66" i="1"/>
  <c r="FR57" i="1"/>
  <c r="FV30" i="1"/>
  <c r="FT50" i="1"/>
  <c r="FM62" i="1"/>
  <c r="FT91" i="1"/>
  <c r="FO85" i="1"/>
  <c r="FW78" i="1"/>
  <c r="FV56" i="1"/>
  <c r="FR58" i="1"/>
  <c r="FP16" i="1"/>
  <c r="FR74" i="1"/>
  <c r="FN32" i="1"/>
  <c r="FQ13" i="1"/>
  <c r="FM5" i="1"/>
  <c r="FY65" i="1"/>
  <c r="FZ31" i="1"/>
  <c r="FT62" i="1"/>
  <c r="FP100" i="1"/>
  <c r="FO91" i="1"/>
  <c r="FZ89" i="1"/>
  <c r="FX43" i="1"/>
  <c r="FT95" i="1"/>
  <c r="GA3" i="1"/>
  <c r="GA66" i="1"/>
  <c r="FZ57" i="1"/>
  <c r="FM40" i="1"/>
  <c r="FQ92" i="1"/>
  <c r="FR33" i="1"/>
  <c r="FP29" i="1"/>
  <c r="FM68" i="1"/>
  <c r="FN24" i="1"/>
  <c r="FQ97" i="1"/>
  <c r="FL35" i="1"/>
  <c r="FP76" i="1"/>
  <c r="FN19" i="1"/>
  <c r="FR59" i="1"/>
  <c r="FW79" i="1"/>
  <c r="FO68" i="1"/>
  <c r="FN36" i="1"/>
  <c r="FY92" i="1"/>
  <c r="FZ33" i="1"/>
  <c r="FU68" i="1"/>
  <c r="FY97" i="1"/>
  <c r="FT31" i="1"/>
  <c r="FS33" i="1"/>
  <c r="FQ76" i="1"/>
  <c r="FW17" i="1"/>
  <c r="FW62" i="1"/>
  <c r="FY29" i="1"/>
  <c r="FQ68" i="1"/>
  <c r="FP24" i="1"/>
  <c r="FV35" i="1"/>
  <c r="FZ76" i="1"/>
  <c r="FY67" i="1"/>
  <c r="FM72" i="1"/>
  <c r="FN31" i="1"/>
  <c r="FL6" i="1"/>
  <c r="FL77" i="1"/>
  <c r="FR68" i="1"/>
  <c r="FL83" i="1"/>
  <c r="FN82" i="1"/>
  <c r="FU69" i="1"/>
  <c r="FZ41" i="1"/>
  <c r="FW48" i="1"/>
  <c r="FT3" i="1"/>
  <c r="FV61" i="1"/>
  <c r="GA9" i="1"/>
  <c r="GA30" i="1"/>
  <c r="FY50" i="1"/>
  <c r="FL46" i="1"/>
  <c r="GA75" i="1"/>
  <c r="FS81" i="1"/>
  <c r="FX78" i="1"/>
  <c r="FL47" i="1"/>
  <c r="FS93" i="1"/>
  <c r="FP38" i="1"/>
  <c r="FQ42" i="1"/>
  <c r="FP86" i="1"/>
  <c r="FN8" i="1"/>
  <c r="FN90" i="1"/>
  <c r="FO84" i="1"/>
  <c r="FP64" i="1"/>
  <c r="FM47" i="1"/>
  <c r="FQ93" i="1"/>
  <c r="FR38" i="1"/>
  <c r="FR42" i="1"/>
  <c r="FY86" i="1"/>
  <c r="FQ63" i="1"/>
  <c r="FO8" i="1"/>
  <c r="FN46" i="1"/>
  <c r="FO4" i="1"/>
  <c r="FR91" i="1"/>
  <c r="FO89" i="1"/>
  <c r="FP10" i="1"/>
  <c r="FP85" i="1"/>
  <c r="FR28" i="1"/>
  <c r="FY19" i="1"/>
  <c r="FM59" i="1"/>
  <c r="FM65" i="1"/>
  <c r="FO31" i="1"/>
  <c r="FM83" i="1"/>
  <c r="FU56" i="1"/>
  <c r="FW46" i="1"/>
  <c r="FY85" i="1"/>
  <c r="FZ77" i="1"/>
  <c r="FL36" i="1"/>
  <c r="FR64" i="1"/>
  <c r="FN65" i="1"/>
  <c r="FO44" i="1"/>
  <c r="FZ27" i="1"/>
  <c r="FS48" i="1"/>
  <c r="FM79" i="1"/>
  <c r="FS19" i="1"/>
  <c r="FR26" i="1"/>
  <c r="FW67" i="1"/>
  <c r="GA84" i="1"/>
  <c r="FZ18" i="1"/>
  <c r="FV21" i="1"/>
  <c r="FZ40" i="1"/>
  <c r="FS86" i="1"/>
  <c r="FT5" i="1"/>
  <c r="FQ84" i="1"/>
  <c r="FL64" i="1"/>
  <c r="FQ22" i="1"/>
  <c r="FS45" i="1"/>
  <c r="FR54" i="1"/>
  <c r="FY53" i="1"/>
  <c r="FP44" i="1"/>
  <c r="FW2" i="1"/>
  <c r="FW25" i="1"/>
  <c r="FO79" i="1"/>
  <c r="FW29" i="1"/>
  <c r="FW68" i="1"/>
  <c r="FU24" i="1"/>
  <c r="FT10" i="1"/>
  <c r="FW99" i="1"/>
  <c r="FV36" i="1"/>
  <c r="FZ82" i="1"/>
  <c r="FU17" i="1"/>
  <c r="FQ94" i="1"/>
  <c r="FL14" i="1"/>
  <c r="FS39" i="1"/>
  <c r="FS7" i="1"/>
  <c r="FP32" i="1"/>
  <c r="FS13" i="1"/>
  <c r="FO5" i="1"/>
  <c r="FO60" i="1"/>
  <c r="FX65" i="1"/>
  <c r="FL31" i="1"/>
  <c r="GA33" i="1"/>
  <c r="FZ29" i="1"/>
  <c r="FX68" i="1"/>
  <c r="FT7" i="1"/>
  <c r="FZ97" i="1"/>
  <c r="FU35" i="1"/>
  <c r="FY76" i="1"/>
  <c r="FX67" i="1"/>
  <c r="FT12" i="1"/>
  <c r="FT72" i="1"/>
  <c r="FM31" i="1"/>
  <c r="FN14" i="1"/>
  <c r="FR37" i="1"/>
  <c r="FM87" i="1"/>
  <c r="FM7" i="1"/>
  <c r="FR32" i="1"/>
  <c r="FM13" i="1"/>
  <c r="FQ5" i="1"/>
  <c r="FQ60" i="1"/>
  <c r="FV31" i="1"/>
  <c r="GA27" i="1"/>
  <c r="FY84" i="1"/>
  <c r="FT64" i="1"/>
  <c r="FY22" i="1"/>
  <c r="GA45" i="1"/>
  <c r="FZ54" i="1"/>
  <c r="FQ53" i="1"/>
  <c r="FX44" i="1"/>
  <c r="FQ15" i="1"/>
  <c r="FM73" i="1"/>
  <c r="FO21" i="1"/>
  <c r="FS14" i="1"/>
  <c r="FO37" i="1"/>
  <c r="FR39" i="1"/>
  <c r="FR7" i="1"/>
  <c r="FP97" i="1"/>
  <c r="FS35" i="1"/>
  <c r="FN28" i="1"/>
  <c r="FM19" i="1"/>
  <c r="FQ59" i="1"/>
  <c r="FM17" i="1"/>
  <c r="FY94" i="1"/>
  <c r="FT14" i="1"/>
  <c r="FX37" i="1"/>
  <c r="GA39" i="1"/>
  <c r="GA7" i="1"/>
  <c r="FX32" i="1"/>
  <c r="GA13" i="1"/>
  <c r="FW5" i="1"/>
  <c r="FW60" i="1"/>
  <c r="FS2" i="1"/>
  <c r="FQ25" i="1"/>
  <c r="FN98" i="1"/>
  <c r="FM14" i="1"/>
  <c r="FY37" i="1"/>
  <c r="FL87" i="1"/>
  <c r="FM96" i="1"/>
  <c r="FY32" i="1"/>
  <c r="FL13" i="1"/>
  <c r="FP5" i="1"/>
  <c r="FX60" i="1"/>
  <c r="FN7" i="1"/>
  <c r="FZ4" i="1"/>
  <c r="FP49" i="1"/>
  <c r="FL41" i="1"/>
  <c r="FR47" i="1"/>
  <c r="FS70" i="1"/>
  <c r="FO80" i="1"/>
  <c r="FP61" i="1"/>
  <c r="FM9" i="1"/>
  <c r="FY15" i="1"/>
  <c r="FU73" i="1"/>
  <c r="FW21" i="1"/>
  <c r="GA14" i="1"/>
  <c r="FW37" i="1"/>
  <c r="FZ39" i="1"/>
  <c r="FZ7" i="1"/>
  <c r="FX97" i="1"/>
  <c r="GA35" i="1"/>
  <c r="FV28" i="1"/>
  <c r="FU19" i="1"/>
  <c r="FY59" i="1"/>
  <c r="FR65" i="1"/>
  <c r="FS31" i="1"/>
  <c r="FP56" i="1"/>
  <c r="FL58" i="1"/>
  <c r="FR16" i="1"/>
  <c r="FL96" i="1"/>
  <c r="FM93" i="1"/>
  <c r="FS38" i="1"/>
  <c r="FL42" i="1"/>
  <c r="FR44" i="1"/>
  <c r="GA2" i="1"/>
  <c r="FY25" i="1"/>
  <c r="FV98" i="1"/>
  <c r="FU14" i="1"/>
  <c r="FQ37" i="1"/>
  <c r="FT66" i="1"/>
  <c r="FT57" i="1"/>
  <c r="FZ50" i="1"/>
  <c r="FR4" i="1"/>
  <c r="FT41" i="1"/>
  <c r="FZ47" i="1"/>
  <c r="GA70" i="1"/>
  <c r="FW80" i="1"/>
  <c r="FX61" i="1"/>
  <c r="FU9" i="1"/>
  <c r="FM30" i="1"/>
  <c r="FS50" i="1"/>
  <c r="FY90" i="1"/>
  <c r="FO56" i="1"/>
  <c r="GA58" i="1"/>
  <c r="FQ16" i="1"/>
  <c r="FO32" i="1"/>
  <c r="FR13" i="1"/>
  <c r="FN5" i="1"/>
  <c r="FN60" i="1"/>
  <c r="FZ65" i="1"/>
  <c r="GA31" i="1"/>
  <c r="FX56" i="1"/>
  <c r="FT58" i="1"/>
  <c r="FZ16" i="1"/>
  <c r="FT96" i="1"/>
  <c r="FU93" i="1"/>
  <c r="GA38" i="1"/>
  <c r="FT42" i="1"/>
  <c r="FZ44" i="1"/>
  <c r="FS15" i="1"/>
  <c r="FW73" i="1"/>
  <c r="FQ21" i="1"/>
  <c r="FR56" i="1"/>
  <c r="FM58" i="1"/>
  <c r="FS16" i="1"/>
  <c r="FL22" i="1"/>
  <c r="FV93" i="1"/>
  <c r="FL38" i="1"/>
  <c r="FM42" i="1"/>
  <c r="FL86" i="1"/>
  <c r="FL2" i="1"/>
  <c r="FZ25" i="1"/>
  <c r="FW98" i="1"/>
  <c r="FY56" i="1"/>
  <c r="FV58" i="1"/>
  <c r="FT16" i="1"/>
  <c r="FV96" i="1"/>
  <c r="FW93" i="1"/>
  <c r="FU38" i="1"/>
  <c r="FV42" i="1"/>
  <c r="FV86" i="1"/>
  <c r="FM63" i="1"/>
  <c r="FS8" i="1"/>
  <c r="FS21" i="1"/>
  <c r="FT27" i="1"/>
  <c r="FL84" i="1"/>
  <c r="FU16" i="1"/>
  <c r="FO96" i="1"/>
  <c r="FL45" i="1"/>
  <c r="FN13" i="1"/>
  <c r="FR5" i="1"/>
  <c r="FO10" i="1"/>
  <c r="GA95" i="1"/>
  <c r="FP69" i="1"/>
  <c r="FN53" i="1"/>
  <c r="GA91" i="1"/>
  <c r="GA62" i="1"/>
  <c r="FV52" i="1"/>
  <c r="FN91" i="1"/>
  <c r="FQ89" i="1"/>
  <c r="FO43" i="1"/>
  <c r="FS18" i="1"/>
  <c r="FR3" i="1"/>
  <c r="FR66" i="1"/>
  <c r="FQ57" i="1"/>
  <c r="FU30" i="1"/>
  <c r="GA50" i="1"/>
  <c r="FQ90" i="1"/>
  <c r="FW56" i="1"/>
  <c r="FS58" i="1"/>
  <c r="FY16" i="1"/>
  <c r="FS74" i="1"/>
  <c r="FW32" i="1"/>
  <c r="FZ13" i="1"/>
  <c r="FV5" i="1"/>
  <c r="FV60" i="1"/>
  <c r="FP2" i="1"/>
  <c r="FP25" i="1"/>
  <c r="FL98" i="1"/>
  <c r="FM75" i="1"/>
  <c r="FM81" i="1"/>
  <c r="FN64" i="1"/>
  <c r="GA22" i="1"/>
  <c r="FM70" i="1"/>
  <c r="FQ80" i="1"/>
  <c r="FR61" i="1"/>
  <c r="FW9" i="1"/>
  <c r="GA15" i="1"/>
  <c r="FS62" i="1"/>
  <c r="FN52" i="1"/>
  <c r="FV91" i="1"/>
  <c r="FY89" i="1"/>
  <c r="FW43" i="1"/>
  <c r="GA18" i="1"/>
  <c r="FZ3" i="1"/>
  <c r="FZ66" i="1"/>
  <c r="FY57" i="1"/>
  <c r="FL40" i="1"/>
  <c r="FP92" i="1"/>
  <c r="FN23" i="1"/>
  <c r="FL75" i="1"/>
  <c r="FL81" i="1"/>
  <c r="FM64" i="1"/>
  <c r="FZ22" i="1"/>
  <c r="FT93" i="1"/>
  <c r="FS54" i="1"/>
  <c r="FR53" i="1"/>
  <c r="FQ44" i="1"/>
  <c r="FX2" i="1"/>
  <c r="FX25" i="1"/>
  <c r="FT98" i="1"/>
  <c r="FU75" i="1"/>
  <c r="FU81" i="1"/>
  <c r="FO42" i="1"/>
  <c r="GA65" i="1"/>
  <c r="FW20" i="1"/>
  <c r="FU72" i="1"/>
  <c r="FT6" i="1"/>
  <c r="FT77" i="1"/>
  <c r="FZ68" i="1"/>
  <c r="FY24" i="1"/>
  <c r="FO55" i="1"/>
  <c r="FT83" i="1"/>
  <c r="FY99" i="1"/>
  <c r="FZ36" i="1"/>
  <c r="FV82" i="1"/>
  <c r="FQ17" i="1"/>
  <c r="FL94" i="1"/>
  <c r="FQ62" i="1"/>
  <c r="FM100" i="1"/>
  <c r="FN26" i="1"/>
  <c r="FM20" i="1"/>
  <c r="FU43" i="1"/>
  <c r="FQ95" i="1"/>
  <c r="FP51" i="1"/>
  <c r="FV11" i="1"/>
  <c r="FR34" i="1"/>
  <c r="FS30" i="1"/>
  <c r="FQ50" i="1"/>
  <c r="FT46" i="1"/>
  <c r="FS75" i="1"/>
  <c r="GA81" i="1"/>
  <c r="FP78" i="1"/>
  <c r="FT47" i="1"/>
  <c r="GA93" i="1"/>
  <c r="FX38" i="1"/>
  <c r="FY42" i="1"/>
  <c r="FX86" i="1"/>
  <c r="FP63" i="1"/>
  <c r="FV8" i="1"/>
  <c r="FV90" i="1"/>
  <c r="FW27" i="1"/>
  <c r="FW84" i="1"/>
  <c r="FX64" i="1"/>
  <c r="FU47" i="1"/>
  <c r="FY93" i="1"/>
  <c r="FZ38" i="1"/>
  <c r="FZ42" i="1"/>
  <c r="FQ86" i="1"/>
  <c r="FY63" i="1"/>
  <c r="FV46" i="1"/>
  <c r="FZ91" i="1"/>
  <c r="FX10" i="1"/>
  <c r="FQ19" i="1"/>
  <c r="FU65" i="1"/>
  <c r="FW31" i="1"/>
  <c r="FO49" i="1"/>
  <c r="FO23" i="1"/>
  <c r="FS41" i="1"/>
  <c r="FP57" i="1"/>
  <c r="FV65" i="1"/>
  <c r="FR27" i="1"/>
  <c r="FU79" i="1"/>
  <c r="GA19" i="1"/>
  <c r="FZ26" i="1"/>
  <c r="FM91" i="1"/>
  <c r="FL23" i="1"/>
  <c r="FT29" i="1"/>
  <c r="FW88" i="1"/>
  <c r="FL72" i="1"/>
  <c r="FU31" i="1"/>
  <c r="FV14" i="1"/>
  <c r="FZ37" i="1"/>
  <c r="FU87" i="1"/>
  <c r="FU7" i="1"/>
  <c r="FZ32" i="1"/>
  <c r="FU13" i="1"/>
  <c r="FY5" i="1"/>
  <c r="FY60" i="1"/>
  <c r="FN2" i="1"/>
  <c r="FS25" i="1"/>
  <c r="FP98" i="1"/>
  <c r="FO14" i="1"/>
  <c r="FS37" i="1"/>
  <c r="FN87" i="1"/>
  <c r="FL97" i="1"/>
  <c r="FO35" i="1"/>
  <c r="GA76" i="1"/>
  <c r="FZ67" i="1"/>
  <c r="FN12" i="1"/>
  <c r="FY17" i="1"/>
  <c r="FT94" i="1"/>
  <c r="FY62" i="1"/>
  <c r="FU100" i="1"/>
  <c r="FV26" i="1"/>
  <c r="FU20" i="1"/>
  <c r="FM43" i="1"/>
  <c r="FY95" i="1"/>
  <c r="FX51" i="1"/>
  <c r="FN11" i="1"/>
  <c r="FZ34" i="1"/>
  <c r="FS88" i="1"/>
  <c r="FN69" i="1"/>
  <c r="FN71" i="1"/>
  <c r="FQ52" i="1"/>
  <c r="FP91" i="1"/>
  <c r="FL89" i="1"/>
  <c r="FP48" i="1"/>
  <c r="FN18" i="1"/>
  <c r="FU3" i="1"/>
  <c r="FL66" i="1"/>
  <c r="FL57" i="1"/>
  <c r="FO40" i="1"/>
  <c r="FM46" i="1"/>
  <c r="FQ81" i="1"/>
  <c r="FR78" i="1"/>
  <c r="FU66" i="1"/>
  <c r="FM57" i="1"/>
  <c r="FL92" i="1"/>
  <c r="FQ26" i="1"/>
  <c r="FP20" i="1"/>
  <c r="FL79" i="1"/>
  <c r="FW23" i="1"/>
  <c r="GA41" i="1"/>
  <c r="FX57" i="1"/>
  <c r="FP31" i="1"/>
  <c r="FQ78" i="1"/>
  <c r="GA12" i="1"/>
  <c r="FU91" i="1"/>
  <c r="FT23" i="1"/>
  <c r="FO88" i="1"/>
  <c r="FT87" i="1"/>
  <c r="FU96" i="1"/>
  <c r="FQ32" i="1"/>
  <c r="FT13" i="1"/>
  <c r="FX5" i="1"/>
  <c r="FP60" i="1"/>
  <c r="FT2" i="1"/>
  <c r="FR25" i="1"/>
  <c r="FO98" i="1"/>
  <c r="FQ56" i="1"/>
  <c r="FN58" i="1"/>
  <c r="FL16" i="1"/>
  <c r="FN96" i="1"/>
  <c r="FO93" i="1"/>
  <c r="FM38" i="1"/>
  <c r="FN42" i="1"/>
  <c r="FN86" i="1"/>
  <c r="FV2" i="1"/>
  <c r="GA25" i="1"/>
  <c r="FX98" i="1"/>
  <c r="FW14" i="1"/>
  <c r="GA37" i="1"/>
  <c r="FV87" i="1"/>
  <c r="FV7" i="1"/>
  <c r="FT97" i="1"/>
  <c r="FW35" i="1"/>
  <c r="FS76" i="1"/>
  <c r="FR67" i="1"/>
  <c r="FV12" i="1"/>
  <c r="FN72" i="1"/>
  <c r="FP79" i="1"/>
  <c r="FM6" i="1"/>
  <c r="FN77" i="1"/>
  <c r="GA68" i="1"/>
  <c r="FR24" i="1"/>
  <c r="FP55" i="1"/>
  <c r="FN83" i="1"/>
  <c r="FO28" i="1"/>
  <c r="FS36" i="1"/>
  <c r="FW82" i="1"/>
  <c r="FV69" i="1"/>
  <c r="FV71" i="1"/>
  <c r="FY52" i="1"/>
  <c r="FX91" i="1"/>
  <c r="FT89" i="1"/>
  <c r="FX48" i="1"/>
  <c r="FV18" i="1"/>
  <c r="FM3" i="1"/>
  <c r="FW40" i="1"/>
  <c r="FU46" i="1"/>
  <c r="FY75" i="1"/>
  <c r="FY81" i="1"/>
  <c r="FZ78" i="1"/>
  <c r="FY48" i="1"/>
  <c r="FW18" i="1"/>
  <c r="FN3" i="1"/>
  <c r="FM66" i="1"/>
  <c r="FU57" i="1"/>
  <c r="FX40" i="1"/>
  <c r="FT92" i="1"/>
  <c r="FU71" i="1"/>
  <c r="GA52" i="1"/>
  <c r="FY26" i="1"/>
  <c r="FX20" i="1"/>
  <c r="FT79" i="1"/>
  <c r="FS91" i="1"/>
  <c r="FR19" i="1"/>
  <c r="FX31" i="1"/>
  <c r="FZ70" i="1"/>
  <c r="FP82" i="1"/>
  <c r="FY78" i="1"/>
  <c r="FP39" i="1"/>
  <c r="FQ4" i="1"/>
  <c r="FS69" i="1"/>
  <c r="FR60" i="1"/>
  <c r="FV72" i="1"/>
  <c r="FX79" i="1"/>
  <c r="FU6" i="1"/>
  <c r="FV77" i="1"/>
  <c r="FS68" i="1"/>
  <c r="FZ24" i="1"/>
  <c r="FX55" i="1"/>
  <c r="FV83" i="1"/>
  <c r="FW28" i="1"/>
  <c r="GA36" i="1"/>
  <c r="FO82" i="1"/>
  <c r="FZ17" i="1"/>
  <c r="FM94" i="1"/>
  <c r="FZ62" i="1"/>
  <c r="FN100" i="1"/>
  <c r="FO26" i="1"/>
  <c r="FN20" i="1"/>
  <c r="FN43" i="1"/>
  <c r="FR95" i="1"/>
  <c r="FQ51" i="1"/>
  <c r="FW11" i="1"/>
  <c r="FS34" i="1"/>
  <c r="FT88" i="1"/>
  <c r="FO69" i="1"/>
  <c r="FO71" i="1"/>
  <c r="FR52" i="1"/>
  <c r="FY91" i="1"/>
  <c r="FN89" i="1"/>
  <c r="FR51" i="1"/>
  <c r="FP11" i="1"/>
  <c r="FT34" i="1"/>
  <c r="FM88" i="1"/>
  <c r="FM33" i="1"/>
  <c r="FS29" i="1"/>
  <c r="FV39" i="1"/>
  <c r="FM74" i="1"/>
  <c r="FS32" i="1"/>
  <c r="FO54" i="1"/>
  <c r="FU44" i="1"/>
  <c r="FN15" i="1"/>
  <c r="FY73" i="1"/>
  <c r="FT21" i="1"/>
  <c r="FZ19" i="1"/>
  <c r="FQ70" i="1"/>
  <c r="FP53" i="1"/>
  <c r="FQ20" i="1"/>
  <c r="FW65" i="1"/>
  <c r="FP74" i="1"/>
  <c r="FX66" i="1"/>
  <c r="GA69" i="1"/>
  <c r="FO73" i="1"/>
  <c r="FY21" i="1"/>
  <c r="FZ56" i="1"/>
  <c r="FU58" i="1"/>
  <c r="GA16" i="1"/>
  <c r="FT22" i="1"/>
  <c r="FN93" i="1"/>
  <c r="FT38" i="1"/>
  <c r="FU42" i="1"/>
  <c r="FT86" i="1"/>
  <c r="FL63" i="1"/>
  <c r="FL73" i="1"/>
  <c r="FR21" i="1"/>
  <c r="FO75" i="1"/>
  <c r="FO81" i="1"/>
  <c r="FM78" i="1"/>
  <c r="FM22" i="1"/>
  <c r="FW70" i="1"/>
  <c r="GA80" i="1"/>
  <c r="FL61" i="1"/>
  <c r="FQ9" i="1"/>
  <c r="FU63" i="1"/>
  <c r="GA8" i="1"/>
  <c r="GA21" i="1"/>
  <c r="FL27" i="1"/>
  <c r="FT84" i="1"/>
  <c r="FM16" i="1"/>
  <c r="FW96" i="1"/>
  <c r="FT45" i="1"/>
  <c r="FV13" i="1"/>
  <c r="FZ5" i="1"/>
  <c r="FZ60" i="1"/>
  <c r="FQ2" i="1"/>
  <c r="FL25" i="1"/>
  <c r="FQ98" i="1"/>
  <c r="FX14" i="1"/>
  <c r="FL37" i="1"/>
  <c r="FW87" i="1"/>
  <c r="FL74" i="1"/>
  <c r="FU97" i="1"/>
  <c r="FP35" i="1"/>
  <c r="FW76" i="1"/>
  <c r="FS67" i="1"/>
  <c r="FO12" i="1"/>
  <c r="FR17" i="1"/>
  <c r="FU94" i="1"/>
  <c r="FR62" i="1"/>
  <c r="FV100" i="1"/>
  <c r="FW26" i="1"/>
  <c r="FV20" i="1"/>
  <c r="FV43" i="1"/>
  <c r="FZ95" i="1"/>
  <c r="FY51" i="1"/>
  <c r="FO11" i="1"/>
  <c r="GA34" i="1"/>
  <c r="FL88" i="1"/>
  <c r="FW69" i="1"/>
  <c r="FW71" i="1"/>
  <c r="FZ52" i="1"/>
  <c r="FQ91" i="1"/>
  <c r="FV89" i="1"/>
  <c r="FW10" i="1"/>
  <c r="FS95" i="1"/>
  <c r="FZ51" i="1"/>
  <c r="FX11" i="1"/>
  <c r="FL34" i="1"/>
  <c r="FU88" i="1"/>
  <c r="FX69" i="1"/>
  <c r="FU33" i="1"/>
  <c r="FN39" i="1"/>
  <c r="FU74" i="1"/>
  <c r="FW54" i="1"/>
  <c r="FV53" i="1"/>
  <c r="FO39" i="1"/>
  <c r="FQ69" i="1"/>
  <c r="FX53" i="1"/>
  <c r="FY20" i="1"/>
  <c r="FO65" i="1"/>
  <c r="FX74" i="1"/>
  <c r="FU29" i="1"/>
  <c r="FV64" i="1"/>
  <c r="FS22" i="1"/>
  <c r="FU70" i="1"/>
  <c r="FY80" i="1"/>
  <c r="FZ61" i="1"/>
  <c r="FO9" i="1"/>
  <c r="FO30" i="1"/>
  <c r="FM50" i="1"/>
  <c r="FX46" i="1"/>
  <c r="FV75" i="1"/>
  <c r="FN81" i="1"/>
  <c r="FL78" i="1"/>
  <c r="FL48" i="1"/>
  <c r="FV70" i="1"/>
  <c r="FZ80" i="1"/>
  <c r="FS61" i="1"/>
  <c r="FP9" i="1"/>
  <c r="FT63" i="1"/>
  <c r="FT73" i="1"/>
  <c r="FZ21" i="1"/>
  <c r="FW75" i="1"/>
  <c r="FW81" i="1"/>
  <c r="FU78" i="1"/>
  <c r="FU22" i="1"/>
  <c r="FO70" i="1"/>
  <c r="FS80" i="1"/>
  <c r="FT61" i="1"/>
  <c r="FY9" i="1"/>
  <c r="FQ30" i="1"/>
  <c r="FO50" i="1"/>
  <c r="FR46" i="1"/>
  <c r="FP75" i="1"/>
  <c r="FP81" i="1"/>
  <c r="FV78" i="1"/>
  <c r="FN22" i="1"/>
  <c r="FP93" i="1"/>
  <c r="FV38" i="1"/>
  <c r="FO86" i="1"/>
  <c r="FY2" i="1"/>
  <c r="FT25" i="1"/>
  <c r="FY98" i="1"/>
  <c r="FP14" i="1"/>
  <c r="FT37" i="1"/>
  <c r="FO87" i="1"/>
  <c r="FT74" i="1"/>
  <c r="FM97" i="1"/>
  <c r="FX35" i="1"/>
  <c r="FO76" i="1"/>
  <c r="GA67" i="1"/>
  <c r="FW12" i="1"/>
  <c r="FO72" i="1"/>
  <c r="FQ79" i="1"/>
  <c r="FN6" i="1"/>
  <c r="FO77" i="1"/>
  <c r="FL39" i="1"/>
  <c r="FS24" i="1"/>
  <c r="FY55" i="1"/>
  <c r="FW83" i="1"/>
  <c r="FP28" i="1"/>
  <c r="FO19" i="1"/>
  <c r="GA59" i="1"/>
  <c r="FN94" i="1"/>
  <c r="FL33" i="1"/>
  <c r="FW100" i="1"/>
  <c r="FP26" i="1"/>
  <c r="FR55" i="1"/>
  <c r="FX19" i="1"/>
  <c r="FL65" i="1"/>
  <c r="FS79" i="1"/>
  <c r="FX77" i="1"/>
  <c r="FS42" i="1"/>
  <c r="FR86" i="1"/>
  <c r="FW39" i="1"/>
  <c r="FW16" i="1"/>
  <c r="FY69" i="1"/>
  <c r="FM23" i="1"/>
  <c r="FQ11" i="1"/>
  <c r="FR10" i="1"/>
  <c r="FQ31" i="1"/>
  <c r="FU21" i="1"/>
  <c r="FQ46" i="1"/>
  <c r="FN4" i="1"/>
  <c r="FT49" i="1"/>
  <c r="FX41" i="1"/>
  <c r="FU48" i="1"/>
  <c r="FM95" i="1"/>
  <c r="FN51" i="1"/>
  <c r="FL11" i="1"/>
  <c r="FP34" i="1"/>
  <c r="FY30" i="1"/>
  <c r="FW50" i="1"/>
  <c r="FZ46" i="1"/>
  <c r="FX75" i="1"/>
  <c r="FX81" i="1"/>
  <c r="FV22" i="1"/>
  <c r="FX93" i="1"/>
  <c r="FN38" i="1"/>
  <c r="FW42" i="1"/>
  <c r="FW86" i="1"/>
  <c r="FN63" i="1"/>
  <c r="FT8" i="1"/>
  <c r="FT90" i="1"/>
  <c r="FM27" i="1"/>
  <c r="FM84" i="1"/>
  <c r="FV16" i="1"/>
  <c r="FX96" i="1"/>
  <c r="FM45" i="1"/>
  <c r="FT54" i="1"/>
  <c r="FS60" i="1"/>
  <c r="FW72" i="1"/>
  <c r="FY79" i="1"/>
  <c r="FV6" i="1"/>
  <c r="FT39" i="1"/>
  <c r="GA24" i="1"/>
  <c r="FQ55" i="1"/>
  <c r="FO83" i="1"/>
  <c r="FX28" i="1"/>
  <c r="FW19" i="1"/>
  <c r="FS59" i="1"/>
  <c r="FS65" i="1"/>
  <c r="FV94" i="1"/>
  <c r="FT33" i="1"/>
  <c r="FO100" i="1"/>
  <c r="FX26" i="1"/>
  <c r="FO20" i="1"/>
  <c r="FZ55" i="1"/>
  <c r="FZ83" i="1"/>
  <c r="FQ28" i="1"/>
  <c r="FP19" i="1"/>
  <c r="FT59" i="1"/>
  <c r="FT65" i="1"/>
  <c r="GA79" i="1"/>
  <c r="FP77" i="1"/>
  <c r="GA42" i="1"/>
  <c r="FO7" i="1"/>
  <c r="FO92" i="1"/>
  <c r="FZ20" i="1"/>
  <c r="FQ8" i="1"/>
  <c r="FU23" i="1"/>
  <c r="FY11" i="1"/>
  <c r="FZ10" i="1"/>
  <c r="FY31" i="1"/>
  <c r="FP7" i="1"/>
  <c r="FP58" i="1"/>
  <c r="FS90" i="1"/>
  <c r="FN40" i="1"/>
  <c r="FR92" i="1"/>
  <c r="FP23" i="1"/>
  <c r="FM4" i="1"/>
  <c r="FS49" i="1"/>
  <c r="FO41" i="1"/>
  <c r="FR43" i="1"/>
  <c r="FO95" i="1"/>
  <c r="FM51" i="1"/>
  <c r="FO34" i="1"/>
  <c r="FX30" i="1"/>
  <c r="FV50" i="1"/>
  <c r="FY46" i="1"/>
  <c r="FV4" i="1"/>
  <c r="FL49" i="1"/>
  <c r="FP41" i="1"/>
  <c r="FM48" i="1"/>
  <c r="FU95" i="1"/>
  <c r="FV51" i="1"/>
  <c r="FT11" i="1"/>
  <c r="FX34" i="1"/>
  <c r="FL69" i="1"/>
  <c r="FR23" i="1"/>
  <c r="FW52" i="1"/>
  <c r="FM49" i="1"/>
  <c r="FQ41" i="1"/>
  <c r="FN48" i="1"/>
  <c r="FT18" i="1"/>
  <c r="FU80" i="1"/>
  <c r="FU61" i="1"/>
  <c r="FR9" i="1"/>
  <c r="FV63" i="1"/>
  <c r="FL8" i="1"/>
  <c r="FL90" i="1"/>
  <c r="FU27" i="1"/>
  <c r="FU84" i="1"/>
  <c r="FN16" i="1"/>
  <c r="FP96" i="1"/>
  <c r="FU45" i="1"/>
  <c r="FL54" i="1"/>
  <c r="FS53" i="1"/>
  <c r="GA60" i="1"/>
  <c r="FM25" i="1"/>
  <c r="FR98" i="1"/>
  <c r="FY14" i="1"/>
  <c r="FM37" i="1"/>
  <c r="FP87" i="1"/>
  <c r="FN74" i="1"/>
  <c r="FN97" i="1"/>
  <c r="FQ35" i="1"/>
  <c r="FL76" i="1"/>
  <c r="FT67" i="1"/>
  <c r="FP12" i="1"/>
  <c r="FP72" i="1"/>
  <c r="FW6" i="1"/>
  <c r="FM39" i="1"/>
  <c r="FO74" i="1"/>
  <c r="FW97" i="1"/>
  <c r="FR35" i="1"/>
  <c r="FN76" i="1"/>
  <c r="FM67" i="1"/>
  <c r="FQ12" i="1"/>
  <c r="FR72" i="1"/>
  <c r="FU98" i="1"/>
  <c r="GA56" i="1"/>
  <c r="FQ64" i="1"/>
  <c r="FV57" i="1"/>
  <c r="FV92" i="1"/>
  <c r="FW7" i="1"/>
  <c r="FR20" i="1"/>
  <c r="FO66" i="1"/>
  <c r="FQ77" i="1"/>
  <c r="FV34" i="1"/>
  <c r="FX7" i="1"/>
  <c r="FX58" i="1"/>
  <c r="FM2" i="1"/>
  <c r="GA49" i="1"/>
  <c r="FW41" i="1"/>
  <c r="FZ43" i="1"/>
  <c r="FW95" i="1"/>
  <c r="FU51" i="1"/>
  <c r="GA11" i="1"/>
  <c r="FW34" i="1"/>
  <c r="FP88" i="1"/>
  <c r="GA92" i="1"/>
  <c r="FQ23" i="1"/>
  <c r="FS100" i="1"/>
  <c r="FT26" i="1"/>
  <c r="GA43" i="1"/>
  <c r="FW85" i="1"/>
  <c r="FS99" i="1"/>
  <c r="FY36" i="1"/>
  <c r="FM82" i="1"/>
  <c r="FY88" i="1"/>
  <c r="FZ23" i="1"/>
  <c r="FO52" i="1"/>
  <c r="FU49" i="1"/>
  <c r="FY41" i="1"/>
  <c r="FV48" i="1"/>
  <c r="FL18" i="1"/>
  <c r="FM80" i="1"/>
  <c r="FM61" i="1"/>
  <c r="FZ9" i="1"/>
  <c r="FZ30" i="1"/>
  <c r="FP50" i="1"/>
  <c r="FS46" i="1"/>
  <c r="FR75" i="1"/>
  <c r="FZ81" i="1"/>
  <c r="FO78" i="1"/>
  <c r="FS47" i="1"/>
  <c r="FR93" i="1"/>
  <c r="FO38" i="1"/>
  <c r="FM86" i="1"/>
  <c r="FZ2" i="1"/>
  <c r="FU25" i="1"/>
  <c r="FZ98" i="1"/>
  <c r="FQ14" i="1"/>
  <c r="FU37" i="1"/>
  <c r="FX87" i="1"/>
  <c r="FV74" i="1"/>
  <c r="FV97" i="1"/>
  <c r="FY35" i="1"/>
  <c r="FT76" i="1"/>
  <c r="FL67" i="1"/>
  <c r="FX12" i="1"/>
  <c r="FX72" i="1"/>
  <c r="FZ79" i="1"/>
  <c r="FO6" i="1"/>
  <c r="FU77" i="1"/>
  <c r="FU39" i="1"/>
  <c r="FO97" i="1"/>
  <c r="FZ35" i="1"/>
  <c r="FV76" i="1"/>
  <c r="FU67" i="1"/>
  <c r="FY12" i="1"/>
  <c r="FZ72" i="1"/>
  <c r="FM98" i="1"/>
  <c r="FO58" i="1"/>
  <c r="FV66" i="1"/>
  <c r="FN57" i="1"/>
  <c r="GA23" i="1"/>
  <c r="FQ74" i="1"/>
  <c r="FQ10" i="1"/>
  <c r="FW66" i="1"/>
  <c r="FY77" i="1"/>
  <c r="FO53" i="1"/>
  <c r="FP54" i="1"/>
  <c r="FQ54" i="1"/>
  <c r="FQ58" i="1"/>
  <c r="FS89" i="1"/>
  <c r="FU10" i="1"/>
  <c r="FU85" i="1"/>
  <c r="FX99" i="1"/>
  <c r="FW36" i="1"/>
  <c r="GA82" i="1"/>
  <c r="FN17" i="1"/>
  <c r="FR94" i="1"/>
  <c r="FN62" i="1"/>
  <c r="FR100" i="1"/>
  <c r="FS26" i="1"/>
  <c r="FW24" i="1"/>
  <c r="FN10" i="1"/>
  <c r="FN85" i="1"/>
  <c r="FZ99" i="1"/>
  <c r="FP36" i="1"/>
  <c r="FL82" i="1"/>
  <c r="FX88" i="1"/>
  <c r="FS92" i="1"/>
  <c r="FY23" i="1"/>
  <c r="GA100" i="1"/>
  <c r="FL26" i="1"/>
  <c r="GA20" i="1"/>
  <c r="FS43" i="1"/>
  <c r="GA99" i="1"/>
  <c r="FQ36" i="1"/>
  <c r="FU82" i="1"/>
  <c r="FP17" i="1"/>
  <c r="FW94" i="1"/>
  <c r="FP62" i="1"/>
  <c r="FL100" i="1"/>
  <c r="FU26" i="1"/>
  <c r="FL20" i="1"/>
  <c r="FL43" i="1"/>
  <c r="FX95" i="1"/>
  <c r="FW51" i="1"/>
  <c r="FM11" i="1"/>
  <c r="FQ34" i="1"/>
  <c r="FR30" i="1"/>
  <c r="FX50" i="1"/>
  <c r="GA46" i="1"/>
  <c r="FZ75" i="1"/>
  <c r="FR81" i="1"/>
  <c r="GA47" i="1"/>
  <c r="FZ93" i="1"/>
  <c r="FW38" i="1"/>
  <c r="FP42" i="1"/>
  <c r="FU86" i="1"/>
  <c r="FO63" i="1"/>
  <c r="FU8" i="1"/>
  <c r="FM90" i="1"/>
  <c r="FN27" i="1"/>
  <c r="FN84" i="1"/>
  <c r="FW64" i="1"/>
  <c r="FR96" i="1"/>
  <c r="FN45" i="1"/>
  <c r="FM54" i="1"/>
  <c r="FT53" i="1"/>
  <c r="FS44" i="1"/>
  <c r="GA98" i="1"/>
  <c r="FR14" i="1"/>
  <c r="FN54" i="1"/>
  <c r="FM53" i="1"/>
  <c r="FS78" i="1"/>
  <c r="FR11" i="1"/>
  <c r="FM34" i="1"/>
  <c r="FV88" i="1"/>
  <c r="FR69" i="1"/>
  <c r="FP71" i="1"/>
  <c r="FY74" i="1"/>
  <c r="FY10" i="1"/>
  <c r="FO57" i="1"/>
  <c r="FW61" i="1"/>
  <c r="FR84" i="1"/>
  <c r="FW53" i="1"/>
  <c r="FN79" i="1"/>
  <c r="FY54" i="1"/>
  <c r="FY58" i="1"/>
  <c r="FV17" i="1"/>
  <c r="FZ94" i="1"/>
  <c r="FV62" i="1"/>
  <c r="FZ100" i="1"/>
  <c r="GA26" i="1"/>
  <c r="FO24" i="1"/>
  <c r="FV10" i="1"/>
  <c r="FV85" i="1"/>
  <c r="FR99" i="1"/>
  <c r="FX36" i="1"/>
  <c r="FT82" i="1"/>
  <c r="FO17" i="1"/>
  <c r="GA94" i="1"/>
  <c r="FO62" i="1"/>
  <c r="FQ29" i="1"/>
  <c r="FY68" i="1"/>
  <c r="FX24" i="1"/>
  <c r="GA97" i="1"/>
  <c r="FN35" i="1"/>
  <c r="FR76" i="1"/>
  <c r="FQ67" i="1"/>
  <c r="FM12" i="1"/>
  <c r="FX17" i="1"/>
  <c r="FO94" i="1"/>
  <c r="FX62" i="1"/>
  <c r="FT100" i="1"/>
  <c r="FM26" i="1"/>
  <c r="FT20" i="1"/>
  <c r="FT43" i="1"/>
  <c r="FP95" i="1"/>
  <c r="FO51" i="1"/>
  <c r="FU11" i="1"/>
  <c r="FY34" i="1"/>
  <c r="FR88" i="1"/>
  <c r="FM69" i="1"/>
  <c r="FT71" i="1"/>
  <c r="FP52" i="1"/>
  <c r="FN49" i="1"/>
  <c r="FR41" i="1"/>
  <c r="FO48" i="1"/>
  <c r="FM18" i="1"/>
  <c r="FL3" i="1"/>
  <c r="FN61" i="1"/>
  <c r="FS9" i="1"/>
  <c r="FW63" i="1"/>
  <c r="FM8" i="1"/>
  <c r="FU90" i="1"/>
  <c r="FV27" i="1"/>
  <c r="FV84" i="1"/>
  <c r="FO64" i="1"/>
  <c r="FZ96" i="1"/>
  <c r="FV45" i="1"/>
  <c r="FU54" i="1"/>
  <c r="FL53" i="1"/>
  <c r="GA44" i="1"/>
  <c r="FT15" i="1"/>
  <c r="FN25" i="1"/>
  <c r="FS98" i="1"/>
  <c r="FZ14" i="1"/>
  <c r="FV37" i="1"/>
  <c r="FZ87" i="1"/>
  <c r="GA96" i="1"/>
  <c r="FW45" i="1"/>
  <c r="FV54" i="1"/>
  <c r="FU53" i="1"/>
  <c r="FT44" i="1"/>
  <c r="FU15" i="1"/>
  <c r="GA78" i="1"/>
  <c r="GA51" i="1"/>
  <c r="FZ11" i="1"/>
  <c r="FU34" i="1"/>
  <c r="FN88" i="1"/>
  <c r="FZ69" i="1"/>
  <c r="FU83" i="1"/>
  <c r="FO46" i="1"/>
  <c r="FR77" i="1"/>
  <c r="FW57" i="1"/>
  <c r="FO61" i="1"/>
  <c r="FU89" i="1"/>
  <c r="FV79" i="1"/>
  <c r="GA86" i="1"/>
  <c r="FL5" i="1"/>
  <c r="FW8" i="1"/>
  <c r="FW4" i="1"/>
  <c r="FW89" i="1"/>
  <c r="FX85" i="1"/>
  <c r="FZ28" i="1"/>
  <c r="FU59" i="1"/>
  <c r="FN33" i="1"/>
  <c r="FS28" i="1"/>
  <c r="FL99" i="1"/>
  <c r="FZ64" i="1"/>
  <c r="FW44" i="1"/>
  <c r="GA48" i="1"/>
  <c r="FO67" i="1"/>
  <c r="FN80" i="1"/>
  <c r="FL60" i="1"/>
  <c r="FR50" i="1"/>
  <c r="FQ75" i="1"/>
  <c r="FQ48" i="1"/>
  <c r="FO18" i="1"/>
  <c r="FV3" i="1"/>
  <c r="FP40" i="1"/>
  <c r="FM71" i="1"/>
  <c r="FS52" i="1"/>
  <c r="FS55" i="1"/>
  <c r="GA83" i="1"/>
  <c r="FM76" i="1"/>
  <c r="FN67" i="1"/>
  <c r="FR12" i="1"/>
  <c r="FS72" i="1"/>
  <c r="FV33" i="1"/>
  <c r="GA28" i="1"/>
  <c r="FT99" i="1"/>
  <c r="FW47" i="1"/>
  <c r="GA40" i="1"/>
  <c r="FR70" i="1"/>
  <c r="FQ18" i="1"/>
  <c r="FW33" i="1"/>
  <c r="FX82" i="1"/>
  <c r="FV80" i="1"/>
  <c r="FL29" i="1"/>
  <c r="FT60" i="1"/>
  <c r="GA55" i="1"/>
  <c r="FS83" i="1"/>
  <c r="FU76" i="1"/>
  <c r="FV67" i="1"/>
  <c r="FZ12" i="1"/>
  <c r="GA72" i="1"/>
  <c r="FN44" i="1"/>
  <c r="FL68" i="1"/>
  <c r="FP22" i="1"/>
  <c r="FS17" i="1"/>
  <c r="FO47" i="1"/>
  <c r="FS40" i="1"/>
  <c r="FY18" i="1"/>
  <c r="FO33" i="1"/>
  <c r="FS12" i="1"/>
  <c r="FP66" i="1"/>
  <c r="FL52" i="1"/>
  <c r="FQ87" i="1"/>
  <c r="FP15" i="1"/>
  <c r="FV44" i="1"/>
  <c r="FT68" i="1"/>
  <c r="FX22" i="1"/>
  <c r="GA17" i="1"/>
  <c r="FM52" i="1"/>
  <c r="FM92" i="1"/>
  <c r="FP3" i="1"/>
  <c r="FR73" i="1"/>
  <c r="FT52" i="1"/>
  <c r="FY4" i="1"/>
  <c r="FY87" i="1"/>
  <c r="FX15" i="1"/>
  <c r="GA29" i="1"/>
  <c r="GA32" i="1"/>
  <c r="FM44" i="1"/>
  <c r="FV15" i="1"/>
  <c r="FQ73" i="1"/>
  <c r="FL21" i="1"/>
  <c r="FO15" i="1"/>
  <c r="FO16" i="1"/>
  <c r="FL56" i="1"/>
  <c r="FN59" i="1"/>
  <c r="FZ45" i="1"/>
  <c r="FY70" i="1"/>
  <c r="FU52" i="1"/>
  <c r="FU92" i="1"/>
  <c r="FX3" i="1"/>
  <c r="FZ73" i="1"/>
  <c r="FS64" i="1"/>
  <c r="FT9" i="1"/>
  <c r="FL28" i="1"/>
  <c r="FO22" i="1"/>
  <c r="FR8" i="1"/>
  <c r="FR83" i="1"/>
  <c r="FY28" i="1"/>
  <c r="FL59" i="1"/>
  <c r="FX6" i="1"/>
  <c r="FS87" i="1"/>
  <c r="FQ96" i="1"/>
  <c r="FP45" i="1"/>
  <c r="FQ38" i="1"/>
  <c r="FZ63" i="1"/>
  <c r="FP90" i="1"/>
  <c r="FW15" i="1"/>
  <c r="FT56" i="1"/>
  <c r="FV59" i="1"/>
  <c r="FR45" i="1"/>
  <c r="FL80" i="1"/>
  <c r="FM55" i="1"/>
  <c r="FO59" i="1"/>
  <c r="FL32" i="1"/>
  <c r="GA64" i="1"/>
  <c r="FL9" i="1"/>
  <c r="FT28" i="1"/>
  <c r="FW22" i="1"/>
  <c r="FM29" i="1"/>
  <c r="FZ8" i="1"/>
  <c r="FP6" i="1"/>
  <c r="GA87" i="1"/>
  <c r="FY96" i="1"/>
  <c r="FX45" i="1"/>
  <c r="FY38" i="1"/>
  <c r="FR63" i="1"/>
  <c r="FX8" i="1"/>
  <c r="FX90" i="1"/>
  <c r="FP89" i="1"/>
  <c r="FQ83" i="1"/>
  <c r="FR71" i="1"/>
  <c r="FT80" i="1"/>
  <c r="FU55" i="1"/>
  <c r="FW59" i="1"/>
  <c r="FT32" i="1"/>
  <c r="FM21" i="1"/>
  <c r="FL30" i="1"/>
  <c r="FQ45" i="1"/>
  <c r="FM32" i="1"/>
  <c r="FN47" i="1"/>
  <c r="FP70" i="1"/>
  <c r="FO3" i="1"/>
  <c r="FN66" i="1"/>
  <c r="FQ40" i="1"/>
  <c r="FW92" i="1"/>
  <c r="FY8" i="1"/>
  <c r="FY83" i="1"/>
  <c r="FZ71" i="1"/>
  <c r="FP13" i="1"/>
  <c r="FP4" i="1"/>
  <c r="FZ85" i="1"/>
  <c r="FQ6" i="1"/>
  <c r="FO13" i="1"/>
  <c r="FT30" i="1"/>
  <c r="FY45" i="1"/>
  <c r="FU32" i="1"/>
  <c r="GA90" i="1"/>
  <c r="FS56" i="1"/>
  <c r="FY64" i="1"/>
  <c r="FV47" i="1"/>
  <c r="FX70" i="1"/>
  <c r="FW3" i="1"/>
  <c r="FY40" i="1"/>
  <c r="FN92" i="1"/>
  <c r="FL55" i="1"/>
  <c r="FQ71" i="1"/>
  <c r="FR90" i="1"/>
  <c r="FQ3" i="1"/>
  <c r="FX13" i="1"/>
  <c r="FX4" i="1"/>
  <c r="FR85" i="1"/>
  <c r="FY6" i="1"/>
  <c r="FW13" i="1"/>
  <c r="FR6" i="1"/>
  <c r="FP47" i="1"/>
  <c r="FS73" i="1"/>
  <c r="FL15" i="1"/>
  <c r="FV25" i="1"/>
  <c r="FN37" i="1"/>
  <c r="FR87" i="1"/>
  <c r="FS96" i="1"/>
  <c r="FO45" i="1"/>
  <c r="FL44" i="1"/>
  <c r="FM15" i="1"/>
  <c r="FP73" i="1"/>
  <c r="FO90" i="1"/>
  <c r="FP27" i="1"/>
  <c r="FP84" i="1"/>
  <c r="FZ48" i="1"/>
  <c r="FP18" i="1"/>
  <c r="FS51" i="1"/>
  <c r="FT55" i="1"/>
  <c r="FY71" i="1"/>
  <c r="FZ90" i="1"/>
  <c r="FY3" i="1"/>
  <c r="FY27" i="1"/>
  <c r="FS63" i="1"/>
  <c r="FM89" i="1"/>
  <c r="FY72" i="1"/>
  <c r="FM99" i="1"/>
  <c r="FZ6" i="1"/>
  <c r="FX47" i="1"/>
  <c r="GA73" i="1"/>
  <c r="FX73" i="1"/>
  <c r="FW90" i="1"/>
  <c r="FX27" i="1"/>
  <c r="FX84" i="1"/>
  <c r="FR48" i="1"/>
  <c r="FX18" i="1"/>
  <c r="FX71" i="1"/>
  <c r="FM56" i="1"/>
  <c r="FQ85" i="1"/>
  <c r="FT36" i="1"/>
  <c r="FQ27" i="1"/>
  <c r="GA63" i="1"/>
  <c r="FQ72" i="1"/>
  <c r="FU99" i="1"/>
  <c r="FZ84" i="1"/>
  <c r="GA5" i="1"/>
  <c r="FS84" i="1"/>
  <c r="FR18" i="1"/>
  <c r="FN21" i="1"/>
  <c r="FR40" i="1"/>
  <c r="K4" i="7"/>
  <c r="K13" i="7" s="1"/>
  <c r="N6" i="7"/>
  <c r="N14" i="7" s="1"/>
  <c r="F4" i="7"/>
  <c r="F13" i="7" s="1"/>
  <c r="K6" i="7"/>
  <c r="K14" i="7" s="1"/>
  <c r="N4" i="7"/>
  <c r="N13" i="7" s="1"/>
  <c r="P6" i="7"/>
  <c r="P14" i="7" s="1"/>
  <c r="L6" i="7"/>
  <c r="L14" i="7" s="1"/>
  <c r="Q6" i="7"/>
  <c r="Q14" i="7" s="1"/>
  <c r="P11" i="7"/>
  <c r="L11" i="7"/>
  <c r="M11" i="7"/>
  <c r="Q11" i="7"/>
  <c r="F6" i="7"/>
  <c r="F14" i="7" s="1"/>
  <c r="J4" i="7"/>
  <c r="J13" i="7" s="1"/>
  <c r="E4" i="7"/>
  <c r="E13" i="7" s="1"/>
  <c r="L4" i="7"/>
  <c r="L13" i="7" s="1"/>
  <c r="J6" i="7"/>
  <c r="J14" i="7" s="1"/>
  <c r="C6" i="7"/>
  <c r="C14" i="7" s="1"/>
  <c r="C4" i="7"/>
  <c r="C13" i="7" s="1"/>
  <c r="O4" i="7"/>
  <c r="O13" i="7" s="1"/>
  <c r="G4" i="7"/>
  <c r="G13" i="7" s="1"/>
  <c r="O6" i="7"/>
  <c r="O14" i="7" s="1"/>
  <c r="G6" i="7"/>
  <c r="G14" i="7" s="1"/>
  <c r="R4" i="7"/>
  <c r="R13" i="7" s="1"/>
  <c r="R6" i="7"/>
  <c r="R14" i="7" s="1"/>
  <c r="M4" i="7"/>
  <c r="M13" i="7" s="1"/>
  <c r="M6" i="7"/>
  <c r="M14" i="7" s="1"/>
  <c r="Q4" i="7"/>
  <c r="Q13" i="7" s="1"/>
  <c r="P4" i="7"/>
  <c r="P13" i="7" s="1"/>
  <c r="E6" i="7"/>
  <c r="E14" i="7" s="1"/>
  <c r="K11" i="7"/>
  <c r="H4" i="7"/>
  <c r="H13" i="7" s="1"/>
  <c r="H6" i="7"/>
  <c r="H14" i="7" s="1"/>
  <c r="I4" i="7"/>
  <c r="I13" i="7" s="1"/>
  <c r="I6" i="7"/>
  <c r="I14" i="7" s="1"/>
  <c r="D4" i="7"/>
  <c r="D13" i="7" s="1"/>
  <c r="D6" i="7"/>
  <c r="D14" i="7" s="1"/>
  <c r="N11" i="7"/>
  <c r="R11" i="7"/>
  <c r="O11" i="7"/>
  <c r="M10" i="7" l="1"/>
  <c r="O10" i="7"/>
  <c r="K10" i="7"/>
  <c r="N10" i="7"/>
  <c r="R10" i="7"/>
  <c r="P10" i="7"/>
  <c r="L10" i="7"/>
  <c r="Q10" i="7"/>
</calcChain>
</file>

<file path=xl/sharedStrings.xml><?xml version="1.0" encoding="utf-8"?>
<sst xmlns="http://schemas.openxmlformats.org/spreadsheetml/2006/main" count="4408" uniqueCount="3907">
  <si>
    <t>EPW</t>
  </si>
  <si>
    <t>AC Cooling Capacity [W]</t>
  </si>
  <si>
    <t>Furnace Capacity [W]</t>
  </si>
  <si>
    <t>Furnace Heating Delivered [J]</t>
  </si>
  <si>
    <t>Furnace Natural Gas [J]</t>
  </si>
  <si>
    <t>HP Cooling Capacity [W]</t>
  </si>
  <si>
    <t>HP Heating Capacity [W]</t>
  </si>
  <si>
    <t>Electric Resistance Capacity [W]</t>
  </si>
  <si>
    <t>HP Heating Delivered [J]</t>
  </si>
  <si>
    <t>HP Electric Energy [J]</t>
  </si>
  <si>
    <t>Electric Resistance Heating Delivered [J]</t>
  </si>
  <si>
    <t>Electric Resistance Electric Energy [J]</t>
  </si>
  <si>
    <t>% of Heating Capacity HP</t>
  </si>
  <si>
    <t>% of Heating Electricity HP</t>
  </si>
  <si>
    <t>Electric CO2 GHG for HP [kg] 2022 [15 years]</t>
  </si>
  <si>
    <t>Electric CO2 GHG for HP [kg] 2024 [15 years]</t>
  </si>
  <si>
    <t>Electric CO2 GHG for HP [kg] 2026 [15 years]</t>
  </si>
  <si>
    <t>Electric CO2 GHG for HP [kg] 2028 [15 years]</t>
  </si>
  <si>
    <t>Electric CO2 GHG for HP [kg] 2030 [15 years]</t>
  </si>
  <si>
    <t>Electric CO2 GHG for HP [kg] 2032 [15 years]</t>
  </si>
  <si>
    <t>Electric CO2 GHG for HP [kg] 2034 [15 years]</t>
  </si>
  <si>
    <t>Electric CO2 GHG for HP [kg] 2036 [15 years]</t>
  </si>
  <si>
    <t>% Reduction CO2 Emissions 2022 [15 years]</t>
  </si>
  <si>
    <t>% Reduction CO2 Emissions 2024 [15 years]</t>
  </si>
  <si>
    <t>% Reduction CO2 Emissions 2026 [15 years]</t>
  </si>
  <si>
    <t>% Reduction CO2 Emissions 2028 [15 years]</t>
  </si>
  <si>
    <t>% Reduction CO2 Emissions 2030 [15 years]</t>
  </si>
  <si>
    <t>% Reduction CO2 Emissions 2032 [15 years]</t>
  </si>
  <si>
    <t>% Reduction CO2 Emissions 2034 [15 years]</t>
  </si>
  <si>
    <t>% Reduction CO2 Emissions 2036 [15 years]</t>
  </si>
  <si>
    <t>AL_BIRMINGHAM-MUNI-AP_722280_TY3A</t>
  </si>
  <si>
    <t>AL_MOBILE-RGNL-AP_722230_TY3A</t>
  </si>
  <si>
    <t>AR_LITTLE-ROCK-AFB_723405_TY3A</t>
  </si>
  <si>
    <t>AR_FAYETTEVILLE-DRAKE-FIELD_723445_TY3A</t>
  </si>
  <si>
    <t>AZ_PHOENIX-SKY-HARBOR-IAP_722780_TY3A</t>
  </si>
  <si>
    <t>AZ_PRESCOTT-LOVE-FIELD_723723_TY3A</t>
  </si>
  <si>
    <t>AZ_FLAGSTAFF-PULLIAM-AP_723755_TY3A</t>
  </si>
  <si>
    <t>AZ_KINGMAN(AMOS)_723700_TY3A</t>
  </si>
  <si>
    <t>CA_IMPERIAL_747185_TY3A</t>
  </si>
  <si>
    <t>CA_LOS-ANGELES-IAP_722950_TY3A</t>
  </si>
  <si>
    <t>CA_CRESCENT-CITY-FAA-AP_725946_TY3A</t>
  </si>
  <si>
    <t>CA_BISHOP-AP_724800_TY3A</t>
  </si>
  <si>
    <t>CA_SACRAMENTO-METRO-AP_724839_TY3A</t>
  </si>
  <si>
    <t>CO_TRINIDAD-LAS-ANIMAS-CO-AP_724645_TY3A</t>
  </si>
  <si>
    <t>CO_DENVER-IAP_725650_TY3A</t>
  </si>
  <si>
    <t>CO_ALAMOSA-SAN-LUIS-VAL-RGNL_724620_TY3A</t>
  </si>
  <si>
    <t>CO_ASPEN-PITKIN-CO-SAR_724676_TY3A</t>
  </si>
  <si>
    <t>CT_BRIDGEPORT-SIKORSKY-MEM_725040_TY3A</t>
  </si>
  <si>
    <t>DE_WILMINGTON-NEWCASTLE-CO-AP_724089_TY3A</t>
  </si>
  <si>
    <t>FL_MIAMI-IAP_722020_TY3A</t>
  </si>
  <si>
    <t>FL_JACKSONVILLE-IAP_722060_TY3A</t>
  </si>
  <si>
    <t>GA_SAVANNAH-IAP_722070_TY3A</t>
  </si>
  <si>
    <t>GA_ATLANTA-HARTSFIELD-IAP_722190_TY3A</t>
  </si>
  <si>
    <t>GA_ROME-R-B-RUSSELL-AP_723200_TY3A</t>
  </si>
  <si>
    <t>IA_DES-MOINES-IAP_725460_TY3A</t>
  </si>
  <si>
    <t>IA_SIOUX-CITY-SIOUX-GATEWAY-AP_725570_TY3A</t>
  </si>
  <si>
    <t>ID_BOISE-AIR-TERMINAL_726810_TY3A</t>
  </si>
  <si>
    <t>ID_IDAHO-FALLS-FANNING-FIELD_725785_TY3A</t>
  </si>
  <si>
    <t>IL_BELLEVILLE-SCOTT-AFB_724338_TY3A</t>
  </si>
  <si>
    <t>IL_CHICAGO-MIDWAY-AP_725340_TY3A</t>
  </si>
  <si>
    <t>IN_EVANSVILLE-RGNL-AP_724320_TY3A</t>
  </si>
  <si>
    <t>IN_INDIANAPOLIS-IAP_724380_TY3A</t>
  </si>
  <si>
    <t>KS_WICHITA-MID-CONTINENT-AP_724500_TY3A</t>
  </si>
  <si>
    <t>KS_HAYS-MUNI(AWOS)_724518_TY3A</t>
  </si>
  <si>
    <t>KY_LOUISVILLE-BOWMAN-FIELD_724235_TY3A</t>
  </si>
  <si>
    <t>LA_NEW-ORLEANS-IAP_722310_TY3A</t>
  </si>
  <si>
    <t>LA_SHREVEPORT-DOWNTOWN_722484_TY3A</t>
  </si>
  <si>
    <t>MA_BOSTON-LOGAN-IAP_725090_TY3A</t>
  </si>
  <si>
    <t>MD_BALTIMORE-BLT-WASHNGTN-IAP_724060_TY3A</t>
  </si>
  <si>
    <t>ME_PORTLAND-INTL-JETPORT_726060_TY3A</t>
  </si>
  <si>
    <t>ME_PRESQUE-ISLE-MUNI-AP_727130_TY3A</t>
  </si>
  <si>
    <t>MI_DETROIT-CITY-AP_725375_TY3A</t>
  </si>
  <si>
    <t>MI_TRAVERSE-CITY-CHERRY-CAP_726387_TY3A</t>
  </si>
  <si>
    <t>MI_HOUGHTON-LAKE-ROSCOMMON-AP_726380_TY3A</t>
  </si>
  <si>
    <t>MN_MINNEAPOLIS-ST-PAUL-IAP_726580_TY3A</t>
  </si>
  <si>
    <t>MN_DULUTH-IAP_727450_TY3A</t>
  </si>
  <si>
    <t>MO_KANSAS-CITY-DOWNTOWN-AP_724463_TY3A</t>
  </si>
  <si>
    <t>MO_ST-JOSEPH-ROSECRANS-MEM_724490_TY3A</t>
  </si>
  <si>
    <t>MS_GULFPORT-BILOXI-IAP_747685_TY3A</t>
  </si>
  <si>
    <t>MS_JACKSON-IAP_722350_TY3A</t>
  </si>
  <si>
    <t>MT_BILLINGS-LOGAN-IAP_726770_TY3A</t>
  </si>
  <si>
    <t>NC_CHARLOTTE-DOUGLAS-IAP_723140_TY3A</t>
  </si>
  <si>
    <t>NC_RALEIGH-DURHAM-IAP_723060_TY3A</t>
  </si>
  <si>
    <t>ND_BISMARCK-MUNI-AP_727640_TY3A</t>
  </si>
  <si>
    <t>ND_FARGO-HECTOR-IAP_727530_TY3A</t>
  </si>
  <si>
    <t>NE_OMAHA_725530_TY3A</t>
  </si>
  <si>
    <t>NH_MANCHESTER-AP_743945_TY3A</t>
  </si>
  <si>
    <t>NH_CONCORD-MUNI-AP_726050_TY3A</t>
  </si>
  <si>
    <t>NJ_NEWARK-IAP_725020_TY3A</t>
  </si>
  <si>
    <t>NJ_TRENTON-MERCER-CO-AP_724095_TY3A</t>
  </si>
  <si>
    <t>NM_LAS-CRUCES-IAP_722695_TY3A</t>
  </si>
  <si>
    <t>NM_ALBUQUERQUE-IAP_723650_TY3A</t>
  </si>
  <si>
    <t>NM_SANTA-FE-CO-MUNI-AP_723656_TY3A</t>
  </si>
  <si>
    <t>NV_LAS-VEGAS-MCCARRAN-IAP_723860_TY3A</t>
  </si>
  <si>
    <t>NV_RENO-TAHOE-IAP_724880_TY3A</t>
  </si>
  <si>
    <t>NY_NEW-YORK-J-F-KENNEDY-IAP_744860_TY3A</t>
  </si>
  <si>
    <t>NY_BUFFALO-NIAGARA-IAP_725280_TY3A</t>
  </si>
  <si>
    <t>NY_UTICA-ONEIDA-CO-AP_725197_TY3A</t>
  </si>
  <si>
    <t>OH_CINCINNATI-MUNI-AP-LUNKI_724297_TY3A</t>
  </si>
  <si>
    <t>OH_COLUMBUS-PORT-COLUMBUS-IAP_724280_TY3A</t>
  </si>
  <si>
    <t>OK_OKLAHOMA-CITY-WILEY_723544_TY3A</t>
  </si>
  <si>
    <t>OR_PORTLAND-IAP_726980_TY3A</t>
  </si>
  <si>
    <t>OR_REDMOND-ROBERTS-FIELD_726835_TY3A</t>
  </si>
  <si>
    <t>PA_PHILADELPHIA-IAP_724080_TY3A</t>
  </si>
  <si>
    <t>PA_PITTSBURGH-IAP_725200_TY3A</t>
  </si>
  <si>
    <t>PA_BRADFORD-RGNL-AP_725266_TY3A</t>
  </si>
  <si>
    <t>RI_PROVIDENCE-GREEN-STATE-AP_725070_TY3A</t>
  </si>
  <si>
    <t>SC_CHARLESTON-IAP_722080_TY3A</t>
  </si>
  <si>
    <t>SD_CHAN-GURNEY-MUNI_726525_TY3A</t>
  </si>
  <si>
    <t>SD_SIOUX-FALLS-FOSS-FIELD_726510_TY3A</t>
  </si>
  <si>
    <t>TN_MEMPHIS-IAP_723340_TY3A</t>
  </si>
  <si>
    <t>TN_NASHVILLE-IAP_723270_TY3A</t>
  </si>
  <si>
    <t>TX_HOUSTON-ELLINGTON-AFB_722436_TY3A</t>
  </si>
  <si>
    <t>TX_DALLAS-FORT-WORTH-IAP_722590_TY3A</t>
  </si>
  <si>
    <t>TX_LUBBOCK-IAP_722670_TY3A</t>
  </si>
  <si>
    <t>UT_ST-GEORGE(AWOS)_724754_TY3A</t>
  </si>
  <si>
    <t>UT_SALT-LAKE-CITY-IAP_725720_TY3A</t>
  </si>
  <si>
    <t>UT_VERNAL-AP_725705_TY3A</t>
  </si>
  <si>
    <t>VA_NORFOLK-IAP_723080_TY3A</t>
  </si>
  <si>
    <t>VT_BURLINGTON-IAP_726170_TY3A</t>
  </si>
  <si>
    <t>WA_SEATTLE-TACOMA-IAP_727930_TY3A</t>
  </si>
  <si>
    <t>WA_SPOKANE-IAP_727850_TY3A</t>
  </si>
  <si>
    <t>WI_MILWAUKEE-MITCHELL-IAP_726400_TY3A</t>
  </si>
  <si>
    <t>WI_RHINELANDER-ONEIDA_727415_TY3A</t>
  </si>
  <si>
    <t>WV_CHARLESTON-YEAGER-AP_724140_TY3A</t>
  </si>
  <si>
    <t>WV_MORGANTOWN-HART-FIELD_724176_TY3A</t>
  </si>
  <si>
    <t>WY_CHEYENNE-MUNI-AP_725640_TY3A</t>
  </si>
  <si>
    <t>WY_JACKSON-HOLE_725776_TY3A</t>
  </si>
  <si>
    <t>Latitude</t>
  </si>
  <si>
    <t>Longitude</t>
  </si>
  <si>
    <t>Htg 99.6% Condns DB | Max Tdb [C]</t>
  </si>
  <si>
    <t>Htg 99% Condns DB | Max Tdb [C]</t>
  </si>
  <si>
    <t>Clg .4% Condns DB=&gt;MWB | Max Tdb [C]</t>
  </si>
  <si>
    <t>Clg .4% Condns DB=&gt;MWB | Twb or Tdp at Max Tdb [C]</t>
  </si>
  <si>
    <t>Clg 1% Condns DB=&gt;MWB | Max Tdb [C]</t>
  </si>
  <si>
    <t>Clg 1% Condns DB=&gt;MWB | Twb or Tdp at Max Tdb [C]</t>
  </si>
  <si>
    <t>AC Furnace Unmet Cooling [hr]</t>
  </si>
  <si>
    <t>AC Furnace Unmet Heating [hr]</t>
  </si>
  <si>
    <t>AC Cooling Delivered [J]</t>
  </si>
  <si>
    <t>AC Cooling Electric Energy [J]</t>
  </si>
  <si>
    <t>Natural Gas CO2 GHG for AC Furnace [kg]</t>
  </si>
  <si>
    <t>HP Unmet Cooling [hr]</t>
  </si>
  <si>
    <t>HP Unmet Heating [hr]</t>
  </si>
  <si>
    <t>HP Cooling Delivered [J]</t>
  </si>
  <si>
    <t>HP Cooling Electric Energy [J]</t>
  </si>
  <si>
    <t>2020 CO2 GHG from HP Heating [kg]</t>
  </si>
  <si>
    <t>2022 CO2 GHG from HP Heating [kg]</t>
  </si>
  <si>
    <t>2024 CO2 GHG from HP Heating [kg]</t>
  </si>
  <si>
    <t>2026 CO2 GHG from HP Heating [kg]</t>
  </si>
  <si>
    <t>2028 CO2 GHG from HP Heating [kg]</t>
  </si>
  <si>
    <t>2030 CO2 GHG from HP Heating [kg]</t>
  </si>
  <si>
    <t>2032 CO2 GHG from HP Heating [kg]</t>
  </si>
  <si>
    <t>2034 CO2 GHG from HP Heating [kg]</t>
  </si>
  <si>
    <t>2036 CO2 GHG from HP Heating [kg]</t>
  </si>
  <si>
    <t>2038 CO2 GHG from HP Heating [kg]</t>
  </si>
  <si>
    <t>2040 CO2 GHG from HP Heating [kg]</t>
  </si>
  <si>
    <t>2042 CO2 GHG from HP Heating [kg]</t>
  </si>
  <si>
    <t>2044 CO2 GHG from HP Heating [kg]</t>
  </si>
  <si>
    <t>2046 CO2 GHG from HP Heating [kg]</t>
  </si>
  <si>
    <t>2048 CO2 GHG from HP Heating [kg]</t>
  </si>
  <si>
    <t>2050 CO2 GHG from HP Heating [kg]</t>
  </si>
  <si>
    <t>2020 CO2 GHG from Electric Resistance [kg]</t>
  </si>
  <si>
    <t>2022 CO2 GHG from Electric Resistance [kg]</t>
  </si>
  <si>
    <t>2024 CO2 GHG from Electric Resistance [kg]</t>
  </si>
  <si>
    <t>2026 CO2 GHG from Electric Resistance [kg]</t>
  </si>
  <si>
    <t>2028 CO2 GHG from Electric Resistance [kg]</t>
  </si>
  <si>
    <t>2030 CO2 GHG from Electric Resistance [kg]</t>
  </si>
  <si>
    <t>2032 CO2 GHG from Electric Resistance [kg]</t>
  </si>
  <si>
    <t>2034 CO2 GHG from Electric Resistance [kg]</t>
  </si>
  <si>
    <t>2036 CO2 GHG from Electric Resistance [kg]</t>
  </si>
  <si>
    <t>2038 CO2 GHG from Electric Resistance [kg]</t>
  </si>
  <si>
    <t>2040 CO2 GHG from Electric Resistance [kg]</t>
  </si>
  <si>
    <t>2042 CO2 GHG from Electric Resistance [kg]</t>
  </si>
  <si>
    <t>2044 CO2 GHG from Electric Resistance [kg]</t>
  </si>
  <si>
    <t>2046 CO2 GHG from Electric Resistance [kg]</t>
  </si>
  <si>
    <t>2048 CO2 GHG from Electric Resistance [kg]</t>
  </si>
  <si>
    <t>2050 CO2 GHG from Electric Resistance [kg]</t>
  </si>
  <si>
    <t>State</t>
  </si>
  <si>
    <t>City</t>
  </si>
  <si>
    <t>File Name</t>
  </si>
  <si>
    <t>AL</t>
  </si>
  <si>
    <t>Birmingham</t>
  </si>
  <si>
    <t>Mobile</t>
  </si>
  <si>
    <t>AR</t>
  </si>
  <si>
    <t>Fayetteville</t>
  </si>
  <si>
    <t>Little-Rock</t>
  </si>
  <si>
    <t>AZ</t>
  </si>
  <si>
    <t>Flagstaff</t>
  </si>
  <si>
    <t>Kingman</t>
  </si>
  <si>
    <t>Phoenix</t>
  </si>
  <si>
    <t>Prescott</t>
  </si>
  <si>
    <t>CA</t>
  </si>
  <si>
    <t>Bishop</t>
  </si>
  <si>
    <t>Crescent City</t>
  </si>
  <si>
    <t>Imperial</t>
  </si>
  <si>
    <t>CO</t>
  </si>
  <si>
    <t>Alamosa</t>
  </si>
  <si>
    <t>Aspen</t>
  </si>
  <si>
    <t>Denver</t>
  </si>
  <si>
    <t>Trinidad</t>
  </si>
  <si>
    <t>CT</t>
  </si>
  <si>
    <t>Bridgeport</t>
  </si>
  <si>
    <t>DE</t>
  </si>
  <si>
    <t>Wilmington</t>
  </si>
  <si>
    <t>FL</t>
  </si>
  <si>
    <t>Jacksonville</t>
  </si>
  <si>
    <t>Miami</t>
  </si>
  <si>
    <t>GA</t>
  </si>
  <si>
    <t>Atlanta</t>
  </si>
  <si>
    <t>Rome</t>
  </si>
  <si>
    <t>Savannah</t>
  </si>
  <si>
    <t>IA</t>
  </si>
  <si>
    <t>Des-Moines</t>
  </si>
  <si>
    <t>Sioux-City</t>
  </si>
  <si>
    <t>ID</t>
  </si>
  <si>
    <t>Boise</t>
  </si>
  <si>
    <t>Idaho-Falls</t>
  </si>
  <si>
    <t>IL</t>
  </si>
  <si>
    <t>Belleville</t>
  </si>
  <si>
    <t>Chicago</t>
  </si>
  <si>
    <t>IN</t>
  </si>
  <si>
    <t>Evansville</t>
  </si>
  <si>
    <t>Indianapolis</t>
  </si>
  <si>
    <t>KS</t>
  </si>
  <si>
    <t>Hays</t>
  </si>
  <si>
    <t>Wichita</t>
  </si>
  <si>
    <t>KY</t>
  </si>
  <si>
    <t>Louisville</t>
  </si>
  <si>
    <t>LA</t>
  </si>
  <si>
    <t>New-Orleans</t>
  </si>
  <si>
    <t>Shreveport</t>
  </si>
  <si>
    <t>MA</t>
  </si>
  <si>
    <t>Boston</t>
  </si>
  <si>
    <t>MD</t>
  </si>
  <si>
    <t>Baltimore</t>
  </si>
  <si>
    <t>ME</t>
  </si>
  <si>
    <t>Portland</t>
  </si>
  <si>
    <t>Presque-Isle</t>
  </si>
  <si>
    <t>MI</t>
  </si>
  <si>
    <t>Detroit</t>
  </si>
  <si>
    <t>Houghton</t>
  </si>
  <si>
    <t>Traverse-City</t>
  </si>
  <si>
    <t>MN</t>
  </si>
  <si>
    <t>Duluth</t>
  </si>
  <si>
    <t>Minneapolis</t>
  </si>
  <si>
    <t>MO</t>
  </si>
  <si>
    <t>Kansas-City</t>
  </si>
  <si>
    <t>St.-Joseph</t>
  </si>
  <si>
    <t>MS</t>
  </si>
  <si>
    <t>Gulfport</t>
  </si>
  <si>
    <t>Jackson</t>
  </si>
  <si>
    <t>MT</t>
  </si>
  <si>
    <t>Billings</t>
  </si>
  <si>
    <t>NC</t>
  </si>
  <si>
    <t>Charlotte</t>
  </si>
  <si>
    <t>Raleigh</t>
  </si>
  <si>
    <t>ND</t>
  </si>
  <si>
    <t>Bismark</t>
  </si>
  <si>
    <t>Fargo</t>
  </si>
  <si>
    <t>NE</t>
  </si>
  <si>
    <t>Omaha</t>
  </si>
  <si>
    <t>NH</t>
  </si>
  <si>
    <t>Concord</t>
  </si>
  <si>
    <t>Manchester</t>
  </si>
  <si>
    <t>NJ</t>
  </si>
  <si>
    <t>Newark</t>
  </si>
  <si>
    <t>Trenton</t>
  </si>
  <si>
    <t>NM</t>
  </si>
  <si>
    <t>Albuquerque</t>
  </si>
  <si>
    <t>Las-Cruces</t>
  </si>
  <si>
    <t>Santa-Fe</t>
  </si>
  <si>
    <t>NV</t>
  </si>
  <si>
    <t>Las-Vegas</t>
  </si>
  <si>
    <t>Reno</t>
  </si>
  <si>
    <t>NY</t>
  </si>
  <si>
    <t>Buffalo</t>
  </si>
  <si>
    <t>New-York</t>
  </si>
  <si>
    <t>Utica</t>
  </si>
  <si>
    <t>OH</t>
  </si>
  <si>
    <t>Cincinnati</t>
  </si>
  <si>
    <t>Columbus</t>
  </si>
  <si>
    <t>OK</t>
  </si>
  <si>
    <t>Oklahoma-City</t>
  </si>
  <si>
    <t>OR</t>
  </si>
  <si>
    <t>Redmond</t>
  </si>
  <si>
    <t>PA</t>
  </si>
  <si>
    <t>Bradford</t>
  </si>
  <si>
    <t>Philadelphia</t>
  </si>
  <si>
    <t>Pittsburgh</t>
  </si>
  <si>
    <t>RI</t>
  </si>
  <si>
    <t>Providence</t>
  </si>
  <si>
    <t>SC</t>
  </si>
  <si>
    <t>Charleston</t>
  </si>
  <si>
    <t>SD</t>
  </si>
  <si>
    <t>Sioux-Falls</t>
  </si>
  <si>
    <t>Yankton</t>
  </si>
  <si>
    <t>TN</t>
  </si>
  <si>
    <t>Memphis</t>
  </si>
  <si>
    <t>Nashville</t>
  </si>
  <si>
    <t>TX</t>
  </si>
  <si>
    <t>Dallas</t>
  </si>
  <si>
    <t>Houston</t>
  </si>
  <si>
    <t>Lubbock</t>
  </si>
  <si>
    <t>UT</t>
  </si>
  <si>
    <t>Salt-Lake-City</t>
  </si>
  <si>
    <t>St.-Geroge</t>
  </si>
  <si>
    <t>Vernal</t>
  </si>
  <si>
    <t>VA</t>
  </si>
  <si>
    <t>Virginia-Beach</t>
  </si>
  <si>
    <t>VT</t>
  </si>
  <si>
    <t>Burlington</t>
  </si>
  <si>
    <t>WA</t>
  </si>
  <si>
    <t>Seattle</t>
  </si>
  <si>
    <t>Spokane</t>
  </si>
  <si>
    <t>WI</t>
  </si>
  <si>
    <t>Rhinelander</t>
  </si>
  <si>
    <t>WV</t>
  </si>
  <si>
    <t>Morgantown</t>
  </si>
  <si>
    <t>WY</t>
  </si>
  <si>
    <t>Cheyenne</t>
  </si>
  <si>
    <t>Sacramento</t>
  </si>
  <si>
    <t>IECC Climate Zone</t>
  </si>
  <si>
    <t>BA Climate Zone</t>
  </si>
  <si>
    <t>County</t>
  </si>
  <si>
    <t>Energy Density of Natural Gas</t>
  </si>
  <si>
    <t>MJ/kg</t>
  </si>
  <si>
    <t>Methane Emissions as a Percentage of Natural Gas Used</t>
  </si>
  <si>
    <t>Science Article + CEC</t>
  </si>
  <si>
    <t>%</t>
  </si>
  <si>
    <t>Methane - GWP 20</t>
  </si>
  <si>
    <t>Methane - GWP 100</t>
  </si>
  <si>
    <t>Fifth Assessment Report of the Intergovernmental Panel on Climate Change</t>
  </si>
  <si>
    <t>-</t>
  </si>
  <si>
    <t>Conversion Factor</t>
  </si>
  <si>
    <t>Btu/h per Watt</t>
  </si>
  <si>
    <t>Btu/h per ton</t>
  </si>
  <si>
    <t>kg/ton</t>
  </si>
  <si>
    <t>Refrigerant Amount [kg]</t>
  </si>
  <si>
    <t>Refrigerant Leak Amount for HP [kg] 2022 [15 year]</t>
  </si>
  <si>
    <t>Refrigerant Leak Amount for HP [kg] 2024 [15 year]</t>
  </si>
  <si>
    <t>Refrigerant Leak Amount for HP [kg] 2026 [15 year]</t>
  </si>
  <si>
    <t>Refrigerant Leak Amount for HP [kg] 2028 [15 year]</t>
  </si>
  <si>
    <t>Refrigerant Leak Amount for HP [kg] 2030 [15 year]</t>
  </si>
  <si>
    <t>Refrigerant Leak Amount for HP [kg] 2032 [15 year]</t>
  </si>
  <si>
    <t>Refrigerant Leak Amount for HP [kg] 2034 [15 year]</t>
  </si>
  <si>
    <t>Refrigerant Leak Amount for HP [kg] 2036 [15 year]</t>
  </si>
  <si>
    <t>Refrigerant Leak GWP20 for HP [kg] 2022 [15 year]</t>
  </si>
  <si>
    <t>Refrigerant Leak GWP20 for HP [kg] 2024 [15 year]</t>
  </si>
  <si>
    <t>Refrigerant Leak GWP20 for HP [kg] 2026 [15 year]</t>
  </si>
  <si>
    <t>Refrigerant Leak GWP20 for HP [kg] 2028 [15 year]</t>
  </si>
  <si>
    <t>Refrigerant Leak GWP20 for HP [kg] 2030 [15 year]</t>
  </si>
  <si>
    <t>Refrigerant Leak GWP20 for HP [kg] 2032 [15 year]</t>
  </si>
  <si>
    <t>Refrigerant Leak GWP20 for HP [kg] 2034 [15 year]</t>
  </si>
  <si>
    <t>Refrigerant Leak GWP20 for HP [kg] 2036 [15 year]</t>
  </si>
  <si>
    <t>R-410A - GWP20</t>
  </si>
  <si>
    <t>R-410A - GWP100</t>
  </si>
  <si>
    <t>R-32 - GWP20</t>
  </si>
  <si>
    <t>R-32 - GWP100</t>
  </si>
  <si>
    <t>Amount of refrigerant in a heat pump</t>
  </si>
  <si>
    <t>Refrigerant Leak GWP100 for HP [kg] 2022 [15 year]</t>
  </si>
  <si>
    <t>Refrigerant Leak GWP100 for HP [kg] 2024 [15 year]</t>
  </si>
  <si>
    <t>Refrigerant Leak GWP100 for HP [kg] 2026 [15 year]</t>
  </si>
  <si>
    <t>Refrigerant Leak GWP100 for HP [kg] 2028 [15 year]</t>
  </si>
  <si>
    <t>Refrigerant Leak GWP100 for HP [kg] 2030 [15 year]</t>
  </si>
  <si>
    <t>Refrigerant Leak GWP100 for HP [kg] 2032 [15 year]</t>
  </si>
  <si>
    <t>Refrigerant Leak GWP100 for HP [kg] 2034 [15 year]</t>
  </si>
  <si>
    <t>Refrigerant Leak GWP100 for HP [kg] 2036 [15 year]</t>
  </si>
  <si>
    <t>% Reduction GWP20 Emissions 2022 [15 years]</t>
  </si>
  <si>
    <t>% Reduction GWP20 Emissions 2024 [15 years]</t>
  </si>
  <si>
    <t>% Reduction GWP20 Emissions 2026 [15 years]</t>
  </si>
  <si>
    <t>% Reduction GWP20 Emissions 2028 [15 years]</t>
  </si>
  <si>
    <t>% Reduction GWP20 Emissions 2030 [15 years]</t>
  </si>
  <si>
    <t>% Reduction GWP20 Emissions 2032 [15 years]</t>
  </si>
  <si>
    <t>% Reduction GWP20 Emissions 2034 [15 years]</t>
  </si>
  <si>
    <t>% Reduction GWP20 Emissions 2036 [15 years]</t>
  </si>
  <si>
    <t>Note: switch to R-32 in 2026</t>
  </si>
  <si>
    <t>Jefferson</t>
  </si>
  <si>
    <t>Mixed-Humid</t>
  </si>
  <si>
    <t>Hot-Humid</t>
  </si>
  <si>
    <t>Washington</t>
  </si>
  <si>
    <t>Pulaski</t>
  </si>
  <si>
    <t>Coconino</t>
  </si>
  <si>
    <t>Cold</t>
  </si>
  <si>
    <t>Mohave</t>
  </si>
  <si>
    <t>Hot-Dry</t>
  </si>
  <si>
    <t>Maricopa</t>
  </si>
  <si>
    <t>Mixed-Dry</t>
  </si>
  <si>
    <t>Inyo</t>
  </si>
  <si>
    <t>Marine</t>
  </si>
  <si>
    <t>Los-Angeles</t>
  </si>
  <si>
    <t>CA_SACRAMENTO-METRO-AP_724839_TY3A.DDY</t>
  </si>
  <si>
    <t>Pitkin</t>
  </si>
  <si>
    <t>Very Cold</t>
  </si>
  <si>
    <t>Duval</t>
  </si>
  <si>
    <t>Miami-Dade</t>
  </si>
  <si>
    <t>Fulton</t>
  </si>
  <si>
    <t>Floyd</t>
  </si>
  <si>
    <t>Chatham</t>
  </si>
  <si>
    <t>Ada</t>
  </si>
  <si>
    <t>Bonneville</t>
  </si>
  <si>
    <t>Cook</t>
  </si>
  <si>
    <t>Vanderburgh</t>
  </si>
  <si>
    <t>Marion</t>
  </si>
  <si>
    <t>Ellis</t>
  </si>
  <si>
    <t>Sedgwick</t>
  </si>
  <si>
    <t>Suffolk</t>
  </si>
  <si>
    <t>Cumberland</t>
  </si>
  <si>
    <t>Aroostook</t>
  </si>
  <si>
    <t>Wayne</t>
  </si>
  <si>
    <t>Roscommon</t>
  </si>
  <si>
    <t>Hennepin</t>
  </si>
  <si>
    <t>Buchanan</t>
  </si>
  <si>
    <t>Harrison</t>
  </si>
  <si>
    <t>Hinds</t>
  </si>
  <si>
    <t>Yellowstone</t>
  </si>
  <si>
    <t>Mecklenburg</t>
  </si>
  <si>
    <t>Wake</t>
  </si>
  <si>
    <t>Burleigh</t>
  </si>
  <si>
    <t>Cass</t>
  </si>
  <si>
    <t>Douglas</t>
  </si>
  <si>
    <t>Merrimack</t>
  </si>
  <si>
    <t>Hillsborough</t>
  </si>
  <si>
    <t>Essex</t>
  </si>
  <si>
    <t>Mercer</t>
  </si>
  <si>
    <t>Bernalillo</t>
  </si>
  <si>
    <t>Clark</t>
  </si>
  <si>
    <t>Washoe</t>
  </si>
  <si>
    <t>Erie</t>
  </si>
  <si>
    <t>Oneida</t>
  </si>
  <si>
    <t>Hamilton</t>
  </si>
  <si>
    <t>Franklin</t>
  </si>
  <si>
    <t>Oklahoma</t>
  </si>
  <si>
    <t>Deschutes</t>
  </si>
  <si>
    <t>McKean</t>
  </si>
  <si>
    <t>Allegheny</t>
  </si>
  <si>
    <t>Minnehaha</t>
  </si>
  <si>
    <t>Shelby</t>
  </si>
  <si>
    <t>Davidson</t>
  </si>
  <si>
    <t>Harris</t>
  </si>
  <si>
    <t>Uintah</t>
  </si>
  <si>
    <t>Chittenden</t>
  </si>
  <si>
    <t>King</t>
  </si>
  <si>
    <t>Milwaukee</t>
  </si>
  <si>
    <t>Kanawha</t>
  </si>
  <si>
    <t>Monongalia</t>
  </si>
  <si>
    <t>Teton</t>
  </si>
  <si>
    <t>% Homes with no air conditioners [2022]</t>
  </si>
  <si>
    <t>% Homes with no air conditioners [2024]</t>
  </si>
  <si>
    <t>% Homes with no air conditioners [2026]</t>
  </si>
  <si>
    <t>% Homes with no air conditioners [2028]</t>
  </si>
  <si>
    <t>% Homes with no air conditioners [2030]</t>
  </si>
  <si>
    <t>% Homes with no air conditioners [2032]</t>
  </si>
  <si>
    <t>% Homes with no air conditioners [2034]</t>
  </si>
  <si>
    <t>Refrigerant Amount [kg] attribued to HP [2022]</t>
  </si>
  <si>
    <t>Refrigerant Amount [kg] attribued to HP [2024]</t>
  </si>
  <si>
    <t>Refrigerant Amount [kg] attribued to HP [2026]</t>
  </si>
  <si>
    <t>Refrigerant Amount [kg] attribued to HP [2028]</t>
  </si>
  <si>
    <t>Refrigerant Amount [kg] attribued to HP [2030]</t>
  </si>
  <si>
    <t>Refrigerant Amount [kg] attribued to HP [2032]</t>
  </si>
  <si>
    <t>Refrigerant Amount [kg] attribued to HP [2034]</t>
  </si>
  <si>
    <t>Refrigerant Amount [kg] attribued to HP [2036]</t>
  </si>
  <si>
    <t>% Homes with no air conditioners [2036]</t>
  </si>
  <si>
    <t>DOE/2015</t>
  </si>
  <si>
    <t>Asssume 94% adoption in hot/humid is the max possible adoption. Assume the remaining 6% that will not procure AC in hot-humid will also not procure heat pump</t>
  </si>
  <si>
    <t>Then apply adoption curve from "south" to remaining cities</t>
  </si>
  <si>
    <t>https://www.eia.gov/consumption/residential/reports/2009/air-conditioning.php</t>
  </si>
  <si>
    <t>Very cold</t>
  </si>
  <si>
    <t>New York</t>
  </si>
  <si>
    <t>table with row headers in column A and column headers in rows 3 through 4 (leading dots indicate sub-parts)</t>
  </si>
  <si>
    <t>Annual Estimates of the Resident Population for Counties in the United States: April 1, 2010 to July 1, 2019</t>
  </si>
  <si>
    <t>Geographic Area</t>
  </si>
  <si>
    <t>Population Estimate (as of July 1)</t>
  </si>
  <si>
    <t>Census</t>
  </si>
  <si>
    <t>Estimates Base</t>
  </si>
  <si>
    <t>United States</t>
  </si>
  <si>
    <t>Bottineau County, North Dakota</t>
  </si>
  <si>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</si>
  <si>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</si>
  <si>
    <t>Suggested Citation:</t>
  </si>
  <si>
    <t>Annual Estimates of the Resident Population for Counties in the United States: April 1, 2010 to July 1, 2019 (CO-EST2019-ANNRES)</t>
  </si>
  <si>
    <t>Source: U.S. Census Bureau, Population Division</t>
  </si>
  <si>
    <t>Release Date: March 2020</t>
  </si>
  <si>
    <t>Autauga County, Alabama</t>
  </si>
  <si>
    <t>Baldwin County, Alabama</t>
  </si>
  <si>
    <t>Barbour County, Alabama</t>
  </si>
  <si>
    <t>Bibb County, Alabama</t>
  </si>
  <si>
    <t>Blount County, Alabama</t>
  </si>
  <si>
    <t>Bullock County, Alabama</t>
  </si>
  <si>
    <t>Butler County, Alabama</t>
  </si>
  <si>
    <t>Calhoun County, Alabama</t>
  </si>
  <si>
    <t>Chambers County, Alabama</t>
  </si>
  <si>
    <t>Cherokee County, Alabama</t>
  </si>
  <si>
    <t>Chilton County, Alabama</t>
  </si>
  <si>
    <t>Choctaw County, Alabama</t>
  </si>
  <si>
    <t>Clarke County, Alabama</t>
  </si>
  <si>
    <t>Clay County, Alabama</t>
  </si>
  <si>
    <t>Cleburne County, Alabama</t>
  </si>
  <si>
    <t>Coffee County, Alabama</t>
  </si>
  <si>
    <t>Colbert County, Alabama</t>
  </si>
  <si>
    <t>Conecuh County, Alabama</t>
  </si>
  <si>
    <t>Coosa County, Alabama</t>
  </si>
  <si>
    <t>Covington County, Alabama</t>
  </si>
  <si>
    <t>Crenshaw County, Alabama</t>
  </si>
  <si>
    <t>Cullman County, Alabama</t>
  </si>
  <si>
    <t>Dale County, Alabama</t>
  </si>
  <si>
    <t>Dallas County, Alabama</t>
  </si>
  <si>
    <t>DeKalb County, Alabama</t>
  </si>
  <si>
    <t>Elmore County, Alabama</t>
  </si>
  <si>
    <t>Escambia County, Alabama</t>
  </si>
  <si>
    <t>Etowah County, Alabama</t>
  </si>
  <si>
    <t>Fayette County, Alabama</t>
  </si>
  <si>
    <t>Franklin County, Alabama</t>
  </si>
  <si>
    <t>Geneva County, Alabama</t>
  </si>
  <si>
    <t>Greene County, Alabama</t>
  </si>
  <si>
    <t>Hale County, Alabama</t>
  </si>
  <si>
    <t>Henry County, Alabama</t>
  </si>
  <si>
    <t>Houston County, Alabama</t>
  </si>
  <si>
    <t>Jackson County, Alabama</t>
  </si>
  <si>
    <t>Jefferson County, Alabama</t>
  </si>
  <si>
    <t>Lamar County, Alabama</t>
  </si>
  <si>
    <t>Lauderdale County, Alabama</t>
  </si>
  <si>
    <t>Lawrence County, Alabama</t>
  </si>
  <si>
    <t>Lee County, Alabama</t>
  </si>
  <si>
    <t>Limestone County, Alabama</t>
  </si>
  <si>
    <t>Lowndes County, Alabama</t>
  </si>
  <si>
    <t>Macon County, Alabama</t>
  </si>
  <si>
    <t>Madison County, Alabama</t>
  </si>
  <si>
    <t>Marengo County, Alabama</t>
  </si>
  <si>
    <t>Marion County, Alabama</t>
  </si>
  <si>
    <t>Marshall County, Alabama</t>
  </si>
  <si>
    <t>Mobile County, Alabama</t>
  </si>
  <si>
    <t>Monroe County, Alabama</t>
  </si>
  <si>
    <t>Montgomery County, Alabama</t>
  </si>
  <si>
    <t>Morgan County, Alabama</t>
  </si>
  <si>
    <t>Perry County, Alabama</t>
  </si>
  <si>
    <t>Pickens County, Alabama</t>
  </si>
  <si>
    <t>Pike County, Alabama</t>
  </si>
  <si>
    <t>Randolph County, Alabama</t>
  </si>
  <si>
    <t>Russell County, Alabama</t>
  </si>
  <si>
    <t>St Clair County, Alabama</t>
  </si>
  <si>
    <t>Shelby County, Alabama</t>
  </si>
  <si>
    <t>Sumter County, Alabama</t>
  </si>
  <si>
    <t>Talladega County, Alabama</t>
  </si>
  <si>
    <t>Tallapoosa County, Alabama</t>
  </si>
  <si>
    <t>Tuscaloosa County, Alabama</t>
  </si>
  <si>
    <t>Walker County, Alabama</t>
  </si>
  <si>
    <t>Washington County, Alabama</t>
  </si>
  <si>
    <t>Wilcox County, Alabama</t>
  </si>
  <si>
    <t>Winston County, Alabama</t>
  </si>
  <si>
    <t>Aleutians East Borough, Alaska</t>
  </si>
  <si>
    <t>Aleutians West Census Area, Alaska</t>
  </si>
  <si>
    <t>Anchorage Municipality, Alaska</t>
  </si>
  <si>
    <t>Bethel Census Area, Alaska</t>
  </si>
  <si>
    <t>Bristol Bay Borough, Alaska</t>
  </si>
  <si>
    <t>Denali Borough, Alaska</t>
  </si>
  <si>
    <t>Dillingham Census Area, Alaska</t>
  </si>
  <si>
    <t>Fairbanks North Star Borough, Alaska</t>
  </si>
  <si>
    <t>Haines Borough, Alaska</t>
  </si>
  <si>
    <t>Hoonah-Angoon Census Area, Alaska</t>
  </si>
  <si>
    <t>Juneau City and Borough, Alaska</t>
  </si>
  <si>
    <t>Kenai Peninsula Borough, Alaska</t>
  </si>
  <si>
    <t>Ketchikan Gateway Borough, Alaska</t>
  </si>
  <si>
    <t>Kodiak Island Borough, Alaska</t>
  </si>
  <si>
    <t>Kusilvak Census Area, Alaska</t>
  </si>
  <si>
    <t>Lake and Peninsula Borough, Alaska</t>
  </si>
  <si>
    <t>Matanuska-Susitna Borough, Alaska</t>
  </si>
  <si>
    <t>Nome Census Area, Alaska</t>
  </si>
  <si>
    <t>North Slope Borough, Alaska</t>
  </si>
  <si>
    <t>Northwest Arctic Borough, Alaska</t>
  </si>
  <si>
    <t>Petersburg Borough, Alaska</t>
  </si>
  <si>
    <t>Prince of Wales-Hyder Census Area, Alaska</t>
  </si>
  <si>
    <t>Sitka City and Borough, Alaska</t>
  </si>
  <si>
    <t>Skagway Municipality, Alaska</t>
  </si>
  <si>
    <t>Southeast Fairbanks Census Area, Alaska</t>
  </si>
  <si>
    <t>Valdez-Cordova Census Area, Alaska</t>
  </si>
  <si>
    <t>Wrangell City and Borough, Alaska</t>
  </si>
  <si>
    <t>Yakutat City and Borough, Alaska</t>
  </si>
  <si>
    <t>Yukon-Koyukuk Census Area, Alaska</t>
  </si>
  <si>
    <t>Apache County, Arizona</t>
  </si>
  <si>
    <t>Cochise County, Arizona</t>
  </si>
  <si>
    <t>Coconino County, Arizona</t>
  </si>
  <si>
    <t>Gila County, Arizona</t>
  </si>
  <si>
    <t>Graham County, Arizona</t>
  </si>
  <si>
    <t>Greenlee County, Arizona</t>
  </si>
  <si>
    <t>La Paz County, Arizona</t>
  </si>
  <si>
    <t>Maricopa County, Arizona</t>
  </si>
  <si>
    <t>Mohave County, Arizona</t>
  </si>
  <si>
    <t>Navajo County, Arizona</t>
  </si>
  <si>
    <t>Pima County, Arizona</t>
  </si>
  <si>
    <t>Pinal County, Arizona</t>
  </si>
  <si>
    <t>Santa Cruz County, Arizona</t>
  </si>
  <si>
    <t>Yavapai County, Arizona</t>
  </si>
  <si>
    <t>Yuma County, Arizona</t>
  </si>
  <si>
    <t>Arkansas County, Arkansas</t>
  </si>
  <si>
    <t>Ashley County, Arkansas</t>
  </si>
  <si>
    <t>Baxter County, Arkansas</t>
  </si>
  <si>
    <t>Benton County, Arkansas</t>
  </si>
  <si>
    <t>Boone County, Arkansas</t>
  </si>
  <si>
    <t>Bradley County, Arkansas</t>
  </si>
  <si>
    <t>Calhoun County, Arkansas</t>
  </si>
  <si>
    <t>Carroll County, Arkansas</t>
  </si>
  <si>
    <t>Chicot County, Arkansas</t>
  </si>
  <si>
    <t>Clark County, Arkansas</t>
  </si>
  <si>
    <t>Clay County, Arkansas</t>
  </si>
  <si>
    <t>Cleburne County, Arkansas</t>
  </si>
  <si>
    <t>Cleveland County, Arkansas</t>
  </si>
  <si>
    <t>Columbia County, Arkansas</t>
  </si>
  <si>
    <t>Conway County, Arkansas</t>
  </si>
  <si>
    <t>Craighead County, Arkansas</t>
  </si>
  <si>
    <t>Crawford County, Arkansas</t>
  </si>
  <si>
    <t>Crittenden County, Arkansas</t>
  </si>
  <si>
    <t>Cross County, Arkansas</t>
  </si>
  <si>
    <t>Dallas County, Arkansas</t>
  </si>
  <si>
    <t>Desha County, Arkansas</t>
  </si>
  <si>
    <t>Drew County, Arkansas</t>
  </si>
  <si>
    <t>Faulkner County, Arkansas</t>
  </si>
  <si>
    <t>Franklin County, Arkansas</t>
  </si>
  <si>
    <t>Fulton County, Arkansas</t>
  </si>
  <si>
    <t>Garland County, Arkansas</t>
  </si>
  <si>
    <t>Grant County, Arkansas</t>
  </si>
  <si>
    <t>Greene County, Arkansas</t>
  </si>
  <si>
    <t>Hempstead County, Arkansas</t>
  </si>
  <si>
    <t>Hot Spring County, Arkansas</t>
  </si>
  <si>
    <t>Howard County, Arkansas</t>
  </si>
  <si>
    <t>Independence County, Arkansas</t>
  </si>
  <si>
    <t>Izard County, Arkansas</t>
  </si>
  <si>
    <t>Jackson County, Arkansas</t>
  </si>
  <si>
    <t>Jefferson County, Arkansas</t>
  </si>
  <si>
    <t>Johnson County, Arkansas</t>
  </si>
  <si>
    <t>Lafayette County, Arkansas</t>
  </si>
  <si>
    <t>Lawrence County, Arkansas</t>
  </si>
  <si>
    <t>Lee County, Arkansas</t>
  </si>
  <si>
    <t>Lincoln County, Arkansas</t>
  </si>
  <si>
    <t>Little River County, Arkansas</t>
  </si>
  <si>
    <t>Logan County, Arkansas</t>
  </si>
  <si>
    <t>Lonoke County, Arkansas</t>
  </si>
  <si>
    <t>Madison County, Arkansas</t>
  </si>
  <si>
    <t>Marion County, Arkansas</t>
  </si>
  <si>
    <t>Miller County, Arkansas</t>
  </si>
  <si>
    <t>Mississippi County, Arkansas</t>
  </si>
  <si>
    <t>Monroe County, Arkansas</t>
  </si>
  <si>
    <t>Montgomery County, Arkansas</t>
  </si>
  <si>
    <t>Nevada County, Arkansas</t>
  </si>
  <si>
    <t>Newton County, Arkansas</t>
  </si>
  <si>
    <t>Ouachita County, Arkansas</t>
  </si>
  <si>
    <t>Perry County, Arkansas</t>
  </si>
  <si>
    <t>Phillips County, Arkansas</t>
  </si>
  <si>
    <t>Pike County, Arkansas</t>
  </si>
  <si>
    <t>Poinsett County, Arkansas</t>
  </si>
  <si>
    <t>Polk County, Arkansas</t>
  </si>
  <si>
    <t>Pope County, Arkansas</t>
  </si>
  <si>
    <t>Prairie County, Arkansas</t>
  </si>
  <si>
    <t>Pulaski County, Arkansas</t>
  </si>
  <si>
    <t>Randolph County, Arkansas</t>
  </si>
  <si>
    <t>St Francis County, Arkansas</t>
  </si>
  <si>
    <t>Saline County, Arkansas</t>
  </si>
  <si>
    <t>Scott County, Arkansas</t>
  </si>
  <si>
    <t>Searcy County, Arkansas</t>
  </si>
  <si>
    <t>Sebastian County, Arkansas</t>
  </si>
  <si>
    <t>Sevier County, Arkansas</t>
  </si>
  <si>
    <t>Sharp County, Arkansas</t>
  </si>
  <si>
    <t>Stone County, Arkansas</t>
  </si>
  <si>
    <t>Union County, Arkansas</t>
  </si>
  <si>
    <t>Van Buren County, Arkansas</t>
  </si>
  <si>
    <t>Washington County, Arkansas</t>
  </si>
  <si>
    <t>White County, Arkansas</t>
  </si>
  <si>
    <t>Woodruff County, Arkansas</t>
  </si>
  <si>
    <t>Yell County, Arkansas</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</si>
  <si>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</si>
  <si>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</si>
  <si>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</si>
  <si>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</si>
  <si>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</si>
  <si>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</si>
  <si>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</si>
  <si>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</si>
  <si>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</si>
  <si>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</si>
  <si>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</si>
  <si>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</si>
  <si>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</si>
  <si>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</si>
  <si>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</si>
  <si>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</si>
  <si>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</si>
  <si>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</si>
  <si>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</si>
  <si>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</si>
  <si>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</si>
  <si>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</si>
  <si>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</si>
  <si>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</si>
  <si>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</si>
  <si>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</si>
  <si>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</si>
  <si>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</si>
  <si>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</si>
  <si>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</si>
  <si>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</si>
  <si>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</si>
  <si>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</si>
  <si>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</si>
  <si>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</si>
  <si>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</si>
  <si>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</si>
  <si>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</si>
  <si>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</si>
  <si>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</si>
  <si>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</si>
  <si>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</si>
  <si>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</si>
  <si>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</si>
  <si>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</si>
  <si>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</si>
  <si>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</si>
  <si>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</si>
  <si>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</si>
  <si>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</si>
  <si>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</si>
  <si>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</si>
  <si>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</si>
  <si>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</si>
  <si>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</si>
  <si>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</si>
  <si>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</si>
  <si>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</si>
  <si>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Adams County, Colorado</t>
  </si>
  <si>
    <t>Alamosa County, Colorado</t>
  </si>
  <si>
    <t>Arapahoe County, Colorado</t>
  </si>
  <si>
    <t>Archuleta County, Colorado</t>
  </si>
  <si>
    <t>Baca County, Colorado</t>
  </si>
  <si>
    <t>Bent County, Colorado</t>
  </si>
  <si>
    <t>Boulder County, Colorado</t>
  </si>
  <si>
    <t>Broomfield County, Colorado</t>
  </si>
  <si>
    <t>Chaffee County, Colorado</t>
  </si>
  <si>
    <t>Cheyenne County, Colorado</t>
  </si>
  <si>
    <t>Clear Creek County, Colorado</t>
  </si>
  <si>
    <t>Conejos County, Colorado</t>
  </si>
  <si>
    <t>Costilla County, Colorado</t>
  </si>
  <si>
    <t>Crowley County, Colorado</t>
  </si>
  <si>
    <t>Custer County, Colorado</t>
  </si>
  <si>
    <t>Delta County, Colorado</t>
  </si>
  <si>
    <t>Denver County, Colorado</t>
  </si>
  <si>
    <t>Dolores County, Colorado</t>
  </si>
  <si>
    <t>Douglas County, Colorado</t>
  </si>
  <si>
    <t>Eagle County, Colorado</t>
  </si>
  <si>
    <t>Elbert County, Colorado</t>
  </si>
  <si>
    <t>El Paso County, Colorado</t>
  </si>
  <si>
    <t>Fremont County, Colorado</t>
  </si>
  <si>
    <t>Garfield County, Colorado</t>
  </si>
  <si>
    <t>Gilpin County, Colorado</t>
  </si>
  <si>
    <t>Grand County, Colorado</t>
  </si>
  <si>
    <t>Gunnison County, Colorado</t>
  </si>
  <si>
    <t>Hinsdale County, Colorado</t>
  </si>
  <si>
    <t>Huerfano County, Colorado</t>
  </si>
  <si>
    <t>Jackson County, Colorado</t>
  </si>
  <si>
    <t>Jefferson County, Colorado</t>
  </si>
  <si>
    <t>Kiowa County, Colorado</t>
  </si>
  <si>
    <t>Kit Carson County, Colorado</t>
  </si>
  <si>
    <t>Lake County, Colorado</t>
  </si>
  <si>
    <t>La Plata County, Colorado</t>
  </si>
  <si>
    <t>Larimer County, Colorado</t>
  </si>
  <si>
    <t>Las Animas County, Colorado</t>
  </si>
  <si>
    <t>Lincoln County, Colorado</t>
  </si>
  <si>
    <t>Logan County, Colorado</t>
  </si>
  <si>
    <t>Mesa County, Colorado</t>
  </si>
  <si>
    <t>Mineral County, Colorado</t>
  </si>
  <si>
    <t>Moffat County, Colorado</t>
  </si>
  <si>
    <t>Montezuma County, Colorado</t>
  </si>
  <si>
    <t>Montrose County, Colorado</t>
  </si>
  <si>
    <t>Morgan County, Colorado</t>
  </si>
  <si>
    <t>Otero County, Colorado</t>
  </si>
  <si>
    <t>Ouray County, Colorado</t>
  </si>
  <si>
    <t>Park County, Colorado</t>
  </si>
  <si>
    <t>Phillips County, Colorado</t>
  </si>
  <si>
    <t>Pitkin County, Colorado</t>
  </si>
  <si>
    <t>Prowers County, Colorado</t>
  </si>
  <si>
    <t>Pueblo County, Colorado</t>
  </si>
  <si>
    <t>Rio Blanco County, Colorado</t>
  </si>
  <si>
    <t>Rio Grande County, Colorado</t>
  </si>
  <si>
    <t>Routt County, Colorado</t>
  </si>
  <si>
    <t>Saguache County, Colorado</t>
  </si>
  <si>
    <t>San Juan County, Colorado</t>
  </si>
  <si>
    <t>San Miguel County, Colorado</t>
  </si>
  <si>
    <t>Sedgwick County, Colorado</t>
  </si>
  <si>
    <t>Summit County, Colorado</t>
  </si>
  <si>
    <t>Teller County, Colorado</t>
  </si>
  <si>
    <t>Washington County, Colorado</t>
  </si>
  <si>
    <t>Weld County, Colorado</t>
  </si>
  <si>
    <t>Yuma County, Colorado</t>
  </si>
  <si>
    <t>Fairfield County, Connecticut</t>
  </si>
  <si>
    <t>Hartford County, Connecticut</t>
  </si>
  <si>
    <t>Litchfield County, Connecticut</t>
  </si>
  <si>
    <t>Middlesex County, Connecticut</t>
  </si>
  <si>
    <t>New Haven County, Connecticut</t>
  </si>
  <si>
    <t>New London County, Connecticut</t>
  </si>
  <si>
    <t>Tolland County, Connecticut</t>
  </si>
  <si>
    <t>Windham County, Connecticut</t>
  </si>
  <si>
    <t>Kent County, Delaware</t>
  </si>
  <si>
    <t>New Castle County, Delaware</t>
  </si>
  <si>
    <t>Sussex County, Delaware</t>
  </si>
  <si>
    <t>District of Columbia, District of Columbia</t>
  </si>
  <si>
    <t>Alachua County, Florida</t>
  </si>
  <si>
    <t>Baker County, Florida</t>
  </si>
  <si>
    <t>Bay County, Florida</t>
  </si>
  <si>
    <t>Bradford County, Florida</t>
  </si>
  <si>
    <t>Brevard County, Florida</t>
  </si>
  <si>
    <t>Broward County, Florida</t>
  </si>
  <si>
    <t>Calhoun County, Florida</t>
  </si>
  <si>
    <t>Charlotte County, Florida</t>
  </si>
  <si>
    <t>Citrus County, Florida</t>
  </si>
  <si>
    <t>Clay County, Florida</t>
  </si>
  <si>
    <t>Collier County, Florida</t>
  </si>
  <si>
    <t>Columbia County, Florida</t>
  </si>
  <si>
    <t>DeSoto County, Florida</t>
  </si>
  <si>
    <t>Dixie County, Florida</t>
  </si>
  <si>
    <t>Duval County, Florida</t>
  </si>
  <si>
    <t>Escambia County, Florida</t>
  </si>
  <si>
    <t>Flagler County, Florida</t>
  </si>
  <si>
    <t>Franklin County, Florida</t>
  </si>
  <si>
    <t>Gadsden County, Florida</t>
  </si>
  <si>
    <t>Gilchrist County, Florida</t>
  </si>
  <si>
    <t>Glades County, Florida</t>
  </si>
  <si>
    <t>Gulf County, Florida</t>
  </si>
  <si>
    <t>Hamilton County, Florida</t>
  </si>
  <si>
    <t>Hardee County, Florida</t>
  </si>
  <si>
    <t>Hendry County, Florida</t>
  </si>
  <si>
    <t>Hernando County, Florida</t>
  </si>
  <si>
    <t>Highlands County, Florida</t>
  </si>
  <si>
    <t>Hillsborough County, Florida</t>
  </si>
  <si>
    <t>Holmes County, Florida</t>
  </si>
  <si>
    <t>Indian River County, Florida</t>
  </si>
  <si>
    <t>Jackson County, Florida</t>
  </si>
  <si>
    <t>Jefferson County, Florida</t>
  </si>
  <si>
    <t>Lafayette County, Florida</t>
  </si>
  <si>
    <t>Lake County, Florida</t>
  </si>
  <si>
    <t>Lee County, Florida</t>
  </si>
  <si>
    <t>Leon County, Florida</t>
  </si>
  <si>
    <t>Levy County, Florida</t>
  </si>
  <si>
    <t>Liberty County, Florida</t>
  </si>
  <si>
    <t>Madison County, Florida</t>
  </si>
  <si>
    <t>Manatee County, Florida</t>
  </si>
  <si>
    <t>Marion County, Florida</t>
  </si>
  <si>
    <t>Martin County, Florida</t>
  </si>
  <si>
    <t>Miami-Dade County, Florida</t>
  </si>
  <si>
    <t>Monroe County, Florida</t>
  </si>
  <si>
    <t>Nassau County, Florida</t>
  </si>
  <si>
    <t>Okaloosa County, Florida</t>
  </si>
  <si>
    <t>Okeechobee County, Florida</t>
  </si>
  <si>
    <t>Orange County, Florida</t>
  </si>
  <si>
    <t>Osceola County, Florida</t>
  </si>
  <si>
    <t>Palm Beach County, Florida</t>
  </si>
  <si>
    <t>Pasco County, Florida</t>
  </si>
  <si>
    <t>Pinellas County, Florida</t>
  </si>
  <si>
    <t>Polk County, Florida</t>
  </si>
  <si>
    <t>Putnam County, Florida</t>
  </si>
  <si>
    <t>St Johns County, Florida</t>
  </si>
  <si>
    <t>St Lucie County, Florida</t>
  </si>
  <si>
    <t>Santa Rosa County, Florida</t>
  </si>
  <si>
    <t>Sarasota County, Florida</t>
  </si>
  <si>
    <t>Seminole County, Florida</t>
  </si>
  <si>
    <t>Sumter County, Florida</t>
  </si>
  <si>
    <t>Suwannee County, Florida</t>
  </si>
  <si>
    <t>Taylor County, Florida</t>
  </si>
  <si>
    <t>Union County, Florida</t>
  </si>
  <si>
    <t>Volusia County, Florida</t>
  </si>
  <si>
    <t>Wakulla County, Florida</t>
  </si>
  <si>
    <t>Walton County, Florida</t>
  </si>
  <si>
    <t>Washington County, Florida</t>
  </si>
  <si>
    <t>Appling County, Georgia</t>
  </si>
  <si>
    <t>Atkinson County, Georgia</t>
  </si>
  <si>
    <t>Bacon County, Georgia</t>
  </si>
  <si>
    <t>Baker County, Georgia</t>
  </si>
  <si>
    <t>Baldwin County, Georgia</t>
  </si>
  <si>
    <t>Banks County, Georgia</t>
  </si>
  <si>
    <t>Barrow County, Georgia</t>
  </si>
  <si>
    <t>Bartow County, Georgia</t>
  </si>
  <si>
    <t>Ben Hill County, Georgia</t>
  </si>
  <si>
    <t>Berrien County, Georgia</t>
  </si>
  <si>
    <t>Bibb County, Georgia</t>
  </si>
  <si>
    <t>Bleckley County, Georgia</t>
  </si>
  <si>
    <t>Brantley County, Georgia</t>
  </si>
  <si>
    <t>Brooks County, Georgia</t>
  </si>
  <si>
    <t>Bryan County, Georgia</t>
  </si>
  <si>
    <t>Bulloch County, Georgia</t>
  </si>
  <si>
    <t>Burke County, Georgia</t>
  </si>
  <si>
    <t>Butts County, Georgia</t>
  </si>
  <si>
    <t>Calhoun County, Georgia</t>
  </si>
  <si>
    <t>Camden County, Georgia</t>
  </si>
  <si>
    <t>Candler County, Georgia</t>
  </si>
  <si>
    <t>Carroll County, Georgia</t>
  </si>
  <si>
    <t>Catoosa County, Georgia</t>
  </si>
  <si>
    <t>Charlton County, Georgia</t>
  </si>
  <si>
    <t>Chatham County, Georgia</t>
  </si>
  <si>
    <t>Chattahoochee County, Georgia</t>
  </si>
  <si>
    <t>Chattooga County, Georgia</t>
  </si>
  <si>
    <t>Cherokee County, Georgia</t>
  </si>
  <si>
    <t>Clarke County, Georgia</t>
  </si>
  <si>
    <t>Clay County, Georgia</t>
  </si>
  <si>
    <t>Clayton County, Georgia</t>
  </si>
  <si>
    <t>Clinch County, Georgia</t>
  </si>
  <si>
    <t>Cobb County, Georgia</t>
  </si>
  <si>
    <t>Coffee County, Georgia</t>
  </si>
  <si>
    <t>Colquitt County, Georgia</t>
  </si>
  <si>
    <t>Columbia County, Georgia</t>
  </si>
  <si>
    <t>Cook County, Georgia</t>
  </si>
  <si>
    <t>Coweta County, Georgia</t>
  </si>
  <si>
    <t>Crawford County, Georgia</t>
  </si>
  <si>
    <t>Crisp County, Georgia</t>
  </si>
  <si>
    <t>Dade County, Georgia</t>
  </si>
  <si>
    <t>Dawson County, Georgia</t>
  </si>
  <si>
    <t>Decatur County, Georgia</t>
  </si>
  <si>
    <t>DeKalb County, Georgia</t>
  </si>
  <si>
    <t>Dodge County, Georgia</t>
  </si>
  <si>
    <t>Dooly County, Georgia</t>
  </si>
  <si>
    <t>Dougherty County, Georgia</t>
  </si>
  <si>
    <t>Douglas County, Georgia</t>
  </si>
  <si>
    <t>Early County, Georgia</t>
  </si>
  <si>
    <t>Echols County, Georgia</t>
  </si>
  <si>
    <t>Effingham County, Georgia</t>
  </si>
  <si>
    <t>Elbert County, Georgia</t>
  </si>
  <si>
    <t>Emanuel County, Georgia</t>
  </si>
  <si>
    <t>Evans County, Georgia</t>
  </si>
  <si>
    <t>Fannin County, Georgia</t>
  </si>
  <si>
    <t>Fayette County, Georgia</t>
  </si>
  <si>
    <t>Floyd County, Georgia</t>
  </si>
  <si>
    <t>Forsyth County, Georgia</t>
  </si>
  <si>
    <t>Franklin County, Georgia</t>
  </si>
  <si>
    <t>Fulton County, Georgia</t>
  </si>
  <si>
    <t>Gilmer County, Georgia</t>
  </si>
  <si>
    <t>Glascock County, Georgia</t>
  </si>
  <si>
    <t>Glynn County, Georgia</t>
  </si>
  <si>
    <t>Gordon County, Georgia</t>
  </si>
  <si>
    <t>Grady County, Georgia</t>
  </si>
  <si>
    <t>Greene County, Georgia</t>
  </si>
  <si>
    <t>Gwinnett County, Georgia</t>
  </si>
  <si>
    <t>Habersham County, Georgia</t>
  </si>
  <si>
    <t>Hall County, Georgia</t>
  </si>
  <si>
    <t>Hancock County, Georgia</t>
  </si>
  <si>
    <t>Haralson County, Georgia</t>
  </si>
  <si>
    <t>Harris County, Georgia</t>
  </si>
  <si>
    <t>Hart County, Georgia</t>
  </si>
  <si>
    <t>Heard County, Georgia</t>
  </si>
  <si>
    <t>Henry County, Georgia</t>
  </si>
  <si>
    <t>Houston County, Georgia</t>
  </si>
  <si>
    <t>Irwin County, Georgia</t>
  </si>
  <si>
    <t>Jackson County, Georgia</t>
  </si>
  <si>
    <t>Jasper County, Georgia</t>
  </si>
  <si>
    <t>Jeff Davis County, Georgia</t>
  </si>
  <si>
    <t>Jefferson County, Georgia</t>
  </si>
  <si>
    <t>Jenkins County, Georgia</t>
  </si>
  <si>
    <t>Johnson County, Georgia</t>
  </si>
  <si>
    <t>Jones County, Georgia</t>
  </si>
  <si>
    <t>Lamar County, Georgia</t>
  </si>
  <si>
    <t>Lanier County, Georgia</t>
  </si>
  <si>
    <t>Laurens County, Georgia</t>
  </si>
  <si>
    <t>Lee County, Georgia</t>
  </si>
  <si>
    <t>Liberty County, Georgia</t>
  </si>
  <si>
    <t>Lincoln County, Georgia</t>
  </si>
  <si>
    <t>Long County, Georgia</t>
  </si>
  <si>
    <t>Lowndes County, Georgia</t>
  </si>
  <si>
    <t>Lumpkin County, Georgia</t>
  </si>
  <si>
    <t>McDuffie County, Georgia</t>
  </si>
  <si>
    <t>McIntosh County, Georgia</t>
  </si>
  <si>
    <t>Macon County, Georgia</t>
  </si>
  <si>
    <t>Madison County, Georgia</t>
  </si>
  <si>
    <t>Marion County, Georgia</t>
  </si>
  <si>
    <t>Meriwether County, Georgia</t>
  </si>
  <si>
    <t>Miller County, Georgia</t>
  </si>
  <si>
    <t>Mitchell County, Georgia</t>
  </si>
  <si>
    <t>Monroe County, Georgia</t>
  </si>
  <si>
    <t>Montgomery County, Georgia</t>
  </si>
  <si>
    <t>Morgan County, Georgia</t>
  </si>
  <si>
    <t>Murray County, Georgia</t>
  </si>
  <si>
    <t>Muscogee County, Georgia</t>
  </si>
  <si>
    <t>Newton County, Georgia</t>
  </si>
  <si>
    <t>Oconee County, Georgia</t>
  </si>
  <si>
    <t>Oglethorpe County, Georgia</t>
  </si>
  <si>
    <t>Paulding County, Georgia</t>
  </si>
  <si>
    <t>Peach County, Georgia</t>
  </si>
  <si>
    <t>Pickens County, Georgia</t>
  </si>
  <si>
    <t>Pierce County, Georgia</t>
  </si>
  <si>
    <t>Pike County, Georgia</t>
  </si>
  <si>
    <t>Polk County, Georgia</t>
  </si>
  <si>
    <t>Pulaski County, Georgia</t>
  </si>
  <si>
    <t>Putnam County, Georgia</t>
  </si>
  <si>
    <t>Quitman County, Georgia</t>
  </si>
  <si>
    <t>Rabun County, Georgia</t>
  </si>
  <si>
    <t>Randolph County, Georgia</t>
  </si>
  <si>
    <t>Richmond County, Georgia</t>
  </si>
  <si>
    <t>Rockdale County, Georgia</t>
  </si>
  <si>
    <t>Schley County, Georgia</t>
  </si>
  <si>
    <t>Screven County, Georgia</t>
  </si>
  <si>
    <t>Seminole County, Georgia</t>
  </si>
  <si>
    <t>Spalding County, Georgia</t>
  </si>
  <si>
    <t>Stephens County, Georgia</t>
  </si>
  <si>
    <t>Stewart County, Georgia</t>
  </si>
  <si>
    <t>Sumter County, Georgia</t>
  </si>
  <si>
    <t>Talbot County, Georgia</t>
  </si>
  <si>
    <t>Taliaferro County, Georgia</t>
  </si>
  <si>
    <t>Tattnall County, Georgia</t>
  </si>
  <si>
    <t>Taylor County, Georgia</t>
  </si>
  <si>
    <t>Telfair County, Georgia</t>
  </si>
  <si>
    <t>Terrell County, Georgia</t>
  </si>
  <si>
    <t>Thomas County, Georgia</t>
  </si>
  <si>
    <t>Tift County, Georgia</t>
  </si>
  <si>
    <t>Toombs County, Georgia</t>
  </si>
  <si>
    <t>Towns County, Georgia</t>
  </si>
  <si>
    <t>Treutlen County, Georgia</t>
  </si>
  <si>
    <t>Troup County, Georgia</t>
  </si>
  <si>
    <t>Turner County, Georgia</t>
  </si>
  <si>
    <t>Twiggs County, Georgia</t>
  </si>
  <si>
    <t>Union County, Georgia</t>
  </si>
  <si>
    <t>Upson County, Georgia</t>
  </si>
  <si>
    <t>Walker County, Georgia</t>
  </si>
  <si>
    <t>Walton County, Georgia</t>
  </si>
  <si>
    <t>Ware County, Georgia</t>
  </si>
  <si>
    <t>Warren County, Georgia</t>
  </si>
  <si>
    <t>Washington County, Georgia</t>
  </si>
  <si>
    <t>Wayne County, Georgia</t>
  </si>
  <si>
    <t>Webster County, Georgia</t>
  </si>
  <si>
    <t>Wheeler County, Georgia</t>
  </si>
  <si>
    <t>White County, Georgia</t>
  </si>
  <si>
    <t>Whitfield County, Georgia</t>
  </si>
  <si>
    <t>Wilcox County, Georgia</t>
  </si>
  <si>
    <t>Wilkes County, Georgia</t>
  </si>
  <si>
    <t>Wilkinson County, Georgia</t>
  </si>
  <si>
    <t>Worth County, Georgia</t>
  </si>
  <si>
    <t>Hawaii County, Hawaii</t>
  </si>
  <si>
    <t>Honolulu County, Hawaii</t>
  </si>
  <si>
    <t>Kalawao County, Hawaii</t>
  </si>
  <si>
    <t>Kauai County, Hawaii</t>
  </si>
  <si>
    <t>Maui County, Hawaii</t>
  </si>
  <si>
    <t>Ada County, Idaho</t>
  </si>
  <si>
    <t>Adams County, Idaho</t>
  </si>
  <si>
    <t>Bannock County, Idaho</t>
  </si>
  <si>
    <t>Bear Lake County, Idaho</t>
  </si>
  <si>
    <t>Benewah County, Idaho</t>
  </si>
  <si>
    <t>Bingham County, Idaho</t>
  </si>
  <si>
    <t>Blaine County, Idaho</t>
  </si>
  <si>
    <t>Boise County, Idaho</t>
  </si>
  <si>
    <t>Bonner County, Idaho</t>
  </si>
  <si>
    <t>Bonneville County, Idaho</t>
  </si>
  <si>
    <t>Boundary County, Idaho</t>
  </si>
  <si>
    <t>Butte County, Idaho</t>
  </si>
  <si>
    <t>Camas County, Idaho</t>
  </si>
  <si>
    <t>Canyon County, Idaho</t>
  </si>
  <si>
    <t>Caribou County, Idaho</t>
  </si>
  <si>
    <t>Cassia County, Idaho</t>
  </si>
  <si>
    <t>Clark County, Idaho</t>
  </si>
  <si>
    <t>Clearwater County, Idaho</t>
  </si>
  <si>
    <t>Custer County, Idaho</t>
  </si>
  <si>
    <t>Elmore County, Idaho</t>
  </si>
  <si>
    <t>Franklin County, Idaho</t>
  </si>
  <si>
    <t>Fremont County, Idaho</t>
  </si>
  <si>
    <t>Gem County, Idaho</t>
  </si>
  <si>
    <t>Gooding County, Idaho</t>
  </si>
  <si>
    <t>Idaho County, Idaho</t>
  </si>
  <si>
    <t>Jefferson County, Idaho</t>
  </si>
  <si>
    <t>Jerome County, Idaho</t>
  </si>
  <si>
    <t>Kootenai County, Idaho</t>
  </si>
  <si>
    <t>Latah County, Idaho</t>
  </si>
  <si>
    <t>Lemhi County, Idaho</t>
  </si>
  <si>
    <t>Lewis County, Idaho</t>
  </si>
  <si>
    <t>Lincoln County, Idaho</t>
  </si>
  <si>
    <t>Madison County, Idaho</t>
  </si>
  <si>
    <t>Minidoka County, Idaho</t>
  </si>
  <si>
    <t>Nez Perce County, Idaho</t>
  </si>
  <si>
    <t>Oneida County, Idaho</t>
  </si>
  <si>
    <t>Owyhee County, Idaho</t>
  </si>
  <si>
    <t>Payette County, Idaho</t>
  </si>
  <si>
    <t>Power County, Idaho</t>
  </si>
  <si>
    <t>Shoshone County, Idaho</t>
  </si>
  <si>
    <t>Teton County, Idaho</t>
  </si>
  <si>
    <t>Twin Falls County, Idaho</t>
  </si>
  <si>
    <t>Valley County, Idaho</t>
  </si>
  <si>
    <t>Washington County, Idaho</t>
  </si>
  <si>
    <t>Adams County, Illinois</t>
  </si>
  <si>
    <t>Alexander County, Illinois</t>
  </si>
  <si>
    <t>Bond County, Illinois</t>
  </si>
  <si>
    <t>Boone County, Illinois</t>
  </si>
  <si>
    <t>Brown County, Illinois</t>
  </si>
  <si>
    <t>Bureau County, Illinois</t>
  </si>
  <si>
    <t>Calhoun County, Illinois</t>
  </si>
  <si>
    <t>Carroll County, Illinois</t>
  </si>
  <si>
    <t>Cass County, Illinois</t>
  </si>
  <si>
    <t>Champaign County, Illinois</t>
  </si>
  <si>
    <t>Christian County, Illinois</t>
  </si>
  <si>
    <t>Clark County, Illinois</t>
  </si>
  <si>
    <t>Clay County, Illinois</t>
  </si>
  <si>
    <t>Clinton County, Illinois</t>
  </si>
  <si>
    <t>Coles County, Illinois</t>
  </si>
  <si>
    <t>Cook County, Illinois</t>
  </si>
  <si>
    <t>Crawford County, Illinois</t>
  </si>
  <si>
    <t>Cumberland County, Illinois</t>
  </si>
  <si>
    <t>DeKalb County, Illinois</t>
  </si>
  <si>
    <t>De Witt County, Illinois</t>
  </si>
  <si>
    <t>Douglas County, Illinois</t>
  </si>
  <si>
    <t>DuPage County, Illinois</t>
  </si>
  <si>
    <t>Edgar County, Illinois</t>
  </si>
  <si>
    <t>Edwards County, Illinois</t>
  </si>
  <si>
    <t>Effingham County, Illinois</t>
  </si>
  <si>
    <t>Fayette County, Illinois</t>
  </si>
  <si>
    <t>Ford County, Illinois</t>
  </si>
  <si>
    <t>Franklin County, Illinois</t>
  </si>
  <si>
    <t>Fulton County, Illinois</t>
  </si>
  <si>
    <t>Gallatin County, Illinois</t>
  </si>
  <si>
    <t>Greene County, Illinois</t>
  </si>
  <si>
    <t>Grundy County, Illinois</t>
  </si>
  <si>
    <t>Hamilton County, Illinois</t>
  </si>
  <si>
    <t>Hancock County, Illinois</t>
  </si>
  <si>
    <t>Hardin County, Illinois</t>
  </si>
  <si>
    <t>Henderson County, Illinois</t>
  </si>
  <si>
    <t>Henry County, Illinois</t>
  </si>
  <si>
    <t>Iroquois County, Illinois</t>
  </si>
  <si>
    <t>Jackson County, Illinois</t>
  </si>
  <si>
    <t>Jasper County, Illinois</t>
  </si>
  <si>
    <t>Jefferson County, Illinois</t>
  </si>
  <si>
    <t>Jersey County, Illinois</t>
  </si>
  <si>
    <t>Jo Daviess County, Illinois</t>
  </si>
  <si>
    <t>Johnson County, Illinois</t>
  </si>
  <si>
    <t>Kane County, Illinois</t>
  </si>
  <si>
    <t>Kankakee County, Illinois</t>
  </si>
  <si>
    <t>Kendall County, Illinois</t>
  </si>
  <si>
    <t>Knox County, Illinois</t>
  </si>
  <si>
    <t>Lake County, Illinois</t>
  </si>
  <si>
    <t>LaSalle County, Illinois</t>
  </si>
  <si>
    <t>Lawrence County, Illinois</t>
  </si>
  <si>
    <t>Lee County, Illinois</t>
  </si>
  <si>
    <t>Livingston County, Illinois</t>
  </si>
  <si>
    <t>Logan County, Illinois</t>
  </si>
  <si>
    <t>McDonough County, Illinois</t>
  </si>
  <si>
    <t>McHenry County, Illinois</t>
  </si>
  <si>
    <t>McLean County, Illinois</t>
  </si>
  <si>
    <t>Macon County, Illinois</t>
  </si>
  <si>
    <t>Macoupin County, Illinois</t>
  </si>
  <si>
    <t>Madison County, Illinois</t>
  </si>
  <si>
    <t>Marion County, Illinois</t>
  </si>
  <si>
    <t>Marshall County, Illinois</t>
  </si>
  <si>
    <t>Mason County, Illinois</t>
  </si>
  <si>
    <t>Massac County, Illinois</t>
  </si>
  <si>
    <t>Menard County, Illinois</t>
  </si>
  <si>
    <t>Mercer County, Illinois</t>
  </si>
  <si>
    <t>Monroe County, Illinois</t>
  </si>
  <si>
    <t>Montgomery County, Illinois</t>
  </si>
  <si>
    <t>Morgan County, Illinois</t>
  </si>
  <si>
    <t>Moultrie County, Illinois</t>
  </si>
  <si>
    <t>Ogle County, Illinois</t>
  </si>
  <si>
    <t>Peoria County, Illinois</t>
  </si>
  <si>
    <t>Perry County, Illinois</t>
  </si>
  <si>
    <t>Piatt County, Illinois</t>
  </si>
  <si>
    <t>Pike County, Illinois</t>
  </si>
  <si>
    <t>Pope County, Illinois</t>
  </si>
  <si>
    <t>Pulaski County, Illinois</t>
  </si>
  <si>
    <t>Putnam County, Illinois</t>
  </si>
  <si>
    <t>Randolph County, Illinois</t>
  </si>
  <si>
    <t>Richland County, Illinois</t>
  </si>
  <si>
    <t>Rock Island County, Illinois</t>
  </si>
  <si>
    <t>St Clair County, Illinois</t>
  </si>
  <si>
    <t>Saline County, Illinois</t>
  </si>
  <si>
    <t>Sangamon County, Illinois</t>
  </si>
  <si>
    <t>Schuyler County, Illinois</t>
  </si>
  <si>
    <t>Scott County, Illinois</t>
  </si>
  <si>
    <t>Shelby County, Illinois</t>
  </si>
  <si>
    <t>Stark County, Illinois</t>
  </si>
  <si>
    <t>Stephenson County, Illinois</t>
  </si>
  <si>
    <t>Tazewell County, Illinois</t>
  </si>
  <si>
    <t>Union County, Illinois</t>
  </si>
  <si>
    <t>Vermilion County, Illinois</t>
  </si>
  <si>
    <t>Wabash County, Illinois</t>
  </si>
  <si>
    <t>Warren County, Illinois</t>
  </si>
  <si>
    <t>Washington County, Illinois</t>
  </si>
  <si>
    <t>Wayne County, Illinois</t>
  </si>
  <si>
    <t>White County, Illinois</t>
  </si>
  <si>
    <t>Whiteside County, Illinois</t>
  </si>
  <si>
    <t>Will County, Illinois</t>
  </si>
  <si>
    <t>Williamson County, Illinois</t>
  </si>
  <si>
    <t>Winnebago County, Illinois</t>
  </si>
  <si>
    <t>Woodford County, Illinois</t>
  </si>
  <si>
    <t>Adams County, Indiana</t>
  </si>
  <si>
    <t>Allen County, Indiana</t>
  </si>
  <si>
    <t>Bartholomew County, Indiana</t>
  </si>
  <si>
    <t>Benton County, Indiana</t>
  </si>
  <si>
    <t>Blackford County, Indiana</t>
  </si>
  <si>
    <t>Boone County, Indiana</t>
  </si>
  <si>
    <t>Brown County, Indiana</t>
  </si>
  <si>
    <t>Carroll County, Indiana</t>
  </si>
  <si>
    <t>Cass County, Indiana</t>
  </si>
  <si>
    <t>Clark County, Indiana</t>
  </si>
  <si>
    <t>Clay County, Indiana</t>
  </si>
  <si>
    <t>Clinton County, Indiana</t>
  </si>
  <si>
    <t>Crawford County, Indiana</t>
  </si>
  <si>
    <t>Daviess County, Indiana</t>
  </si>
  <si>
    <t>Dearborn County, Indiana</t>
  </si>
  <si>
    <t>Decatur County, Indiana</t>
  </si>
  <si>
    <t>DeKalb County, Indiana</t>
  </si>
  <si>
    <t>Delaware County, Indiana</t>
  </si>
  <si>
    <t>Dubois County, Indiana</t>
  </si>
  <si>
    <t>Elkhart County, Indiana</t>
  </si>
  <si>
    <t>Fayette County, Indiana</t>
  </si>
  <si>
    <t>Floyd County, Indiana</t>
  </si>
  <si>
    <t>Fountain County, Indiana</t>
  </si>
  <si>
    <t>Franklin County, Indiana</t>
  </si>
  <si>
    <t>Fulton County, Indiana</t>
  </si>
  <si>
    <t>Gibson County, Indiana</t>
  </si>
  <si>
    <t>Grant County, Indiana</t>
  </si>
  <si>
    <t>Greene County, Indiana</t>
  </si>
  <si>
    <t>Hamilton County, Indiana</t>
  </si>
  <si>
    <t>Hancock County, Indiana</t>
  </si>
  <si>
    <t>Harrison County, Indiana</t>
  </si>
  <si>
    <t>Hendricks County, Indiana</t>
  </si>
  <si>
    <t>Henry County, Indiana</t>
  </si>
  <si>
    <t>Howard County, Indiana</t>
  </si>
  <si>
    <t>Huntington County, Indiana</t>
  </si>
  <si>
    <t>Jackson County, Indiana</t>
  </si>
  <si>
    <t>Jasper County, Indiana</t>
  </si>
  <si>
    <t>Jay County, Indiana</t>
  </si>
  <si>
    <t>Jefferson County, Indiana</t>
  </si>
  <si>
    <t>Jennings County, Indiana</t>
  </si>
  <si>
    <t>Johnson County, Indiana</t>
  </si>
  <si>
    <t>Knox County, Indiana</t>
  </si>
  <si>
    <t>Kosciusko County, Indiana</t>
  </si>
  <si>
    <t>LaGrange County, Indiana</t>
  </si>
  <si>
    <t>Lake County, Indiana</t>
  </si>
  <si>
    <t>LaPorte County, Indiana</t>
  </si>
  <si>
    <t>Lawrence County, Indiana</t>
  </si>
  <si>
    <t>Madison County, Indiana</t>
  </si>
  <si>
    <t>Marion County, Indiana</t>
  </si>
  <si>
    <t>Marshall County, Indiana</t>
  </si>
  <si>
    <t>Martin County, Indiana</t>
  </si>
  <si>
    <t>Miami County, Indiana</t>
  </si>
  <si>
    <t>Monroe County, Indiana</t>
  </si>
  <si>
    <t>Montgomery County, Indiana</t>
  </si>
  <si>
    <t>Morgan County, Indiana</t>
  </si>
  <si>
    <t>Newton County, Indiana</t>
  </si>
  <si>
    <t>Noble County, Indiana</t>
  </si>
  <si>
    <t>Ohio County, Indiana</t>
  </si>
  <si>
    <t>Orange County, Indiana</t>
  </si>
  <si>
    <t>Owen County, Indiana</t>
  </si>
  <si>
    <t>Parke County, Indiana</t>
  </si>
  <si>
    <t>Perry County, Indiana</t>
  </si>
  <si>
    <t>Pike County, Indiana</t>
  </si>
  <si>
    <t>Porter County, Indiana</t>
  </si>
  <si>
    <t>Posey County, Indiana</t>
  </si>
  <si>
    <t>Pulaski County, Indiana</t>
  </si>
  <si>
    <t>Putnam County, Indiana</t>
  </si>
  <si>
    <t>Randolph County, Indiana</t>
  </si>
  <si>
    <t>Ripley County, Indiana</t>
  </si>
  <si>
    <t>Rush County, Indiana</t>
  </si>
  <si>
    <t>St Joseph County, Indiana</t>
  </si>
  <si>
    <t>Scott County, Indiana</t>
  </si>
  <si>
    <t>Shelby County, Indiana</t>
  </si>
  <si>
    <t>Spencer County, Indiana</t>
  </si>
  <si>
    <t>Starke County, Indiana</t>
  </si>
  <si>
    <t>Steuben County, Indiana</t>
  </si>
  <si>
    <t>Sullivan County, Indiana</t>
  </si>
  <si>
    <t>Switzerland County, Indiana</t>
  </si>
  <si>
    <t>Tippecanoe County, Indiana</t>
  </si>
  <si>
    <t>Tipton County, Indiana</t>
  </si>
  <si>
    <t>Union County, Indiana</t>
  </si>
  <si>
    <t>Vanderburgh County, Indiana</t>
  </si>
  <si>
    <t>Vermillion County, Indiana</t>
  </si>
  <si>
    <t>Vigo County, Indiana</t>
  </si>
  <si>
    <t>Wabash County, Indiana</t>
  </si>
  <si>
    <t>Warren County, Indiana</t>
  </si>
  <si>
    <t>Warrick County, Indiana</t>
  </si>
  <si>
    <t>Washington County, Indiana</t>
  </si>
  <si>
    <t>Wayne County, Indiana</t>
  </si>
  <si>
    <t>Wells County, Indiana</t>
  </si>
  <si>
    <t>White County, Indiana</t>
  </si>
  <si>
    <t>Whitley County, Indiana</t>
  </si>
  <si>
    <t>Adair County, Iowa</t>
  </si>
  <si>
    <t>Adams County, Iowa</t>
  </si>
  <si>
    <t>Allamakee County, Iowa</t>
  </si>
  <si>
    <t>Appanoose County, Iowa</t>
  </si>
  <si>
    <t>Audubon County, Iowa</t>
  </si>
  <si>
    <t>Benton County, Iowa</t>
  </si>
  <si>
    <t>Black Hawk County, Iowa</t>
  </si>
  <si>
    <t>Boone County, Iowa</t>
  </si>
  <si>
    <t>Bremer County, Iowa</t>
  </si>
  <si>
    <t>Buchanan County, Iowa</t>
  </si>
  <si>
    <t>Buena Vista County, Iowa</t>
  </si>
  <si>
    <t>Butler County, Iowa</t>
  </si>
  <si>
    <t>Calhoun County, Iowa</t>
  </si>
  <si>
    <t>Carroll County, Iowa</t>
  </si>
  <si>
    <t>Cass County, Iowa</t>
  </si>
  <si>
    <t>Cedar County, Iowa</t>
  </si>
  <si>
    <t>Cerro Gordo County, Iowa</t>
  </si>
  <si>
    <t>Cherokee County, Iowa</t>
  </si>
  <si>
    <t>Chickasaw County, Iowa</t>
  </si>
  <si>
    <t>Clarke County, Iowa</t>
  </si>
  <si>
    <t>Clay County, Iowa</t>
  </si>
  <si>
    <t>Clayton County, Iowa</t>
  </si>
  <si>
    <t>Clinton County, Iowa</t>
  </si>
  <si>
    <t>Crawford County, Iowa</t>
  </si>
  <si>
    <t>Dallas County, Iowa</t>
  </si>
  <si>
    <t>Davis County, Iowa</t>
  </si>
  <si>
    <t>Decatur County, Iowa</t>
  </si>
  <si>
    <t>Delaware County, Iowa</t>
  </si>
  <si>
    <t>Des Moines County, Iowa</t>
  </si>
  <si>
    <t>Dickinson County, Iowa</t>
  </si>
  <si>
    <t>Dubuque County, Iowa</t>
  </si>
  <si>
    <t>Emmet County, Iowa</t>
  </si>
  <si>
    <t>Fayette County, Iowa</t>
  </si>
  <si>
    <t>Floyd County, Iowa</t>
  </si>
  <si>
    <t>Franklin County, Iowa</t>
  </si>
  <si>
    <t>Fremont County, Iowa</t>
  </si>
  <si>
    <t>Greene County, Iowa</t>
  </si>
  <si>
    <t>Grundy County, Iowa</t>
  </si>
  <si>
    <t>Guthrie County, Iowa</t>
  </si>
  <si>
    <t>Hamilton County, Iowa</t>
  </si>
  <si>
    <t>Hancock County, Iowa</t>
  </si>
  <si>
    <t>Hardin County, Iowa</t>
  </si>
  <si>
    <t>Harrison County, Iowa</t>
  </si>
  <si>
    <t>Henry County, Iowa</t>
  </si>
  <si>
    <t>Howard County, Iowa</t>
  </si>
  <si>
    <t>Humboldt County, Iowa</t>
  </si>
  <si>
    <t>Ida County, Iowa</t>
  </si>
  <si>
    <t>Iowa County, Iowa</t>
  </si>
  <si>
    <t>Jackson County, Iowa</t>
  </si>
  <si>
    <t>Jasper County, Iowa</t>
  </si>
  <si>
    <t>Jefferson County, Iowa</t>
  </si>
  <si>
    <t>Johnson County, Iowa</t>
  </si>
  <si>
    <t>Jones County, Iowa</t>
  </si>
  <si>
    <t>Keokuk County, Iowa</t>
  </si>
  <si>
    <t>Kossuth County, Iowa</t>
  </si>
  <si>
    <t>Lee County, Iowa</t>
  </si>
  <si>
    <t>Linn County, Iowa</t>
  </si>
  <si>
    <t>Louisa County, Iowa</t>
  </si>
  <si>
    <t>Lucas County, Iowa</t>
  </si>
  <si>
    <t>Lyon County, Iowa</t>
  </si>
  <si>
    <t>Madison County, Iowa</t>
  </si>
  <si>
    <t>Mahaska County, Iowa</t>
  </si>
  <si>
    <t>Marion County, Iowa</t>
  </si>
  <si>
    <t>Marshall County, Iowa</t>
  </si>
  <si>
    <t>Mills County, Iowa</t>
  </si>
  <si>
    <t>Mitchell County, Iowa</t>
  </si>
  <si>
    <t>Monona County, Iowa</t>
  </si>
  <si>
    <t>Monroe County, Iowa</t>
  </si>
  <si>
    <t>Montgomery County, Iowa</t>
  </si>
  <si>
    <t>Muscatine County, Iowa</t>
  </si>
  <si>
    <t>O'Brien County, Iowa</t>
  </si>
  <si>
    <t>Osceola County, Iowa</t>
  </si>
  <si>
    <t>Page County, Iowa</t>
  </si>
  <si>
    <t>Palo Alto County, Iowa</t>
  </si>
  <si>
    <t>Plymouth County, Iowa</t>
  </si>
  <si>
    <t>Pocahontas County, Iowa</t>
  </si>
  <si>
    <t>Polk County, Iowa</t>
  </si>
  <si>
    <t>Pottawattamie County, Iowa</t>
  </si>
  <si>
    <t>Poweshiek County, Iowa</t>
  </si>
  <si>
    <t>Ringgold County, Iowa</t>
  </si>
  <si>
    <t>Sac County, Iowa</t>
  </si>
  <si>
    <t>Scott County, Iowa</t>
  </si>
  <si>
    <t>Shelby County, Iowa</t>
  </si>
  <si>
    <t>Sioux County, Iowa</t>
  </si>
  <si>
    <t>Story County, Iowa</t>
  </si>
  <si>
    <t>Tama County, Iowa</t>
  </si>
  <si>
    <t>Taylor County, Iowa</t>
  </si>
  <si>
    <t>Union County, Iowa</t>
  </si>
  <si>
    <t>Van Buren County, Iowa</t>
  </si>
  <si>
    <t>Wapello County, Iowa</t>
  </si>
  <si>
    <t>Warren County, Iowa</t>
  </si>
  <si>
    <t>Washington County, Iowa</t>
  </si>
  <si>
    <t>Wayne County, Iowa</t>
  </si>
  <si>
    <t>Webster County, Iowa</t>
  </si>
  <si>
    <t>Winnebago County, Iowa</t>
  </si>
  <si>
    <t>Winneshiek County, Iowa</t>
  </si>
  <si>
    <t>Woodbury County, Iowa</t>
  </si>
  <si>
    <t>Worth County, Iowa</t>
  </si>
  <si>
    <t>Wright County, Iowa</t>
  </si>
  <si>
    <t>Allen County, Kansas</t>
  </si>
  <si>
    <t>Anderson County, Kansas</t>
  </si>
  <si>
    <t>Atchison County, Kansas</t>
  </si>
  <si>
    <t>Barber County, Kansas</t>
  </si>
  <si>
    <t>Barton County, Kansas</t>
  </si>
  <si>
    <t>Bourbon County, Kansas</t>
  </si>
  <si>
    <t>Brown County, Kansas</t>
  </si>
  <si>
    <t>Butler County, Kansas</t>
  </si>
  <si>
    <t>Chase County, Kansas</t>
  </si>
  <si>
    <t>Chautauqua County, Kansas</t>
  </si>
  <si>
    <t>Cherokee County, Kansas</t>
  </si>
  <si>
    <t>Cheyenne County, Kansas</t>
  </si>
  <si>
    <t>Clark County, Kansas</t>
  </si>
  <si>
    <t>Clay County, Kansas</t>
  </si>
  <si>
    <t>Cloud County, Kansas</t>
  </si>
  <si>
    <t>Coffey County, Kansas</t>
  </si>
  <si>
    <t>Comanche County, Kansas</t>
  </si>
  <si>
    <t>Cowley County, Kansas</t>
  </si>
  <si>
    <t>Crawford County, Kansas</t>
  </si>
  <si>
    <t>Decatur County, Kansas</t>
  </si>
  <si>
    <t>Dickinson County, Kansas</t>
  </si>
  <si>
    <t>Doniphan County, Kansas</t>
  </si>
  <si>
    <t>Douglas County, Kansas</t>
  </si>
  <si>
    <t>Edwards County, Kansas</t>
  </si>
  <si>
    <t>Elk County, Kansas</t>
  </si>
  <si>
    <t>Ellis County, Kansas</t>
  </si>
  <si>
    <t>Ellsworth County, Kansas</t>
  </si>
  <si>
    <t>Finney County, Kansas</t>
  </si>
  <si>
    <t>Ford County, Kansas</t>
  </si>
  <si>
    <t>Franklin County, Kansas</t>
  </si>
  <si>
    <t>Geary County, Kansas</t>
  </si>
  <si>
    <t>Gove County, Kansas</t>
  </si>
  <si>
    <t>Graham County, Kansas</t>
  </si>
  <si>
    <t>Grant County, Kansas</t>
  </si>
  <si>
    <t>Gray County, Kansas</t>
  </si>
  <si>
    <t>Greeley County, Kansas</t>
  </si>
  <si>
    <t>Greenwood County, Kansas</t>
  </si>
  <si>
    <t>Hamilton County, Kansas</t>
  </si>
  <si>
    <t>Harper County, Kansas</t>
  </si>
  <si>
    <t>Harvey County, Kansas</t>
  </si>
  <si>
    <t>Haskell County, Kansas</t>
  </si>
  <si>
    <t>Hodgeman County, Kansas</t>
  </si>
  <si>
    <t>Jackson County, Kansas</t>
  </si>
  <si>
    <t>Jefferson County, Kansas</t>
  </si>
  <si>
    <t>Jewell County, Kansas</t>
  </si>
  <si>
    <t>Johnson County, Kansas</t>
  </si>
  <si>
    <t>Kearny County, Kansas</t>
  </si>
  <si>
    <t>Kingman County, Kansas</t>
  </si>
  <si>
    <t>Kiowa County, Kansas</t>
  </si>
  <si>
    <t>Labette County, Kansas</t>
  </si>
  <si>
    <t>Lane County, Kansas</t>
  </si>
  <si>
    <t>Leavenworth County, Kansas</t>
  </si>
  <si>
    <t>Lincoln County, Kansas</t>
  </si>
  <si>
    <t>Linn County, Kansas</t>
  </si>
  <si>
    <t>Logan County, Kansas</t>
  </si>
  <si>
    <t>Lyon County, Kansas</t>
  </si>
  <si>
    <t>McPherson County, Kansas</t>
  </si>
  <si>
    <t>Marion County, Kansas</t>
  </si>
  <si>
    <t>Marshall County, Kansas</t>
  </si>
  <si>
    <t>Meade County, Kansas</t>
  </si>
  <si>
    <t>Miami County, Kansas</t>
  </si>
  <si>
    <t>Mitchell County, Kansas</t>
  </si>
  <si>
    <t>Montgomery County, Kansas</t>
  </si>
  <si>
    <t>Morris County, Kansas</t>
  </si>
  <si>
    <t>Morton County, Kansas</t>
  </si>
  <si>
    <t>Nemaha County, Kansas</t>
  </si>
  <si>
    <t>Neosho County, Kansas</t>
  </si>
  <si>
    <t>Ness County, Kansas</t>
  </si>
  <si>
    <t>Norton County, Kansas</t>
  </si>
  <si>
    <t>Osage County, Kansas</t>
  </si>
  <si>
    <t>Osborne County, Kansas</t>
  </si>
  <si>
    <t>Ottawa County, Kansas</t>
  </si>
  <si>
    <t>Pawnee County, Kansas</t>
  </si>
  <si>
    <t>Phillips County, Kansas</t>
  </si>
  <si>
    <t>Pottawatomie County, Kansas</t>
  </si>
  <si>
    <t>Pratt County, Kansas</t>
  </si>
  <si>
    <t>Rawlins County, Kansas</t>
  </si>
  <si>
    <t>Reno County, Kansas</t>
  </si>
  <si>
    <t>Republic County, Kansas</t>
  </si>
  <si>
    <t>Rice County, Kansas</t>
  </si>
  <si>
    <t>Riley County, Kansas</t>
  </si>
  <si>
    <t>Rooks County, Kansas</t>
  </si>
  <si>
    <t>Rush County, Kansas</t>
  </si>
  <si>
    <t>Russell County, Kansas</t>
  </si>
  <si>
    <t>Saline County, Kansas</t>
  </si>
  <si>
    <t>Scott County, Kansas</t>
  </si>
  <si>
    <t>Sedgwick County, Kansas</t>
  </si>
  <si>
    <t>Seward County, Kansas</t>
  </si>
  <si>
    <t>Shawnee County, Kansas</t>
  </si>
  <si>
    <t>Sheridan County, Kansas</t>
  </si>
  <si>
    <t>Sherman County, Kansas</t>
  </si>
  <si>
    <t>Smith County, Kansas</t>
  </si>
  <si>
    <t>Stafford County, Kansas</t>
  </si>
  <si>
    <t>Stanton County, Kansas</t>
  </si>
  <si>
    <t>Stevens County, Kansas</t>
  </si>
  <si>
    <t>Sumner County, Kansas</t>
  </si>
  <si>
    <t>Thomas County, Kansas</t>
  </si>
  <si>
    <t>Trego County, Kansas</t>
  </si>
  <si>
    <t>Wabaunsee County, Kansas</t>
  </si>
  <si>
    <t>Wallace County, Kansas</t>
  </si>
  <si>
    <t>Washington County, Kansas</t>
  </si>
  <si>
    <t>Wichita County, Kansas</t>
  </si>
  <si>
    <t>Wilson County, Kansas</t>
  </si>
  <si>
    <t>Woodson County, Kansas</t>
  </si>
  <si>
    <t>Wyandotte County, Kansas</t>
  </si>
  <si>
    <t>Adair County, Kentucky</t>
  </si>
  <si>
    <t>Allen County, Kentucky</t>
  </si>
  <si>
    <t>Anderson County, Kentucky</t>
  </si>
  <si>
    <t>Ballard County, Kentucky</t>
  </si>
  <si>
    <t>Barren County, Kentucky</t>
  </si>
  <si>
    <t>Bath County, Kentucky</t>
  </si>
  <si>
    <t>Bell County, Kentucky</t>
  </si>
  <si>
    <t>Boone County, Kentucky</t>
  </si>
  <si>
    <t>Bourbon County, Kentucky</t>
  </si>
  <si>
    <t>Boyd County, Kentucky</t>
  </si>
  <si>
    <t>Boyle County, Kentucky</t>
  </si>
  <si>
    <t>Bracken County, Kentucky</t>
  </si>
  <si>
    <t>Breathitt County, Kentucky</t>
  </si>
  <si>
    <t>Breckinridge County, Kentucky</t>
  </si>
  <si>
    <t>Bullitt County, Kentucky</t>
  </si>
  <si>
    <t>Butler County, Kentucky</t>
  </si>
  <si>
    <t>Caldwell County, Kentucky</t>
  </si>
  <si>
    <t>Calloway County, Kentucky</t>
  </si>
  <si>
    <t>Campbell County, Kentucky</t>
  </si>
  <si>
    <t>Carlisle County, Kentucky</t>
  </si>
  <si>
    <t>Carroll County, Kentucky</t>
  </si>
  <si>
    <t>Carter County, Kentucky</t>
  </si>
  <si>
    <t>Casey County, Kentucky</t>
  </si>
  <si>
    <t>Christian County, Kentucky</t>
  </si>
  <si>
    <t>Clark County, Kentucky</t>
  </si>
  <si>
    <t>Clay County, Kentucky</t>
  </si>
  <si>
    <t>Clinton County, Kentucky</t>
  </si>
  <si>
    <t>Crittenden County, Kentucky</t>
  </si>
  <si>
    <t>Cumberland County, Kentucky</t>
  </si>
  <si>
    <t>Daviess County, Kentucky</t>
  </si>
  <si>
    <t>Edmonson County, Kentucky</t>
  </si>
  <si>
    <t>Elliott County, Kentucky</t>
  </si>
  <si>
    <t>Estill County, Kentucky</t>
  </si>
  <si>
    <t>Fayette County, Kentucky</t>
  </si>
  <si>
    <t>Fleming County, Kentucky</t>
  </si>
  <si>
    <t>Floyd County, Kentucky</t>
  </si>
  <si>
    <t>Franklin County, Kentucky</t>
  </si>
  <si>
    <t>Fulton County, Kentucky</t>
  </si>
  <si>
    <t>Gallatin County, Kentucky</t>
  </si>
  <si>
    <t>Garrard County, Kentucky</t>
  </si>
  <si>
    <t>Grant County, Kentucky</t>
  </si>
  <si>
    <t>Graves County, Kentucky</t>
  </si>
  <si>
    <t>Grayson County, Kentucky</t>
  </si>
  <si>
    <t>Green County, Kentucky</t>
  </si>
  <si>
    <t>Greenup County, Kentucky</t>
  </si>
  <si>
    <t>Hancock County, Kentucky</t>
  </si>
  <si>
    <t>Hardin County, Kentucky</t>
  </si>
  <si>
    <t>Harlan County, Kentucky</t>
  </si>
  <si>
    <t>Harrison County, Kentucky</t>
  </si>
  <si>
    <t>Hart County, Kentucky</t>
  </si>
  <si>
    <t>Henderson County, Kentucky</t>
  </si>
  <si>
    <t>Henry County, Kentucky</t>
  </si>
  <si>
    <t>Hickman County, Kentucky</t>
  </si>
  <si>
    <t>Hopkins County, Kentucky</t>
  </si>
  <si>
    <t>Jackson County, Kentucky</t>
  </si>
  <si>
    <t>Jefferson County, Kentucky</t>
  </si>
  <si>
    <t>Jessamine County, Kentucky</t>
  </si>
  <si>
    <t>Johnson County, Kentucky</t>
  </si>
  <si>
    <t>Kenton County, Kentucky</t>
  </si>
  <si>
    <t>Knott County, Kentucky</t>
  </si>
  <si>
    <t>Knox County, Kentucky</t>
  </si>
  <si>
    <t>Larue County, Kentucky</t>
  </si>
  <si>
    <t>Laurel County, Kentucky</t>
  </si>
  <si>
    <t>Lawrence County, Kentucky</t>
  </si>
  <si>
    <t>Lee County, Kentucky</t>
  </si>
  <si>
    <t>Leslie County, Kentucky</t>
  </si>
  <si>
    <t>Letcher County, Kentucky</t>
  </si>
  <si>
    <t>Lewis County, Kentucky</t>
  </si>
  <si>
    <t>Lincoln County, Kentucky</t>
  </si>
  <si>
    <t>Livingston County, Kentucky</t>
  </si>
  <si>
    <t>Logan County, Kentucky</t>
  </si>
  <si>
    <t>Lyon County, Kentucky</t>
  </si>
  <si>
    <t>McCracken County, Kentucky</t>
  </si>
  <si>
    <t>McCreary County, Kentucky</t>
  </si>
  <si>
    <t>McLean County, Kentucky</t>
  </si>
  <si>
    <t>Madison County, Kentucky</t>
  </si>
  <si>
    <t>Magoffin County, Kentucky</t>
  </si>
  <si>
    <t>Marion County, Kentucky</t>
  </si>
  <si>
    <t>Marshall County, Kentucky</t>
  </si>
  <si>
    <t>Martin County, Kentucky</t>
  </si>
  <si>
    <t>Mason County, Kentucky</t>
  </si>
  <si>
    <t>Meade County, Kentucky</t>
  </si>
  <si>
    <t>Menifee County, Kentucky</t>
  </si>
  <si>
    <t>Mercer County, Kentucky</t>
  </si>
  <si>
    <t>Metcalfe County, Kentucky</t>
  </si>
  <si>
    <t>Monroe County, Kentucky</t>
  </si>
  <si>
    <t>Montgomery County, Kentucky</t>
  </si>
  <si>
    <t>Morgan County, Kentucky</t>
  </si>
  <si>
    <t>Muhlenberg County, Kentucky</t>
  </si>
  <si>
    <t>Nelson County, Kentucky</t>
  </si>
  <si>
    <t>Nicholas County, Kentucky</t>
  </si>
  <si>
    <t>Ohio County, Kentucky</t>
  </si>
  <si>
    <t>Oldham County, Kentucky</t>
  </si>
  <si>
    <t>Owen County, Kentucky</t>
  </si>
  <si>
    <t>Owsley County, Kentucky</t>
  </si>
  <si>
    <t>Pendleton County, Kentucky</t>
  </si>
  <si>
    <t>Perry County, Kentucky</t>
  </si>
  <si>
    <t>Pike County, Kentucky</t>
  </si>
  <si>
    <t>Powell County, Kentucky</t>
  </si>
  <si>
    <t>Pulaski County, Kentucky</t>
  </si>
  <si>
    <t>Robertson County, Kentucky</t>
  </si>
  <si>
    <t>Rockcastle County, Kentucky</t>
  </si>
  <si>
    <t>Rowan County, Kentucky</t>
  </si>
  <si>
    <t>Russell County, Kentucky</t>
  </si>
  <si>
    <t>Scott County, Kentucky</t>
  </si>
  <si>
    <t>Shelby County, Kentucky</t>
  </si>
  <si>
    <t>Simpson County, Kentucky</t>
  </si>
  <si>
    <t>Spencer County, Kentucky</t>
  </si>
  <si>
    <t>Taylor County, Kentucky</t>
  </si>
  <si>
    <t>Todd County, Kentucky</t>
  </si>
  <si>
    <t>Trigg County, Kentucky</t>
  </si>
  <si>
    <t>Trimble County, Kentucky</t>
  </si>
  <si>
    <t>Union County, Kentucky</t>
  </si>
  <si>
    <t>Warren County, Kentucky</t>
  </si>
  <si>
    <t>Washington County, Kentucky</t>
  </si>
  <si>
    <t>Wayne County, Kentucky</t>
  </si>
  <si>
    <t>Webster County, Kentucky</t>
  </si>
  <si>
    <t>Whitley County, Kentucky</t>
  </si>
  <si>
    <t>Wolfe County, Kentucky</t>
  </si>
  <si>
    <t>Woodford County, Kentucky</t>
  </si>
  <si>
    <t>Acadia Parish, Louisiana</t>
  </si>
  <si>
    <t>Allen Parish, Louisiana</t>
  </si>
  <si>
    <t>Ascension Parish, Louisiana</t>
  </si>
  <si>
    <t>Assumption Parish, Louisiana</t>
  </si>
  <si>
    <t>Avoyelles Parish, Louisiana</t>
  </si>
  <si>
    <t>Beauregard Parish, Louisiana</t>
  </si>
  <si>
    <t>Bienville Parish, Louisiana</t>
  </si>
  <si>
    <t>Bossier Parish, Louisiana</t>
  </si>
  <si>
    <t>Caddo Parish, Louisiana</t>
  </si>
  <si>
    <t>Calcasieu Parish, Louisiana</t>
  </si>
  <si>
    <t>Caldwell Parish, Louisiana</t>
  </si>
  <si>
    <t>Cameron Parish, Louisiana</t>
  </si>
  <si>
    <t>Catahoula Parish, Louisiana</t>
  </si>
  <si>
    <t>Claiborne Parish, Louisiana</t>
  </si>
  <si>
    <t>Concordia Parish, Louisiana</t>
  </si>
  <si>
    <t>De Soto Parish, Louisiana</t>
  </si>
  <si>
    <t>East Baton Rouge Parish, Louisiana</t>
  </si>
  <si>
    <t>East Carroll Parish, Louisiana</t>
  </si>
  <si>
    <t>East Feliciana Parish, Louisiana</t>
  </si>
  <si>
    <t>Evangeline Parish, Louisiana</t>
  </si>
  <si>
    <t>Franklin Parish, Louisiana</t>
  </si>
  <si>
    <t>Grant Parish, Louisiana</t>
  </si>
  <si>
    <t>Iberia Parish, Louisiana</t>
  </si>
  <si>
    <t>Iberville Parish, Louisiana</t>
  </si>
  <si>
    <t>Jackson Parish, Louisiana</t>
  </si>
  <si>
    <t>Jefferson Parish, Louisiana</t>
  </si>
  <si>
    <t>Jefferson Davis Parish, Louisiana</t>
  </si>
  <si>
    <t>Lafayette Parish, Louisiana</t>
  </si>
  <si>
    <t>Lafourche Parish, Louisiana</t>
  </si>
  <si>
    <t>LaSalle Parish, Louisiana</t>
  </si>
  <si>
    <t>Lincoln Parish, Louisiana</t>
  </si>
  <si>
    <t>Livingston Parish, Louisiana</t>
  </si>
  <si>
    <t>Madison Parish, Louisiana</t>
  </si>
  <si>
    <t>Morehouse Parish, Louisiana</t>
  </si>
  <si>
    <t>Natchitoches Parish, Louisiana</t>
  </si>
  <si>
    <t>Orleans Parish, Louisiana</t>
  </si>
  <si>
    <t>Ouachita Parish, Louisiana</t>
  </si>
  <si>
    <t>Plaquemines Parish, Louisiana</t>
  </si>
  <si>
    <t>Pointe Coupee Parish, Louisiana</t>
  </si>
  <si>
    <t>Rapides Parish, Louisiana</t>
  </si>
  <si>
    <t>Red River Parish, Louisiana</t>
  </si>
  <si>
    <t>Richland Parish, Louisiana</t>
  </si>
  <si>
    <t>Sabine Parish, Louisiana</t>
  </si>
  <si>
    <t>St Bernard Parish, Louisiana</t>
  </si>
  <si>
    <t>St Charles Parish, Louisiana</t>
  </si>
  <si>
    <t>St Helena Parish, Louisiana</t>
  </si>
  <si>
    <t>St James Parish, Louisiana</t>
  </si>
  <si>
    <t>St John the Baptist Parish, Louisiana</t>
  </si>
  <si>
    <t>St Landry Parish, Louisiana</t>
  </si>
  <si>
    <t>St Martin Parish, Louisiana</t>
  </si>
  <si>
    <t>St Mary Parish, Louisiana</t>
  </si>
  <si>
    <t>St Tammany Parish, Louisiana</t>
  </si>
  <si>
    <t>Tangipahoa Parish, Louisiana</t>
  </si>
  <si>
    <t>Tensas Parish, Louisiana</t>
  </si>
  <si>
    <t>Terrebonne Parish, Louisiana</t>
  </si>
  <si>
    <t>Union Parish, Louisiana</t>
  </si>
  <si>
    <t>Vermilion Parish, Louisiana</t>
  </si>
  <si>
    <t>Vernon Parish, Louisiana</t>
  </si>
  <si>
    <t>Washington Parish, Louisiana</t>
  </si>
  <si>
    <t>Webster Parish, Louisiana</t>
  </si>
  <si>
    <t>West Baton Rouge Parish, Louisiana</t>
  </si>
  <si>
    <t>West Carroll Parish, Louisiana</t>
  </si>
  <si>
    <t>West Feliciana Parish, Louisiana</t>
  </si>
  <si>
    <t>Winn Parish, Louisiana</t>
  </si>
  <si>
    <t>Androscoggin County, Maine</t>
  </si>
  <si>
    <t>Aroostook County, Maine</t>
  </si>
  <si>
    <t>Cumberland County, Maine</t>
  </si>
  <si>
    <t>Franklin County, Maine</t>
  </si>
  <si>
    <t>Hancock County, Maine</t>
  </si>
  <si>
    <t>Kennebec County, Maine</t>
  </si>
  <si>
    <t>Knox County, Maine</t>
  </si>
  <si>
    <t>Lincoln County, Maine</t>
  </si>
  <si>
    <t>Oxford County, Maine</t>
  </si>
  <si>
    <t>Penobscot County, Maine</t>
  </si>
  <si>
    <t>Piscataquis County, Maine</t>
  </si>
  <si>
    <t>Sagadahoc County, Maine</t>
  </si>
  <si>
    <t>Somerset County, Maine</t>
  </si>
  <si>
    <t>Waldo County, Maine</t>
  </si>
  <si>
    <t>Washington County, Maine</t>
  </si>
  <si>
    <t>York County, Maine</t>
  </si>
  <si>
    <t>Allegany County, Maryland</t>
  </si>
  <si>
    <t>Anne Arundel County, Maryland</t>
  </si>
  <si>
    <t>Baltimore County, Maryland</t>
  </si>
  <si>
    <t>Calvert County, Maryland</t>
  </si>
  <si>
    <t>Caroline County, Maryland</t>
  </si>
  <si>
    <t>Carroll County, Maryland</t>
  </si>
  <si>
    <t>Cecil County, Maryland</t>
  </si>
  <si>
    <t>Charles County, Maryland</t>
  </si>
  <si>
    <t>Dorchester County, Maryland</t>
  </si>
  <si>
    <t>Frederick County, Maryland</t>
  </si>
  <si>
    <t>Garrett County, Maryland</t>
  </si>
  <si>
    <t>Harford County, Maryland</t>
  </si>
  <si>
    <t>Howard County, Maryland</t>
  </si>
  <si>
    <t>Kent County, Maryland</t>
  </si>
  <si>
    <t>Montgomery County, Maryland</t>
  </si>
  <si>
    <t>Prince George's County, Maryland</t>
  </si>
  <si>
    <t>Queen Anne's County, Maryland</t>
  </si>
  <si>
    <t>St Mary's County, Maryland</t>
  </si>
  <si>
    <t>Somerset County, Maryland</t>
  </si>
  <si>
    <t>Talbot County, Maryland</t>
  </si>
  <si>
    <t>Washington County, Maryland</t>
  </si>
  <si>
    <t>Wicomico County, Maryland</t>
  </si>
  <si>
    <t>Worcester County, Maryland</t>
  </si>
  <si>
    <t>Baltimore city, Maryland</t>
  </si>
  <si>
    <t>Barnstable County, Massachusetts</t>
  </si>
  <si>
    <t>Berkshire County, Massachusetts</t>
  </si>
  <si>
    <t>Bristol County, Massachusetts</t>
  </si>
  <si>
    <t>Dukes County, Massachusetts</t>
  </si>
  <si>
    <t>Essex County, Massachusetts</t>
  </si>
  <si>
    <t>Franklin County, Massachusetts</t>
  </si>
  <si>
    <t>Hampden County, Massachusetts</t>
  </si>
  <si>
    <t>Hampshire County, Massachusetts</t>
  </si>
  <si>
    <t>Middlesex County, Massachusetts</t>
  </si>
  <si>
    <t>Nantucket County, Massachusetts</t>
  </si>
  <si>
    <t>Norfolk County, Massachusetts</t>
  </si>
  <si>
    <t>Plymouth County, Massachusetts</t>
  </si>
  <si>
    <t>Suffolk County, Massachusetts</t>
  </si>
  <si>
    <t>Worcester County, Massachusetts</t>
  </si>
  <si>
    <t>Alcona County, Michigan</t>
  </si>
  <si>
    <t>Alger County, Michigan</t>
  </si>
  <si>
    <t>Allegan County, Michigan</t>
  </si>
  <si>
    <t>Alpena County, Michigan</t>
  </si>
  <si>
    <t>Antrim County, Michigan</t>
  </si>
  <si>
    <t>Arenac County, Michigan</t>
  </si>
  <si>
    <t>Baraga County, Michigan</t>
  </si>
  <si>
    <t>Barry County, Michigan</t>
  </si>
  <si>
    <t>Bay County, Michigan</t>
  </si>
  <si>
    <t>Benzie County, Michigan</t>
  </si>
  <si>
    <t>Berrien County, Michigan</t>
  </si>
  <si>
    <t>Branch County, Michigan</t>
  </si>
  <si>
    <t>Calhoun County, Michigan</t>
  </si>
  <si>
    <t>Cass County, Michigan</t>
  </si>
  <si>
    <t>Charlevoix County, Michigan</t>
  </si>
  <si>
    <t>Cheboygan County, Michigan</t>
  </si>
  <si>
    <t>Chippewa County, Michigan</t>
  </si>
  <si>
    <t>Clare County, Michigan</t>
  </si>
  <si>
    <t>Clinton County, Michigan</t>
  </si>
  <si>
    <t>Crawford County, Michigan</t>
  </si>
  <si>
    <t>Delta County, Michigan</t>
  </si>
  <si>
    <t>Dickinson County, Michigan</t>
  </si>
  <si>
    <t>Eaton County, Michigan</t>
  </si>
  <si>
    <t>Emmet County, Michigan</t>
  </si>
  <si>
    <t>Genesee County, Michigan</t>
  </si>
  <si>
    <t>Gladwin County, Michigan</t>
  </si>
  <si>
    <t>Gogebic County, Michigan</t>
  </si>
  <si>
    <t>Grand Traverse County, Michigan</t>
  </si>
  <si>
    <t>Gratiot County, Michigan</t>
  </si>
  <si>
    <t>Hillsdale County, Michigan</t>
  </si>
  <si>
    <t>Houghton County, Michigan</t>
  </si>
  <si>
    <t>Huron County, Michigan</t>
  </si>
  <si>
    <t>Ingham County, Michigan</t>
  </si>
  <si>
    <t>Ionia County, Michigan</t>
  </si>
  <si>
    <t>Iosco County, Michigan</t>
  </si>
  <si>
    <t>Iron County, Michigan</t>
  </si>
  <si>
    <t>Isabella County, Michigan</t>
  </si>
  <si>
    <t>Jackson County, Michigan</t>
  </si>
  <si>
    <t>Kalamazoo County, Michigan</t>
  </si>
  <si>
    <t>Kalkaska County, Michigan</t>
  </si>
  <si>
    <t>Kent County, Michigan</t>
  </si>
  <si>
    <t>Keweenaw County, Michigan</t>
  </si>
  <si>
    <t>Lake County, Michigan</t>
  </si>
  <si>
    <t>Lapeer County, Michigan</t>
  </si>
  <si>
    <t>Leelanau County, Michigan</t>
  </si>
  <si>
    <t>Lenawee County, Michigan</t>
  </si>
  <si>
    <t>Livingston County, Michigan</t>
  </si>
  <si>
    <t>Luce County, Michigan</t>
  </si>
  <si>
    <t>Mackinac County, Michigan</t>
  </si>
  <si>
    <t>Macomb County, Michigan</t>
  </si>
  <si>
    <t>Manistee County, Michigan</t>
  </si>
  <si>
    <t>Marquette County, Michigan</t>
  </si>
  <si>
    <t>Mason County, Michigan</t>
  </si>
  <si>
    <t>Mecosta County, Michigan</t>
  </si>
  <si>
    <t>Menominee County, Michigan</t>
  </si>
  <si>
    <t>Midland County, Michigan</t>
  </si>
  <si>
    <t>Missaukee County, Michigan</t>
  </si>
  <si>
    <t>Monroe County, Michigan</t>
  </si>
  <si>
    <t>Montcalm County, Michigan</t>
  </si>
  <si>
    <t>Montmorency County, Michigan</t>
  </si>
  <si>
    <t>Muskegon County, Michigan</t>
  </si>
  <si>
    <t>Newaygo County, Michigan</t>
  </si>
  <si>
    <t>Oakland County, Michigan</t>
  </si>
  <si>
    <t>Oceana County, Michigan</t>
  </si>
  <si>
    <t>Ogemaw County, Michigan</t>
  </si>
  <si>
    <t>Ontonagon County, Michigan</t>
  </si>
  <si>
    <t>Osceola County, Michigan</t>
  </si>
  <si>
    <t>Oscoda County, Michigan</t>
  </si>
  <si>
    <t>Otsego County, Michigan</t>
  </si>
  <si>
    <t>Ottawa County, Michigan</t>
  </si>
  <si>
    <t>Presque Isle County, Michigan</t>
  </si>
  <si>
    <t>Roscommon County, Michigan</t>
  </si>
  <si>
    <t>Saginaw County, Michigan</t>
  </si>
  <si>
    <t>St Clair County, Michigan</t>
  </si>
  <si>
    <t>St Joseph County, Michigan</t>
  </si>
  <si>
    <t>Sanilac County, Michigan</t>
  </si>
  <si>
    <t>Schoolcraft County, Michigan</t>
  </si>
  <si>
    <t>Shiawassee County, Michigan</t>
  </si>
  <si>
    <t>Tuscola County, Michigan</t>
  </si>
  <si>
    <t>Van Buren County, Michigan</t>
  </si>
  <si>
    <t>Washtenaw County, Michigan</t>
  </si>
  <si>
    <t>Wayne County, Michigan</t>
  </si>
  <si>
    <t>Wexford County, Michigan</t>
  </si>
  <si>
    <t>Aitkin County, Minnesota</t>
  </si>
  <si>
    <t>Anoka County, Minnesota</t>
  </si>
  <si>
    <t>Becker County, Minnesota</t>
  </si>
  <si>
    <t>Beltrami County, Minnesota</t>
  </si>
  <si>
    <t>Benton County, Minnesota</t>
  </si>
  <si>
    <t>Big Stone County, Minnesota</t>
  </si>
  <si>
    <t>Blue Earth County, Minnesota</t>
  </si>
  <si>
    <t>Brown County, Minnesota</t>
  </si>
  <si>
    <t>Carlton County, Minnesota</t>
  </si>
  <si>
    <t>Carver County, Minnesota</t>
  </si>
  <si>
    <t>Cass County, Minnesota</t>
  </si>
  <si>
    <t>Chippewa County, Minnesota</t>
  </si>
  <si>
    <t>Chisago County, Minnesota</t>
  </si>
  <si>
    <t>Clay County, Minnesota</t>
  </si>
  <si>
    <t>Clearwater County, Minnesota</t>
  </si>
  <si>
    <t>Cook County, Minnesota</t>
  </si>
  <si>
    <t>Cottonwood County, Minnesota</t>
  </si>
  <si>
    <t>Crow Wing County, Minnesota</t>
  </si>
  <si>
    <t>Dakota County, Minnesota</t>
  </si>
  <si>
    <t>Dodge County, Minnesota</t>
  </si>
  <si>
    <t>Douglas County, Minnesota</t>
  </si>
  <si>
    <t>Faribault County, Minnesota</t>
  </si>
  <si>
    <t>Fillmore County, Minnesota</t>
  </si>
  <si>
    <t>Freeborn County, Minnesota</t>
  </si>
  <si>
    <t>Goodhue County, Minnesota</t>
  </si>
  <si>
    <t>Grant County, Minnesota</t>
  </si>
  <si>
    <t>Hennepin County, Minnesota</t>
  </si>
  <si>
    <t>Houston County, Minnesota</t>
  </si>
  <si>
    <t>Hubbard County, Minnesota</t>
  </si>
  <si>
    <t>Isanti County, Minnesota</t>
  </si>
  <si>
    <t>Itasca County, Minnesota</t>
  </si>
  <si>
    <t>Jackson County, Minnesota</t>
  </si>
  <si>
    <t>Kanabec County, Minnesota</t>
  </si>
  <si>
    <t>Kandiyohi County, Minnesota</t>
  </si>
  <si>
    <t>Kittson County, Minnesota</t>
  </si>
  <si>
    <t>Koochiching County, Minnesota</t>
  </si>
  <si>
    <t>Lac qui Parle County, Minnesota</t>
  </si>
  <si>
    <t>Lake County, Minnesota</t>
  </si>
  <si>
    <t>Lake of the Woods County, Minnesota</t>
  </si>
  <si>
    <t>Le Sueur County, Minnesota</t>
  </si>
  <si>
    <t>Lincoln County, Minnesota</t>
  </si>
  <si>
    <t>Lyon County, Minnesota</t>
  </si>
  <si>
    <t>McLeod County, Minnesota</t>
  </si>
  <si>
    <t>Mahnomen County, Minnesota</t>
  </si>
  <si>
    <t>Marshall County, Minnesota</t>
  </si>
  <si>
    <t>Martin County, Minnesota</t>
  </si>
  <si>
    <t>Meeker County, Minnesota</t>
  </si>
  <si>
    <t>Mille Lacs County, Minnesota</t>
  </si>
  <si>
    <t>Morrison County, Minnesota</t>
  </si>
  <si>
    <t>Mower County, Minnesota</t>
  </si>
  <si>
    <t>Murray County, Minnesota</t>
  </si>
  <si>
    <t>Nicollet County, Minnesota</t>
  </si>
  <si>
    <t>Nobles County, Minnesota</t>
  </si>
  <si>
    <t>Norman County, Minnesota</t>
  </si>
  <si>
    <t>Olmsted County, Minnesota</t>
  </si>
  <si>
    <t>Otter Tail County, Minnesota</t>
  </si>
  <si>
    <t>Pennington County, Minnesota</t>
  </si>
  <si>
    <t>Pine County, Minnesota</t>
  </si>
  <si>
    <t>Pipestone County, Minnesota</t>
  </si>
  <si>
    <t>Polk County, Minnesota</t>
  </si>
  <si>
    <t>Pope County, Minnesota</t>
  </si>
  <si>
    <t>Ramsey County, Minnesota</t>
  </si>
  <si>
    <t>Red Lake County, Minnesota</t>
  </si>
  <si>
    <t>Redwood County, Minnesota</t>
  </si>
  <si>
    <t>Renville County, Minnesota</t>
  </si>
  <si>
    <t>Rice County, Minnesota</t>
  </si>
  <si>
    <t>Rock County, Minnesota</t>
  </si>
  <si>
    <t>Roseau County, Minnesota</t>
  </si>
  <si>
    <t>St Louis County, Minnesota</t>
  </si>
  <si>
    <t>Scott County, Minnesota</t>
  </si>
  <si>
    <t>Sherburne County, Minnesota</t>
  </si>
  <si>
    <t>Sibley County, Minnesota</t>
  </si>
  <si>
    <t>Stearns County, Minnesota</t>
  </si>
  <si>
    <t>Steele County, Minnesota</t>
  </si>
  <si>
    <t>Stevens County, Minnesota</t>
  </si>
  <si>
    <t>Swift County, Minnesota</t>
  </si>
  <si>
    <t>Todd County, Minnesota</t>
  </si>
  <si>
    <t>Traverse County, Minnesota</t>
  </si>
  <si>
    <t>Wabasha County, Minnesota</t>
  </si>
  <si>
    <t>Wadena County, Minnesota</t>
  </si>
  <si>
    <t>Waseca County, Minnesota</t>
  </si>
  <si>
    <t>Washington County, Minnesota</t>
  </si>
  <si>
    <t>Watonwan County, Minnesota</t>
  </si>
  <si>
    <t>Wilkin County, Minnesota</t>
  </si>
  <si>
    <t>Winona County, Minnesota</t>
  </si>
  <si>
    <t>Wright County, Minnesota</t>
  </si>
  <si>
    <t>Yellow Medicine County, Minnesota</t>
  </si>
  <si>
    <t>Adams County, Mississippi</t>
  </si>
  <si>
    <t>Alcorn County, Mississippi</t>
  </si>
  <si>
    <t>Amite County, Mississippi</t>
  </si>
  <si>
    <t>Attala County, Mississippi</t>
  </si>
  <si>
    <t>Benton County, Mississippi</t>
  </si>
  <si>
    <t>Bolivar County, Mississippi</t>
  </si>
  <si>
    <t>Calhoun County, Mississippi</t>
  </si>
  <si>
    <t>Carroll County, Mississippi</t>
  </si>
  <si>
    <t>Chickasaw County, Mississippi</t>
  </si>
  <si>
    <t>Choctaw County, Mississippi</t>
  </si>
  <si>
    <t>Claiborne County, Mississippi</t>
  </si>
  <si>
    <t>Clarke County, Mississippi</t>
  </si>
  <si>
    <t>Clay County, Mississippi</t>
  </si>
  <si>
    <t>Coahoma County, Mississippi</t>
  </si>
  <si>
    <t>Copiah County, Mississippi</t>
  </si>
  <si>
    <t>Covington County, Mississippi</t>
  </si>
  <si>
    <t>DeSoto County, Mississippi</t>
  </si>
  <si>
    <t>Forrest County, Mississippi</t>
  </si>
  <si>
    <t>Franklin County, Mississippi</t>
  </si>
  <si>
    <t>George County, Mississippi</t>
  </si>
  <si>
    <t>Greene County, Mississippi</t>
  </si>
  <si>
    <t>Grenada County, Mississippi</t>
  </si>
  <si>
    <t>Hancock County, Mississippi</t>
  </si>
  <si>
    <t>Harrison County, Mississippi</t>
  </si>
  <si>
    <t>Hinds County, Mississippi</t>
  </si>
  <si>
    <t>Holmes County, Mississippi</t>
  </si>
  <si>
    <t>Humphreys County, Mississippi</t>
  </si>
  <si>
    <t>Issaquena County, Mississippi</t>
  </si>
  <si>
    <t>Itawamba County, Mississippi</t>
  </si>
  <si>
    <t>Jackson County, Mississippi</t>
  </si>
  <si>
    <t>Jasper County, Mississippi</t>
  </si>
  <si>
    <t>Jefferson County, Mississippi</t>
  </si>
  <si>
    <t>Jefferson Davis County, Mississippi</t>
  </si>
  <si>
    <t>Jones County, Mississippi</t>
  </si>
  <si>
    <t>Kemper County, Mississippi</t>
  </si>
  <si>
    <t>Lafayette County, Mississippi</t>
  </si>
  <si>
    <t>Lamar County, Mississippi</t>
  </si>
  <si>
    <t>Lauderdale County, Mississippi</t>
  </si>
  <si>
    <t>Lawrence County, Mississippi</t>
  </si>
  <si>
    <t>Leake County, Mississippi</t>
  </si>
  <si>
    <t>Lee County, Mississippi</t>
  </si>
  <si>
    <t>Leflore County, Mississippi</t>
  </si>
  <si>
    <t>Lincoln County, Mississippi</t>
  </si>
  <si>
    <t>Lowndes County, Mississippi</t>
  </si>
  <si>
    <t>Madison County, Mississippi</t>
  </si>
  <si>
    <t>Marion County, Mississippi</t>
  </si>
  <si>
    <t>Marshall County, Mississippi</t>
  </si>
  <si>
    <t>Monroe County, Mississippi</t>
  </si>
  <si>
    <t>Montgomery County, Mississippi</t>
  </si>
  <si>
    <t>Neshoba County, Mississippi</t>
  </si>
  <si>
    <t>Newton County, Mississippi</t>
  </si>
  <si>
    <t>Noxubee County, Mississippi</t>
  </si>
  <si>
    <t>Oktibbeha County, Mississippi</t>
  </si>
  <si>
    <t>Panola County, Mississippi</t>
  </si>
  <si>
    <t>Pearl River County, Mississippi</t>
  </si>
  <si>
    <t>Perry County, Mississippi</t>
  </si>
  <si>
    <t>Pike County, Mississippi</t>
  </si>
  <si>
    <t>Pontotoc County, Mississippi</t>
  </si>
  <si>
    <t>Prentiss County, Mississippi</t>
  </si>
  <si>
    <t>Quitman County, Mississippi</t>
  </si>
  <si>
    <t>Rankin County, Mississippi</t>
  </si>
  <si>
    <t>Scott County, Mississippi</t>
  </si>
  <si>
    <t>Sharkey County, Mississippi</t>
  </si>
  <si>
    <t>Simpson County, Mississippi</t>
  </si>
  <si>
    <t>Smith County, Mississippi</t>
  </si>
  <si>
    <t>Stone County, Mississippi</t>
  </si>
  <si>
    <t>Sunflower County, Mississippi</t>
  </si>
  <si>
    <t>Tallahatchie County, Mississippi</t>
  </si>
  <si>
    <t>Tate County, Mississippi</t>
  </si>
  <si>
    <t>Tippah County, Mississippi</t>
  </si>
  <si>
    <t>Tishomingo County, Mississippi</t>
  </si>
  <si>
    <t>Tunica County, Mississippi</t>
  </si>
  <si>
    <t>Union County, Mississippi</t>
  </si>
  <si>
    <t>Walthall County, Mississippi</t>
  </si>
  <si>
    <t>Warren County, Mississippi</t>
  </si>
  <si>
    <t>Washington County, Mississippi</t>
  </si>
  <si>
    <t>Wayne County, Mississippi</t>
  </si>
  <si>
    <t>Webster County, Mississippi</t>
  </si>
  <si>
    <t>Wilkinson County, Mississippi</t>
  </si>
  <si>
    <t>Winston County, Mississippi</t>
  </si>
  <si>
    <t>Yalobusha County, Mississippi</t>
  </si>
  <si>
    <t>Yazoo County, Mississippi</t>
  </si>
  <si>
    <t>Adair County, Missouri</t>
  </si>
  <si>
    <t>Andrew County, Missouri</t>
  </si>
  <si>
    <t>Atchison County, Missouri</t>
  </si>
  <si>
    <t>Audrain County, Missouri</t>
  </si>
  <si>
    <t>Barry County, Missouri</t>
  </si>
  <si>
    <t>Barton County, Missouri</t>
  </si>
  <si>
    <t>Bates County, Missouri</t>
  </si>
  <si>
    <t>Benton County, Missouri</t>
  </si>
  <si>
    <t>Bollinger County, Missouri</t>
  </si>
  <si>
    <t>Boone County, Missouri</t>
  </si>
  <si>
    <t>Buchanan County, Missouri</t>
  </si>
  <si>
    <t>Butler County, Missouri</t>
  </si>
  <si>
    <t>Caldwell County, Missouri</t>
  </si>
  <si>
    <t>Callaway County, Missouri</t>
  </si>
  <si>
    <t>Camden County, Missouri</t>
  </si>
  <si>
    <t>Cape Girardeau County, Missouri</t>
  </si>
  <si>
    <t>Carroll County, Missouri</t>
  </si>
  <si>
    <t>Carter County, Missouri</t>
  </si>
  <si>
    <t>Cass County, Missouri</t>
  </si>
  <si>
    <t>Cedar County, Missouri</t>
  </si>
  <si>
    <t>Chariton County, Missouri</t>
  </si>
  <si>
    <t>Christian County, Missouri</t>
  </si>
  <si>
    <t>Clark County, Missouri</t>
  </si>
  <si>
    <t>Clay County, Missouri</t>
  </si>
  <si>
    <t>Clinton County, Missouri</t>
  </si>
  <si>
    <t>Cole County, Missouri</t>
  </si>
  <si>
    <t>Cooper County, Missouri</t>
  </si>
  <si>
    <t>Crawford County, Missouri</t>
  </si>
  <si>
    <t>Dade County, Missouri</t>
  </si>
  <si>
    <t>Dallas County, Missouri</t>
  </si>
  <si>
    <t>Daviess County, Missouri</t>
  </si>
  <si>
    <t>DeKalb County, Missouri</t>
  </si>
  <si>
    <t>Dent County, Missouri</t>
  </si>
  <si>
    <t>Douglas County, Missouri</t>
  </si>
  <si>
    <t>Dunklin County, Missouri</t>
  </si>
  <si>
    <t>Franklin County, Missouri</t>
  </si>
  <si>
    <t>Gasconade County, Missouri</t>
  </si>
  <si>
    <t>Gentry County, Missouri</t>
  </si>
  <si>
    <t>Greene County, Missouri</t>
  </si>
  <si>
    <t>Grundy County, Missouri</t>
  </si>
  <si>
    <t>Harrison County, Missouri</t>
  </si>
  <si>
    <t>Henry County, Missouri</t>
  </si>
  <si>
    <t>Hickory County, Missouri</t>
  </si>
  <si>
    <t>Holt County, Missouri</t>
  </si>
  <si>
    <t>Howard County, Missouri</t>
  </si>
  <si>
    <t>Howell County, Missouri</t>
  </si>
  <si>
    <t>Iron County, Missouri</t>
  </si>
  <si>
    <t>Jackson County, Missouri</t>
  </si>
  <si>
    <t>Jasper County, Missouri</t>
  </si>
  <si>
    <t>Jefferson County, Missouri</t>
  </si>
  <si>
    <t>Johnson County, Missouri</t>
  </si>
  <si>
    <t>Knox County, Missouri</t>
  </si>
  <si>
    <t>Laclede County, Missouri</t>
  </si>
  <si>
    <t>Lafayette County, Missouri</t>
  </si>
  <si>
    <t>Lawrence County, Missouri</t>
  </si>
  <si>
    <t>Lewis County, Missouri</t>
  </si>
  <si>
    <t>Lincoln County, Missouri</t>
  </si>
  <si>
    <t>Linn County, Missouri</t>
  </si>
  <si>
    <t>Livingston County, Missouri</t>
  </si>
  <si>
    <t>McDonald County, Missouri</t>
  </si>
  <si>
    <t>Macon County, Missouri</t>
  </si>
  <si>
    <t>Madison County, Missouri</t>
  </si>
  <si>
    <t>Maries County, Missouri</t>
  </si>
  <si>
    <t>Marion County, Missouri</t>
  </si>
  <si>
    <t>Mercer County, Missouri</t>
  </si>
  <si>
    <t>Miller County, Missouri</t>
  </si>
  <si>
    <t>Mississippi County, Missouri</t>
  </si>
  <si>
    <t>Moniteau County, Missouri</t>
  </si>
  <si>
    <t>Monroe County, Missouri</t>
  </si>
  <si>
    <t>Montgomery County, Missouri</t>
  </si>
  <si>
    <t>Morgan County, Missouri</t>
  </si>
  <si>
    <t>New Madrid County, Missouri</t>
  </si>
  <si>
    <t>Newton County, Missouri</t>
  </si>
  <si>
    <t>Nodaway County, Missouri</t>
  </si>
  <si>
    <t>Oregon County, Missouri</t>
  </si>
  <si>
    <t>Osage County, Missouri</t>
  </si>
  <si>
    <t>Ozark County, Missouri</t>
  </si>
  <si>
    <t>Pemiscot County, Missouri</t>
  </si>
  <si>
    <t>Perry County, Missouri</t>
  </si>
  <si>
    <t>Pettis County, Missouri</t>
  </si>
  <si>
    <t>Phelps County, Missouri</t>
  </si>
  <si>
    <t>Pike County, Missouri</t>
  </si>
  <si>
    <t>Platte County, Missouri</t>
  </si>
  <si>
    <t>Polk County, Missouri</t>
  </si>
  <si>
    <t>Pulaski County, Missouri</t>
  </si>
  <si>
    <t>Putnam County, Missouri</t>
  </si>
  <si>
    <t>Ralls County, Missouri</t>
  </si>
  <si>
    <t>Randolph County, Missouri</t>
  </si>
  <si>
    <t>Ray County, Missouri</t>
  </si>
  <si>
    <t>Reynolds County, Missouri</t>
  </si>
  <si>
    <t>Ripley County, Missouri</t>
  </si>
  <si>
    <t>St Charles County, Missouri</t>
  </si>
  <si>
    <t>St Clair County, Missouri</t>
  </si>
  <si>
    <t>Ste Genevieve County, Missouri</t>
  </si>
  <si>
    <t>St Francois County, Missouri</t>
  </si>
  <si>
    <t>St Louis County, Missouri</t>
  </si>
  <si>
    <t>Saline County, Missouri</t>
  </si>
  <si>
    <t>Schuyler County, Missouri</t>
  </si>
  <si>
    <t>Scotland County, Missouri</t>
  </si>
  <si>
    <t>Scott County, Missouri</t>
  </si>
  <si>
    <t>Shannon County, Missouri</t>
  </si>
  <si>
    <t>Shelby County, Missouri</t>
  </si>
  <si>
    <t>Stoddard County, Missouri</t>
  </si>
  <si>
    <t>Stone County, Missouri</t>
  </si>
  <si>
    <t>Sullivan County, Missouri</t>
  </si>
  <si>
    <t>Taney County, Missouri</t>
  </si>
  <si>
    <t>Texas County, Missouri</t>
  </si>
  <si>
    <t>Vernon County, Missouri</t>
  </si>
  <si>
    <t>Warren County, Missouri</t>
  </si>
  <si>
    <t>Washington County, Missouri</t>
  </si>
  <si>
    <t>Wayne County, Missouri</t>
  </si>
  <si>
    <t>Webster County, Missouri</t>
  </si>
  <si>
    <t>Worth County, Missouri</t>
  </si>
  <si>
    <t>Wright County, Missouri</t>
  </si>
  <si>
    <t>St Louis city, Missouri</t>
  </si>
  <si>
    <t>Beaverhead County, Montana</t>
  </si>
  <si>
    <t>Big Horn County, Montana</t>
  </si>
  <si>
    <t>Blaine County, Montana</t>
  </si>
  <si>
    <t>Broadwater County, Montana</t>
  </si>
  <si>
    <t>Carbon County, Montana</t>
  </si>
  <si>
    <t>Carter County, Montana</t>
  </si>
  <si>
    <t>Cascade County, Montana</t>
  </si>
  <si>
    <t>Chouteau County, Montana</t>
  </si>
  <si>
    <t>Custer County, Montana</t>
  </si>
  <si>
    <t>Daniels County, Montana</t>
  </si>
  <si>
    <t>Dawson County, Montana</t>
  </si>
  <si>
    <t>Deer Lodge County, Montana</t>
  </si>
  <si>
    <t>Fallon County, Montana</t>
  </si>
  <si>
    <t>Fergus County, Montana</t>
  </si>
  <si>
    <t>Flathead County, Montana</t>
  </si>
  <si>
    <t>Gallatin County, Montana</t>
  </si>
  <si>
    <t>Garfield County, Montana</t>
  </si>
  <si>
    <t>Glacier County, Montana</t>
  </si>
  <si>
    <t>Golden Valley County, Montana</t>
  </si>
  <si>
    <t>Granite County, Montana</t>
  </si>
  <si>
    <t>Hill County, Montana</t>
  </si>
  <si>
    <t>Jefferson County, Montana</t>
  </si>
  <si>
    <t>Judith Basin County, Montana</t>
  </si>
  <si>
    <t>Lake County, Montana</t>
  </si>
  <si>
    <t>Lewis and Clark County, Montana</t>
  </si>
  <si>
    <t>Liberty County, Montana</t>
  </si>
  <si>
    <t>Lincoln County, Montana</t>
  </si>
  <si>
    <t>McCone County, Montana</t>
  </si>
  <si>
    <t>Madison County, Montana</t>
  </si>
  <si>
    <t>Meagher County, Montana</t>
  </si>
  <si>
    <t>Mineral County, Montana</t>
  </si>
  <si>
    <t>Missoula County, Montana</t>
  </si>
  <si>
    <t>Musselshell County, Montana</t>
  </si>
  <si>
    <t>Park County, Montana</t>
  </si>
  <si>
    <t>Petroleum County, Montana</t>
  </si>
  <si>
    <t>Phillips County, Montana</t>
  </si>
  <si>
    <t>Pondera County, Montana</t>
  </si>
  <si>
    <t>Powder River County, Montana</t>
  </si>
  <si>
    <t>Powell County, Montana</t>
  </si>
  <si>
    <t>Prairie County, Montana</t>
  </si>
  <si>
    <t>Ravalli County, Montana</t>
  </si>
  <si>
    <t>Richland County, Montana</t>
  </si>
  <si>
    <t>Roosevelt County, Montana</t>
  </si>
  <si>
    <t>Rosebud County, Montana</t>
  </si>
  <si>
    <t>Sanders County, Montana</t>
  </si>
  <si>
    <t>Sheridan County, Montana</t>
  </si>
  <si>
    <t>Silver Bow County, Montana</t>
  </si>
  <si>
    <t>Stillwater County, Montana</t>
  </si>
  <si>
    <t>Sweet Grass County, Montana</t>
  </si>
  <si>
    <t>Teton County, Montana</t>
  </si>
  <si>
    <t>Toole County, Montana</t>
  </si>
  <si>
    <t>Treasure County, Montana</t>
  </si>
  <si>
    <t>Valley County, Montana</t>
  </si>
  <si>
    <t>Wheatland County, Montana</t>
  </si>
  <si>
    <t>Wibaux County, Montana</t>
  </si>
  <si>
    <t>Yellowstone County, Montana</t>
  </si>
  <si>
    <t>Adams County, Nebraska</t>
  </si>
  <si>
    <t>Antelope County, Nebraska</t>
  </si>
  <si>
    <t>Arthur County, Nebraska</t>
  </si>
  <si>
    <t>Banner County, Nebraska</t>
  </si>
  <si>
    <t>Blaine County, Nebraska</t>
  </si>
  <si>
    <t>Boone County, Nebraska</t>
  </si>
  <si>
    <t>Box Butte County, Nebraska</t>
  </si>
  <si>
    <t>Boyd County, Nebraska</t>
  </si>
  <si>
    <t>Brown County, Nebraska</t>
  </si>
  <si>
    <t>Buffalo County, Nebraska</t>
  </si>
  <si>
    <t>Burt County, Nebraska</t>
  </si>
  <si>
    <t>Butler County, Nebraska</t>
  </si>
  <si>
    <t>Cass County, Nebraska</t>
  </si>
  <si>
    <t>Cedar County, Nebraska</t>
  </si>
  <si>
    <t>Chase County, Nebraska</t>
  </si>
  <si>
    <t>Cherry County, Nebraska</t>
  </si>
  <si>
    <t>Cheyenne County, Nebraska</t>
  </si>
  <si>
    <t>Clay County, Nebraska</t>
  </si>
  <si>
    <t>Colfax County, Nebraska</t>
  </si>
  <si>
    <t>Cuming County, Nebraska</t>
  </si>
  <si>
    <t>Custer County, Nebraska</t>
  </si>
  <si>
    <t>Dakota County, Nebraska</t>
  </si>
  <si>
    <t>Dawes County, Nebraska</t>
  </si>
  <si>
    <t>Dawson County, Nebraska</t>
  </si>
  <si>
    <t>Deuel County, Nebraska</t>
  </si>
  <si>
    <t>Dixon County, Nebraska</t>
  </si>
  <si>
    <t>Dodge County, Nebraska</t>
  </si>
  <si>
    <t>Douglas County, Nebraska</t>
  </si>
  <si>
    <t>Dundy County, Nebraska</t>
  </si>
  <si>
    <t>Fillmore County, Nebraska</t>
  </si>
  <si>
    <t>Franklin County, Nebraska</t>
  </si>
  <si>
    <t>Frontier County, Nebraska</t>
  </si>
  <si>
    <t>Furnas County, Nebraska</t>
  </si>
  <si>
    <t>Gage County, Nebraska</t>
  </si>
  <si>
    <t>Garden County, Nebraska</t>
  </si>
  <si>
    <t>Garfield County, Nebraska</t>
  </si>
  <si>
    <t>Gosper County, Nebraska</t>
  </si>
  <si>
    <t>Grant County, Nebraska</t>
  </si>
  <si>
    <t>Greeley County, Nebraska</t>
  </si>
  <si>
    <t>Hall County, Nebraska</t>
  </si>
  <si>
    <t>Hamilton County, Nebraska</t>
  </si>
  <si>
    <t>Harlan County, Nebraska</t>
  </si>
  <si>
    <t>Hayes County, Nebraska</t>
  </si>
  <si>
    <t>Hitchcock County, Nebraska</t>
  </si>
  <si>
    <t>Holt County, Nebraska</t>
  </si>
  <si>
    <t>Hooker County, Nebraska</t>
  </si>
  <si>
    <t>Howard County, Nebraska</t>
  </si>
  <si>
    <t>Jefferson County, Nebraska</t>
  </si>
  <si>
    <t>Johnson County, Nebraska</t>
  </si>
  <si>
    <t>Kearney County, Nebraska</t>
  </si>
  <si>
    <t>Keith County, Nebraska</t>
  </si>
  <si>
    <t>Keya Paha County, Nebraska</t>
  </si>
  <si>
    <t>Kimball County, Nebraska</t>
  </si>
  <si>
    <t>Knox County, Nebraska</t>
  </si>
  <si>
    <t>Lancaster County, Nebraska</t>
  </si>
  <si>
    <t>Lincoln County, Nebraska</t>
  </si>
  <si>
    <t>Logan County, Nebraska</t>
  </si>
  <si>
    <t>Loup County, Nebraska</t>
  </si>
  <si>
    <t>McPherson County, Nebraska</t>
  </si>
  <si>
    <t>Madison County, Nebraska</t>
  </si>
  <si>
    <t>Merrick County, Nebraska</t>
  </si>
  <si>
    <t>Morrill County, Nebraska</t>
  </si>
  <si>
    <t>Nance County, Nebraska</t>
  </si>
  <si>
    <t>Nemaha County, Nebraska</t>
  </si>
  <si>
    <t>Nuckolls County, Nebraska</t>
  </si>
  <si>
    <t>Otoe County, Nebraska</t>
  </si>
  <si>
    <t>Pawnee County, Nebraska</t>
  </si>
  <si>
    <t>Perkins County, Nebraska</t>
  </si>
  <si>
    <t>Phelps County, Nebraska</t>
  </si>
  <si>
    <t>Pierce County, Nebraska</t>
  </si>
  <si>
    <t>Platte County, Nebraska</t>
  </si>
  <si>
    <t>Polk County, Nebraska</t>
  </si>
  <si>
    <t>Red Willow County, Nebraska</t>
  </si>
  <si>
    <t>Richardson County, Nebraska</t>
  </si>
  <si>
    <t>Rock County, Nebraska</t>
  </si>
  <si>
    <t>Saline County, Nebraska</t>
  </si>
  <si>
    <t>Sarpy County, Nebraska</t>
  </si>
  <si>
    <t>Saunders County, Nebraska</t>
  </si>
  <si>
    <t>Scotts Bluff County, Nebraska</t>
  </si>
  <si>
    <t>Seward County, Nebraska</t>
  </si>
  <si>
    <t>Sheridan County, Nebraska</t>
  </si>
  <si>
    <t>Sherman County, Nebraska</t>
  </si>
  <si>
    <t>Sioux County, Nebraska</t>
  </si>
  <si>
    <t>Stanton County, Nebraska</t>
  </si>
  <si>
    <t>Thayer County, Nebraska</t>
  </si>
  <si>
    <t>Thomas County, Nebraska</t>
  </si>
  <si>
    <t>Thurston County, Nebraska</t>
  </si>
  <si>
    <t>Valley County, Nebraska</t>
  </si>
  <si>
    <t>Washington County, Nebraska</t>
  </si>
  <si>
    <t>Wayne County, Nebraska</t>
  </si>
  <si>
    <t>Webster County, Nebraska</t>
  </si>
  <si>
    <t>Wheeler County, Nebraska</t>
  </si>
  <si>
    <t>York County, Nebraska</t>
  </si>
  <si>
    <t>Churchill County, Nevada</t>
  </si>
  <si>
    <t>Clark County, Nevada</t>
  </si>
  <si>
    <t>Douglas County, Nevada</t>
  </si>
  <si>
    <t>Elko County, Nevada</t>
  </si>
  <si>
    <t>Esmeralda County, Nevada</t>
  </si>
  <si>
    <t>Eureka County, Nevada</t>
  </si>
  <si>
    <t>Humboldt County, Nevada</t>
  </si>
  <si>
    <t>Lander County, Nevada</t>
  </si>
  <si>
    <t>Lincoln County, Nevada</t>
  </si>
  <si>
    <t>Lyon County, Nevada</t>
  </si>
  <si>
    <t>Mineral County, Nevada</t>
  </si>
  <si>
    <t>Nye County, Nevada</t>
  </si>
  <si>
    <t>Pershing County, Nevada</t>
  </si>
  <si>
    <t>Storey County, Nevada</t>
  </si>
  <si>
    <t>Washoe County, Nevada</t>
  </si>
  <si>
    <t>White Pine County, Nevada</t>
  </si>
  <si>
    <t>Carson City, Nevada</t>
  </si>
  <si>
    <t>Belknap County, New Hampshire</t>
  </si>
  <si>
    <t>Carroll County, New Hampshire</t>
  </si>
  <si>
    <t>Cheshire County, New Hampshire</t>
  </si>
  <si>
    <t>Coos County, New Hampshire</t>
  </si>
  <si>
    <t>Grafton County, New Hampshire</t>
  </si>
  <si>
    <t>Hillsborough County, New Hampshire</t>
  </si>
  <si>
    <t>Merrimack County, New Hampshire</t>
  </si>
  <si>
    <t>Rockingham County, New Hampshire</t>
  </si>
  <si>
    <t>Strafford County, New Hampshire</t>
  </si>
  <si>
    <t>Sullivan County, New Hampshire</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</si>
  <si>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</si>
  <si>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</si>
  <si>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</si>
  <si>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</si>
  <si>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</si>
  <si>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</si>
  <si>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</si>
  <si>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</si>
  <si>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</si>
  <si>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</si>
  <si>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</si>
  <si>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</si>
  <si>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</si>
  <si>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</si>
  <si>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</si>
  <si>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</si>
  <si>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</si>
  <si>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</si>
  <si>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</si>
  <si>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</si>
  <si>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Warren County, New Jersey</t>
  </si>
  <si>
    <t>Bernalillo County, New Mexico</t>
  </si>
  <si>
    <t>Catron County, New Mexico</t>
  </si>
  <si>
    <t>Chaves County, New Mexico</t>
  </si>
  <si>
    <t>Cibola County, New Mexico</t>
  </si>
  <si>
    <t>Colfax County, New Mexico</t>
  </si>
  <si>
    <t>Curry County, New Mexico</t>
  </si>
  <si>
    <t>De Baca County, New Mexico</t>
  </si>
  <si>
    <t>Doña Ana County, New Mexico</t>
  </si>
  <si>
    <t>Eddy County, New Mexico</t>
  </si>
  <si>
    <t>Grant County, New Mexico</t>
  </si>
  <si>
    <t>Guadalupe County, New Mexico</t>
  </si>
  <si>
    <t>Harding County, New Mexico</t>
  </si>
  <si>
    <t>Hidalgo County, New Mexico</t>
  </si>
  <si>
    <t>Lea County, New Mexico</t>
  </si>
  <si>
    <t>Lincoln County, New Mexico</t>
  </si>
  <si>
    <t>Los Alamos County, New Mexico</t>
  </si>
  <si>
    <t>Luna County, New Mexico</t>
  </si>
  <si>
    <t>McKinley County, New Mexico</t>
  </si>
  <si>
    <t>Mora County, New Mexico</t>
  </si>
  <si>
    <t>Otero County, New Mexico</t>
  </si>
  <si>
    <t>Quay County, New Mexico</t>
  </si>
  <si>
    <t>Rio Arriba County, New Mexico</t>
  </si>
  <si>
    <t>Roosevelt County, New Mexico</t>
  </si>
  <si>
    <t>Sandoval County, New Mexico</t>
  </si>
  <si>
    <t>San Juan County, New Mexico</t>
  </si>
  <si>
    <t>San Miguel County, New Mexico</t>
  </si>
  <si>
    <t>Santa Fe County, New Mexico</t>
  </si>
  <si>
    <t>Sierra County, New Mexico</t>
  </si>
  <si>
    <t>Socorro County, New Mexico</t>
  </si>
  <si>
    <t>Taos County, New Mexico</t>
  </si>
  <si>
    <t>Torrance County, New Mexico</t>
  </si>
  <si>
    <t>Union County, New Mexico</t>
  </si>
  <si>
    <t>Valencia County, New Mexico</t>
  </si>
  <si>
    <t>Albany County, New York</t>
  </si>
  <si>
    <t>Allegany County, New York</t>
  </si>
  <si>
    <t>Bronx County, New York</t>
  </si>
  <si>
    <t>Broome County, New York</t>
  </si>
  <si>
    <t>Cattaraugus County, New York</t>
  </si>
  <si>
    <t>Cayuga County, New York</t>
  </si>
  <si>
    <t>Chautauqua County, New York</t>
  </si>
  <si>
    <t>Chemung County, New York</t>
  </si>
  <si>
    <t>Chenango County, New York</t>
  </si>
  <si>
    <t>Clinton County, New York</t>
  </si>
  <si>
    <t>Columbia County, New York</t>
  </si>
  <si>
    <t>Cortland County, New York</t>
  </si>
  <si>
    <t>Delaware County, New York</t>
  </si>
  <si>
    <t>Dutchess County, New York</t>
  </si>
  <si>
    <t>Erie County, New York</t>
  </si>
  <si>
    <t>Essex County, New York</t>
  </si>
  <si>
    <t>Franklin County, New York</t>
  </si>
  <si>
    <t>Fulton County, New York</t>
  </si>
  <si>
    <t>Genesee County, New York</t>
  </si>
  <si>
    <t>Greene County, New York</t>
  </si>
  <si>
    <t>Hamilton County, New York</t>
  </si>
  <si>
    <t>Herkimer County, New York</t>
  </si>
  <si>
    <t>Jefferson County, New York</t>
  </si>
  <si>
    <t>Kings County, New York</t>
  </si>
  <si>
    <t>Lewis County, New York</t>
  </si>
  <si>
    <t>Livingston County, New York</t>
  </si>
  <si>
    <t>Madison County, New York</t>
  </si>
  <si>
    <t>Monroe County, New York</t>
  </si>
  <si>
    <t>Montgomery County, New York</t>
  </si>
  <si>
    <t>Nassau County, New York</t>
  </si>
  <si>
    <t>New York County, New York</t>
  </si>
  <si>
    <t>Niagara County, New York</t>
  </si>
  <si>
    <t>Oneida County, New York</t>
  </si>
  <si>
    <t>Onondaga County, New York</t>
  </si>
  <si>
    <t>Ontario County, New York</t>
  </si>
  <si>
    <t>Orange County, New York</t>
  </si>
  <si>
    <t>Orleans County, New York</t>
  </si>
  <si>
    <t>Oswego County, New York</t>
  </si>
  <si>
    <t>Otsego County, New York</t>
  </si>
  <si>
    <t>Putnam County, New York</t>
  </si>
  <si>
    <t>Queens County, New York</t>
  </si>
  <si>
    <t>Rensselaer County, New York</t>
  </si>
  <si>
    <t>Richmond County, New York</t>
  </si>
  <si>
    <t>Rockland County, New York</t>
  </si>
  <si>
    <t>St Lawrence County, New York</t>
  </si>
  <si>
    <t>Saratoga County, New York</t>
  </si>
  <si>
    <t>Schenectady County, New York</t>
  </si>
  <si>
    <t>Schoharie County, New York</t>
  </si>
  <si>
    <t>Schuyler County, New York</t>
  </si>
  <si>
    <t>Seneca County, New York</t>
  </si>
  <si>
    <t>Steuben County, New York</t>
  </si>
  <si>
    <t>Suffolk County, New York</t>
  </si>
  <si>
    <t>Sullivan County, New York</t>
  </si>
  <si>
    <t>Tioga County, New York</t>
  </si>
  <si>
    <t>Tompkins County, New York</t>
  </si>
  <si>
    <t>Ulster County, New York</t>
  </si>
  <si>
    <t>Warren County, New York</t>
  </si>
  <si>
    <t>Washington County, New York</t>
  </si>
  <si>
    <t>Wayne County, New York</t>
  </si>
  <si>
    <t>Westchester County, New York</t>
  </si>
  <si>
    <t>Wyoming County, New York</t>
  </si>
  <si>
    <t>Yates County, New York</t>
  </si>
  <si>
    <t>Alamance County, North Carolina</t>
  </si>
  <si>
    <t>Alexander County, North Carolina</t>
  </si>
  <si>
    <t>Alleghany County, North Carolina</t>
  </si>
  <si>
    <t>Anson County, North Carolina</t>
  </si>
  <si>
    <t>Ashe County, North Carolina</t>
  </si>
  <si>
    <t>Avery County, North Carolina</t>
  </si>
  <si>
    <t>Beaufort County, North Carolina</t>
  </si>
  <si>
    <t>Bertie County, North Carolina</t>
  </si>
  <si>
    <t>Bladen County, North Carolina</t>
  </si>
  <si>
    <t>Brunswick County, North Carolina</t>
  </si>
  <si>
    <t>Buncombe County, North Carolina</t>
  </si>
  <si>
    <t>Burke County, North Carolina</t>
  </si>
  <si>
    <t>Cabarrus County, North Carolina</t>
  </si>
  <si>
    <t>Caldwell County, North Carolina</t>
  </si>
  <si>
    <t>Camden County, North Carolina</t>
  </si>
  <si>
    <t>Carteret County, North Carolina</t>
  </si>
  <si>
    <t>Caswell County, North Carolina</t>
  </si>
  <si>
    <t>Catawba County, North Carolina</t>
  </si>
  <si>
    <t>Chatham County, North Carolina</t>
  </si>
  <si>
    <t>Cherokee County, North Carolina</t>
  </si>
  <si>
    <t>Chowan County, North Carolina</t>
  </si>
  <si>
    <t>Clay County, North Carolina</t>
  </si>
  <si>
    <t>Cleveland County, North Carolina</t>
  </si>
  <si>
    <t>Columbus County, North Carolina</t>
  </si>
  <si>
    <t>Craven County, North Carolina</t>
  </si>
  <si>
    <t>Cumberland County, North Carolina</t>
  </si>
  <si>
    <t>Currituck County, North Carolina</t>
  </si>
  <si>
    <t>Dare County, North Carolina</t>
  </si>
  <si>
    <t>Davidson County, North Carolina</t>
  </si>
  <si>
    <t>Davie County, North Carolina</t>
  </si>
  <si>
    <t>Duplin County, North Carolina</t>
  </si>
  <si>
    <t>Durham County, North Carolina</t>
  </si>
  <si>
    <t>Edgecombe County, North Carolina</t>
  </si>
  <si>
    <t>Forsyth County, North Carolina</t>
  </si>
  <si>
    <t>Franklin County, North Carolina</t>
  </si>
  <si>
    <t>Gaston County, North Carolina</t>
  </si>
  <si>
    <t>Gates County, North Carolina</t>
  </si>
  <si>
    <t>Graham County, North Carolina</t>
  </si>
  <si>
    <t>Granville County, North Carolina</t>
  </si>
  <si>
    <t>Greene County, North Carolina</t>
  </si>
  <si>
    <t>Guilford County, North Carolina</t>
  </si>
  <si>
    <t>Halifax County, North Carolina</t>
  </si>
  <si>
    <t>Harnett County, North Carolina</t>
  </si>
  <si>
    <t>Haywood County, North Carolina</t>
  </si>
  <si>
    <t>Henderson County, North Carolina</t>
  </si>
  <si>
    <t>Hertford County, North Carolina</t>
  </si>
  <si>
    <t>Hoke County, North Carolina</t>
  </si>
  <si>
    <t>Hyde County, North Carolina</t>
  </si>
  <si>
    <t>Iredell County, North Carolina</t>
  </si>
  <si>
    <t>Jackson County, North Carolina</t>
  </si>
  <si>
    <t>Johnston County, North Carolina</t>
  </si>
  <si>
    <t>Jones County, North Carolina</t>
  </si>
  <si>
    <t>Lee County, North Carolina</t>
  </si>
  <si>
    <t>Lenoir County, North Carolina</t>
  </si>
  <si>
    <t>Lincoln County, North Carolina</t>
  </si>
  <si>
    <t>McDowell County, North Carolina</t>
  </si>
  <si>
    <t>Macon County, North Carolina</t>
  </si>
  <si>
    <t>Madison County, North Carolina</t>
  </si>
  <si>
    <t>Martin County, North Carolina</t>
  </si>
  <si>
    <t>Mecklenburg County, North Carolina</t>
  </si>
  <si>
    <t>Mitchell County, North Carolina</t>
  </si>
  <si>
    <t>Montgomery County, North Carolina</t>
  </si>
  <si>
    <t>Moore County, North Carolina</t>
  </si>
  <si>
    <t>Nash County, North Carolina</t>
  </si>
  <si>
    <t>New Hanover County, North Carolina</t>
  </si>
  <si>
    <t>Northampton County, North Carolina</t>
  </si>
  <si>
    <t>Onslow County, North Carolina</t>
  </si>
  <si>
    <t>Orange County, North Carolina</t>
  </si>
  <si>
    <t>Pamlico County, North Carolina</t>
  </si>
  <si>
    <t>Pasquotank County, North Carolina</t>
  </si>
  <si>
    <t>Pender County, North Carolina</t>
  </si>
  <si>
    <t>Perquimans County, North Carolina</t>
  </si>
  <si>
    <t>Person County, North Carolina</t>
  </si>
  <si>
    <t>Pitt County, North Carolina</t>
  </si>
  <si>
    <t>Polk County, North Carolina</t>
  </si>
  <si>
    <t>Randolph County, North Carolina</t>
  </si>
  <si>
    <t>Richmond County, North Carolina</t>
  </si>
  <si>
    <t>Robeson County, North Carolina</t>
  </si>
  <si>
    <t>Rockingham County, North Carolina</t>
  </si>
  <si>
    <t>Rowan County, North Carolina</t>
  </si>
  <si>
    <t>Rutherford County, North Carolina</t>
  </si>
  <si>
    <t>Sampson County, North Carolina</t>
  </si>
  <si>
    <t>Scotland County, North Carolina</t>
  </si>
  <si>
    <t>Stanly County, North Carolina</t>
  </si>
  <si>
    <t>Stokes County, North Carolina</t>
  </si>
  <si>
    <t>Surry County, North Carolina</t>
  </si>
  <si>
    <t>Swain County, North Carolina</t>
  </si>
  <si>
    <t>Transylvania County, North Carolina</t>
  </si>
  <si>
    <t>Tyrrell County, North Carolina</t>
  </si>
  <si>
    <t>Union County, North Carolina</t>
  </si>
  <si>
    <t>Vance County, North Carolina</t>
  </si>
  <si>
    <t>Wake County, North Carolina</t>
  </si>
  <si>
    <t>Warren County, North Carolina</t>
  </si>
  <si>
    <t>Washington County, North Carolina</t>
  </si>
  <si>
    <t>Watauga County, North Carolina</t>
  </si>
  <si>
    <t>Wayne County, North Carolina</t>
  </si>
  <si>
    <t>Wilkes County, North Carolina</t>
  </si>
  <si>
    <t>Wilson County, North Carolina</t>
  </si>
  <si>
    <t>Yadkin County, North Carolina</t>
  </si>
  <si>
    <t>Yancey County, North Carolina</t>
  </si>
  <si>
    <t>Adams County, North Dakota</t>
  </si>
  <si>
    <t>Barnes County, North Dakota</t>
  </si>
  <si>
    <t>Benson County, North Dakota</t>
  </si>
  <si>
    <t>Billings County, North Dakota</t>
  </si>
  <si>
    <t>Bowman County, North Dakota</t>
  </si>
  <si>
    <t>Burke County, North Dakota</t>
  </si>
  <si>
    <t>Burleigh County, North Dakota</t>
  </si>
  <si>
    <t>Cass County, North Dakota</t>
  </si>
  <si>
    <t>Cavalier County, North Dakota</t>
  </si>
  <si>
    <t>Dickey County, North Dakota</t>
  </si>
  <si>
    <t>Divide County, North Dakota</t>
  </si>
  <si>
    <t>Dunn County, North Dakota</t>
  </si>
  <si>
    <t>Eddy County, North Dakota</t>
  </si>
  <si>
    <t>Emmons County, North Dakota</t>
  </si>
  <si>
    <t>Foster County, North Dakota</t>
  </si>
  <si>
    <t>Golden Valley County, North Dakota</t>
  </si>
  <si>
    <t>Grand Forks County, North Dakota</t>
  </si>
  <si>
    <t>Grant County, North Dakota</t>
  </si>
  <si>
    <t>Griggs County, North Dakota</t>
  </si>
  <si>
    <t>Hettinger County, North Dakota</t>
  </si>
  <si>
    <t>Kidder County, North Dakota</t>
  </si>
  <si>
    <t>LaMoure County, North Dakota</t>
  </si>
  <si>
    <t>Logan County, North Dakota</t>
  </si>
  <si>
    <t>McHenry County, North Dakota</t>
  </si>
  <si>
    <t>McIntosh County, North Dakota</t>
  </si>
  <si>
    <t>McKenzie County, North Dakota</t>
  </si>
  <si>
    <t>McLean County, North Dakota</t>
  </si>
  <si>
    <t>Mercer County, North Dakota</t>
  </si>
  <si>
    <t>Morton County, North Dakota</t>
  </si>
  <si>
    <t>Mountrail County, North Dakota</t>
  </si>
  <si>
    <t>Nelson County, North Dakota</t>
  </si>
  <si>
    <t>Oliver County, North Dakota</t>
  </si>
  <si>
    <t>Pembina County, North Dakota</t>
  </si>
  <si>
    <t>Pierce County, North Dakota</t>
  </si>
  <si>
    <t>Ramsey County, North Dakota</t>
  </si>
  <si>
    <t>Ransom County, North Dakota</t>
  </si>
  <si>
    <t>Renville County, North Dakota</t>
  </si>
  <si>
    <t>Richland County, North Dakota</t>
  </si>
  <si>
    <t>Rolette County, North Dakota</t>
  </si>
  <si>
    <t>Sargent County, North Dakota</t>
  </si>
  <si>
    <t>Sheridan County, North Dakota</t>
  </si>
  <si>
    <t>Sioux County, North Dakota</t>
  </si>
  <si>
    <t>Slope County, North Dakota</t>
  </si>
  <si>
    <t>Stark County, North Dakota</t>
  </si>
  <si>
    <t>Steele County, North Dakota</t>
  </si>
  <si>
    <t>Stutsman County, North Dakota</t>
  </si>
  <si>
    <t>Towner County, North Dakota</t>
  </si>
  <si>
    <t>Traill County, North Dakota</t>
  </si>
  <si>
    <t>Walsh County, North Dakota</t>
  </si>
  <si>
    <t>Ward County, North Dakota</t>
  </si>
  <si>
    <t>Wells County, North Dakota</t>
  </si>
  <si>
    <t>Williams County, North Dakota</t>
  </si>
  <si>
    <t>Adams County, Ohio</t>
  </si>
  <si>
    <t>Allen County, Ohio</t>
  </si>
  <si>
    <t>Ashland County, Ohio</t>
  </si>
  <si>
    <t>Ashtabula County, Ohio</t>
  </si>
  <si>
    <t>Athens County, Ohio</t>
  </si>
  <si>
    <t>Auglaize County, Ohio</t>
  </si>
  <si>
    <t>Belmont County, Ohio</t>
  </si>
  <si>
    <t>Brown County, Ohio</t>
  </si>
  <si>
    <t>Butler County, Ohio</t>
  </si>
  <si>
    <t>Carroll County, Ohio</t>
  </si>
  <si>
    <t>Champaign County, Ohio</t>
  </si>
  <si>
    <t>Clark County, Ohio</t>
  </si>
  <si>
    <t>Clermont County, Ohio</t>
  </si>
  <si>
    <t>Clinton County, Ohio</t>
  </si>
  <si>
    <t>Columbiana County, Ohio</t>
  </si>
  <si>
    <t>Coshocton County, Ohio</t>
  </si>
  <si>
    <t>Crawford County, Ohio</t>
  </si>
  <si>
    <t>Cuyahoga County, Ohio</t>
  </si>
  <si>
    <t>Darke County, Ohio</t>
  </si>
  <si>
    <t>Defiance County, Ohio</t>
  </si>
  <si>
    <t>Delaware County, Ohio</t>
  </si>
  <si>
    <t>Erie County, Ohio</t>
  </si>
  <si>
    <t>Fairfield County, Ohio</t>
  </si>
  <si>
    <t>Fayette County, Ohio</t>
  </si>
  <si>
    <t>Franklin County, Ohio</t>
  </si>
  <si>
    <t>Fulton County, Ohio</t>
  </si>
  <si>
    <t>Gallia County, Ohio</t>
  </si>
  <si>
    <t>Geauga County, Ohio</t>
  </si>
  <si>
    <t>Greene County, Ohio</t>
  </si>
  <si>
    <t>Guernsey County, Ohio</t>
  </si>
  <si>
    <t>Hamilton County, Ohio</t>
  </si>
  <si>
    <t>Hancock County, Ohio</t>
  </si>
  <si>
    <t>Hardin County, Ohio</t>
  </si>
  <si>
    <t>Harrison County, Ohio</t>
  </si>
  <si>
    <t>Henry County, Ohio</t>
  </si>
  <si>
    <t>Highland County, Ohio</t>
  </si>
  <si>
    <t>Hocking County, Ohio</t>
  </si>
  <si>
    <t>Holmes County, Ohio</t>
  </si>
  <si>
    <t>Huron County, Ohio</t>
  </si>
  <si>
    <t>Jackson County, Ohio</t>
  </si>
  <si>
    <t>Jefferson County, Ohio</t>
  </si>
  <si>
    <t>Knox County, Ohio</t>
  </si>
  <si>
    <t>Lake County, Ohio</t>
  </si>
  <si>
    <t>Lawrence County, Ohio</t>
  </si>
  <si>
    <t>Licking County, Ohio</t>
  </si>
  <si>
    <t>Logan County, Ohio</t>
  </si>
  <si>
    <t>Lorain County, Ohio</t>
  </si>
  <si>
    <t>Lucas County, Ohio</t>
  </si>
  <si>
    <t>Madison County, Ohio</t>
  </si>
  <si>
    <t>Mahoning County, Ohio</t>
  </si>
  <si>
    <t>Marion County, Ohio</t>
  </si>
  <si>
    <t>Medina County, Ohio</t>
  </si>
  <si>
    <t>Meigs County, Ohio</t>
  </si>
  <si>
    <t>Mercer County, Ohio</t>
  </si>
  <si>
    <t>Miami County, Ohio</t>
  </si>
  <si>
    <t>Monroe County, Ohio</t>
  </si>
  <si>
    <t>Montgomery County, Ohio</t>
  </si>
  <si>
    <t>Morgan County, Ohio</t>
  </si>
  <si>
    <t>Morrow County, Ohio</t>
  </si>
  <si>
    <t>Muskingum County, Ohio</t>
  </si>
  <si>
    <t>Noble County, Ohio</t>
  </si>
  <si>
    <t>Ottawa County, Ohio</t>
  </si>
  <si>
    <t>Paulding County, Ohio</t>
  </si>
  <si>
    <t>Perry County, Ohio</t>
  </si>
  <si>
    <t>Pickaway County, Ohio</t>
  </si>
  <si>
    <t>Pike County, Ohio</t>
  </si>
  <si>
    <t>Portage County, Ohio</t>
  </si>
  <si>
    <t>Preble County, Ohio</t>
  </si>
  <si>
    <t>Putnam County, Ohio</t>
  </si>
  <si>
    <t>Richland County, Ohio</t>
  </si>
  <si>
    <t>Ross County, Ohio</t>
  </si>
  <si>
    <t>Sandusky County, Ohio</t>
  </si>
  <si>
    <t>Scioto County, Ohio</t>
  </si>
  <si>
    <t>Seneca County, Ohio</t>
  </si>
  <si>
    <t>Shelby County, Ohio</t>
  </si>
  <si>
    <t>Stark County, Ohio</t>
  </si>
  <si>
    <t>Summit County, Ohio</t>
  </si>
  <si>
    <t>Trumbull County, Ohio</t>
  </si>
  <si>
    <t>Tuscarawas County, Ohio</t>
  </si>
  <si>
    <t>Union County, Ohio</t>
  </si>
  <si>
    <t>Van Wert County, Ohio</t>
  </si>
  <si>
    <t>Vinton County, Ohio</t>
  </si>
  <si>
    <t>Warren County, Ohio</t>
  </si>
  <si>
    <t>Washington County, Ohio</t>
  </si>
  <si>
    <t>Wayne County, Ohio</t>
  </si>
  <si>
    <t>Williams County, Ohio</t>
  </si>
  <si>
    <t>Wood County, Ohio</t>
  </si>
  <si>
    <t>Wyandot County, Ohio</t>
  </si>
  <si>
    <t>Adair County, Oklahoma</t>
  </si>
  <si>
    <t>Alfalfa County, Oklahoma</t>
  </si>
  <si>
    <t>Atoka County, Oklahoma</t>
  </si>
  <si>
    <t>Beaver County, Oklahoma</t>
  </si>
  <si>
    <t>Beckham County, Oklahoma</t>
  </si>
  <si>
    <t>Blaine County, Oklahoma</t>
  </si>
  <si>
    <t>Bryan County, Oklahoma</t>
  </si>
  <si>
    <t>Caddo County, Oklahoma</t>
  </si>
  <si>
    <t>Canadian County, Oklahoma</t>
  </si>
  <si>
    <t>Carter County, Oklahoma</t>
  </si>
  <si>
    <t>Cherokee County, Oklahoma</t>
  </si>
  <si>
    <t>Choctaw County, Oklahoma</t>
  </si>
  <si>
    <t>Cimarron County, Oklahoma</t>
  </si>
  <si>
    <t>Cleveland County, Oklahoma</t>
  </si>
  <si>
    <t>Coal County, Oklahoma</t>
  </si>
  <si>
    <t>Comanche County, Oklahoma</t>
  </si>
  <si>
    <t>Cotton County, Oklahoma</t>
  </si>
  <si>
    <t>Craig County, Oklahoma</t>
  </si>
  <si>
    <t>Creek County, Oklahoma</t>
  </si>
  <si>
    <t>Custer County, Oklahoma</t>
  </si>
  <si>
    <t>Delaware County, Oklahoma</t>
  </si>
  <si>
    <t>Dewey County, Oklahoma</t>
  </si>
  <si>
    <t>Ellis County, Oklahoma</t>
  </si>
  <si>
    <t>Garfield County, Oklahoma</t>
  </si>
  <si>
    <t>Garvin County, Oklahoma</t>
  </si>
  <si>
    <t>Grady County, Oklahoma</t>
  </si>
  <si>
    <t>Grant County, Oklahoma</t>
  </si>
  <si>
    <t>Greer County, Oklahoma</t>
  </si>
  <si>
    <t>Harmon County, Oklahoma</t>
  </si>
  <si>
    <t>Harper County, Oklahoma</t>
  </si>
  <si>
    <t>Haskell County, Oklahoma</t>
  </si>
  <si>
    <t>Hughes County, Oklahoma</t>
  </si>
  <si>
    <t>Jackson County, Oklahoma</t>
  </si>
  <si>
    <t>Jefferson County, Oklahoma</t>
  </si>
  <si>
    <t>Johnston County, Oklahoma</t>
  </si>
  <si>
    <t>Kay County, Oklahoma</t>
  </si>
  <si>
    <t>Kingfisher County, Oklahoma</t>
  </si>
  <si>
    <t>Kiowa County, Oklahoma</t>
  </si>
  <si>
    <t>Latimer County, Oklahoma</t>
  </si>
  <si>
    <t>Le Flore County, Oklahoma</t>
  </si>
  <si>
    <t>Lincoln County, Oklahoma</t>
  </si>
  <si>
    <t>Logan County, Oklahoma</t>
  </si>
  <si>
    <t>Love County, Oklahoma</t>
  </si>
  <si>
    <t>McClain County, Oklahoma</t>
  </si>
  <si>
    <t>McCurtain County, Oklahoma</t>
  </si>
  <si>
    <t>McIntosh County, Oklahoma</t>
  </si>
  <si>
    <t>Major County, Oklahoma</t>
  </si>
  <si>
    <t>Marshall County, Oklahoma</t>
  </si>
  <si>
    <t>Mayes County, Oklahoma</t>
  </si>
  <si>
    <t>Murray County, Oklahoma</t>
  </si>
  <si>
    <t>Muskogee County, Oklahoma</t>
  </si>
  <si>
    <t>Noble County, Oklahoma</t>
  </si>
  <si>
    <t>Nowata County, Oklahoma</t>
  </si>
  <si>
    <t>Okfuskee County, Oklahoma</t>
  </si>
  <si>
    <t>Oklahoma County, Oklahoma</t>
  </si>
  <si>
    <t>Okmulgee County, Oklahoma</t>
  </si>
  <si>
    <t>Osage County, Oklahoma</t>
  </si>
  <si>
    <t>Ottawa County, Oklahoma</t>
  </si>
  <si>
    <t>Pawnee County, Oklahoma</t>
  </si>
  <si>
    <t>Payne County, Oklahoma</t>
  </si>
  <si>
    <t>Pittsburg County, Oklahoma</t>
  </si>
  <si>
    <t>Pontotoc County, Oklahoma</t>
  </si>
  <si>
    <t>Pottawatomie County, Oklahoma</t>
  </si>
  <si>
    <t>Pushmataha County, Oklahoma</t>
  </si>
  <si>
    <t>Roger Mills County, Oklahoma</t>
  </si>
  <si>
    <t>Rogers County, Oklahoma</t>
  </si>
  <si>
    <t>Seminole County, Oklahoma</t>
  </si>
  <si>
    <t>Sequoyah County, Oklahoma</t>
  </si>
  <si>
    <t>Stephens County, Oklahoma</t>
  </si>
  <si>
    <t>Texas County, Oklahoma</t>
  </si>
  <si>
    <t>Tillman County, Oklahoma</t>
  </si>
  <si>
    <t>Tulsa County, Oklahoma</t>
  </si>
  <si>
    <t>Wagoner County, Oklahoma</t>
  </si>
  <si>
    <t>Washington County, Oklahoma</t>
  </si>
  <si>
    <t>Washita County, Oklahoma</t>
  </si>
  <si>
    <t>Woods County, Oklahoma</t>
  </si>
  <si>
    <t>Woodward County, Oklahoma</t>
  </si>
  <si>
    <t>Baker County, Oregon</t>
  </si>
  <si>
    <t>Benton County, Oregon</t>
  </si>
  <si>
    <t>Clackamas County, Oregon</t>
  </si>
  <si>
    <t>Clatsop County, Oregon</t>
  </si>
  <si>
    <t>Columbia County, Oregon</t>
  </si>
  <si>
    <t>Coos County, Oregon</t>
  </si>
  <si>
    <t>Crook County, Oregon</t>
  </si>
  <si>
    <t>Curry County, Oregon</t>
  </si>
  <si>
    <t>Deschutes County, Oregon</t>
  </si>
  <si>
    <t>Douglas County, Oregon</t>
  </si>
  <si>
    <t>Gilliam County, Oregon</t>
  </si>
  <si>
    <t>Grant County, Oregon</t>
  </si>
  <si>
    <t>Harney County, Oregon</t>
  </si>
  <si>
    <t>Hood River County, Oregon</t>
  </si>
  <si>
    <t>Jackson County, Oregon</t>
  </si>
  <si>
    <t>Jefferson County, Oregon</t>
  </si>
  <si>
    <t>Josephine County, Oregon</t>
  </si>
  <si>
    <t>Klamath County, Oregon</t>
  </si>
  <si>
    <t>Lake County, Oregon</t>
  </si>
  <si>
    <t>Lane County, Oregon</t>
  </si>
  <si>
    <t>Lincoln County, Oregon</t>
  </si>
  <si>
    <t>Linn County, Oregon</t>
  </si>
  <si>
    <t>Malheur County, Oregon</t>
  </si>
  <si>
    <t>Marion County, Oregon</t>
  </si>
  <si>
    <t>Morrow County, Oregon</t>
  </si>
  <si>
    <t>Multnomah County, Oregon</t>
  </si>
  <si>
    <t>Polk County, Oregon</t>
  </si>
  <si>
    <t>Sherman County, Oregon</t>
  </si>
  <si>
    <t>Tillamook County, Oregon</t>
  </si>
  <si>
    <t>Umatilla County, Oregon</t>
  </si>
  <si>
    <t>Union County, Oregon</t>
  </si>
  <si>
    <t>Wallowa County, Oregon</t>
  </si>
  <si>
    <t>Wasco County, Oregon</t>
  </si>
  <si>
    <t>Washington County, Oregon</t>
  </si>
  <si>
    <t>Wheeler County, Oregon</t>
  </si>
  <si>
    <t>Yamhill County, Oregon</t>
  </si>
  <si>
    <t>Adams County, Pennsylvania</t>
  </si>
  <si>
    <t>Allegheny County, Pennsylvania</t>
  </si>
  <si>
    <t>Armstrong County, Pennsylvania</t>
  </si>
  <si>
    <t>Beaver County, Pennsylvania</t>
  </si>
  <si>
    <t>Bedford County, Pennsylvania</t>
  </si>
  <si>
    <t>Berks County, Pennsylvania</t>
  </si>
  <si>
    <t>Blair County, Pennsylvania</t>
  </si>
  <si>
    <t>Bradford County, Pennsylvania</t>
  </si>
  <si>
    <t>Bucks County, Pennsylvania</t>
  </si>
  <si>
    <t>Butler County, Pennsylvania</t>
  </si>
  <si>
    <t>Cambria County, Pennsylvania</t>
  </si>
  <si>
    <t>Cameron County, Pennsylvania</t>
  </si>
  <si>
    <t>Carbon County, Pennsylvania</t>
  </si>
  <si>
    <t>Centre County, Pennsylvania</t>
  </si>
  <si>
    <t>Chester County, Pennsylvania</t>
  </si>
  <si>
    <t>Clarion County, Pennsylvania</t>
  </si>
  <si>
    <t>Clearfield County, Pennsylvania</t>
  </si>
  <si>
    <t>Clinton County, Pennsylvania</t>
  </si>
  <si>
    <t>Columbia County, Pennsylvania</t>
  </si>
  <si>
    <t>Crawford County, Pennsylvania</t>
  </si>
  <si>
    <t>Cumberland County, Pennsylvania</t>
  </si>
  <si>
    <t>Dauphin County, Pennsylvania</t>
  </si>
  <si>
    <t>Delaware County, Pennsylvania</t>
  </si>
  <si>
    <t>Elk County, Pennsylvania</t>
  </si>
  <si>
    <t>Erie County, Pennsylvania</t>
  </si>
  <si>
    <t>Fayette County, Pennsylvania</t>
  </si>
  <si>
    <t>Forest County, Pennsylvania</t>
  </si>
  <si>
    <t>Franklin County, Pennsylvania</t>
  </si>
  <si>
    <t>Fulton County, Pennsylvania</t>
  </si>
  <si>
    <t>Greene County, Pennsylvania</t>
  </si>
  <si>
    <t>Huntingdon County, Pennsylvania</t>
  </si>
  <si>
    <t>Indiana County, Pennsylvania</t>
  </si>
  <si>
    <t>Jefferson County, Pennsylvania</t>
  </si>
  <si>
    <t>Juniata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</si>
  <si>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</si>
  <si>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</si>
  <si>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</si>
  <si>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</si>
  <si>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</si>
  <si>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</si>
  <si>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</si>
  <si>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McKean County, Pennsylvania</t>
  </si>
  <si>
    <t>Mercer County, Pennsylvania</t>
  </si>
  <si>
    <t>Mifflin County, Pennsylvania</t>
  </si>
  <si>
    <t>Monroe County, Pennsylvania</t>
  </si>
  <si>
    <t>Montgomery County, Pennsylvania</t>
  </si>
  <si>
    <t>Montour County, Pennsylvania</t>
  </si>
  <si>
    <t>Northampton County, Pennsylvania</t>
  </si>
  <si>
    <t>Northumberland County, Pennsylvania</t>
  </si>
  <si>
    <t>Perry County, Pennsylvania</t>
  </si>
  <si>
    <t>Philadelphia County, Pennsylvania</t>
  </si>
  <si>
    <t>Pike County, Pennsylvania</t>
  </si>
  <si>
    <t>Potter County, Pennsylvania</t>
  </si>
  <si>
    <t>Schuylkill County, Pennsylvania</t>
  </si>
  <si>
    <t>Snyder County, Pennsylvania</t>
  </si>
  <si>
    <t>Somerset County, Pennsylvania</t>
  </si>
  <si>
    <t>Sullivan County, Pennsylvania</t>
  </si>
  <si>
    <t>Susquehanna County, Pennsylvania</t>
  </si>
  <si>
    <t>Tioga County, Pennsylvania</t>
  </si>
  <si>
    <t>Union County, Pennsylvania</t>
  </si>
  <si>
    <t>Venango County, Pennsylvania</t>
  </si>
  <si>
    <t>Warren County, Pennsylvania</t>
  </si>
  <si>
    <t>Washington County, Pennsylvania</t>
  </si>
  <si>
    <t>Wayne County, Pennsylvania</t>
  </si>
  <si>
    <t>Westmoreland County, Pennsylvania</t>
  </si>
  <si>
    <t>Wyoming County, Pennsylvania</t>
  </si>
  <si>
    <t>York County, Pennsylvania</t>
  </si>
  <si>
    <t>Bristol County, Rhode Island</t>
  </si>
  <si>
    <t>Kent County, Rhode Island</t>
  </si>
  <si>
    <t>Newport County, Rhode Island</t>
  </si>
  <si>
    <t>Providence County, Rhode Island</t>
  </si>
  <si>
    <t>Washington County, Rhode Island</t>
  </si>
  <si>
    <t>Abbeville County, South Carolina</t>
  </si>
  <si>
    <t>Aiken County, South Carolina</t>
  </si>
  <si>
    <t>Allendale County, South Carolina</t>
  </si>
  <si>
    <t>Anderson County, South Carolina</t>
  </si>
  <si>
    <t>Bamberg County, South Carolina</t>
  </si>
  <si>
    <t>Barnwell County, South Carolina</t>
  </si>
  <si>
    <t>Beaufort County, South Carolina</t>
  </si>
  <si>
    <t>Berkeley County, South Carolina</t>
  </si>
  <si>
    <t>Calhoun County, South Carolina</t>
  </si>
  <si>
    <t>Charleston County, South Carolina</t>
  </si>
  <si>
    <t>Cherokee County, South Carolina</t>
  </si>
  <si>
    <t>Chester County, South Carolina</t>
  </si>
  <si>
    <t>Chesterfield County, South Carolina</t>
  </si>
  <si>
    <t>Clarendon County, South Carolina</t>
  </si>
  <si>
    <t>Colleton County, South Carolina</t>
  </si>
  <si>
    <t>Darlington County, South Carolina</t>
  </si>
  <si>
    <t>Dillon County, South Carolina</t>
  </si>
  <si>
    <t>Dorchester County, South Carolina</t>
  </si>
  <si>
    <t>Edgefield County, South Carolina</t>
  </si>
  <si>
    <t>Fairfield County, South Carolina</t>
  </si>
  <si>
    <t>Florence County, South Carolina</t>
  </si>
  <si>
    <t>Georgetown County, South Carolina</t>
  </si>
  <si>
    <t>Greenville County, South Carolina</t>
  </si>
  <si>
    <t>Greenwood County, South Carolina</t>
  </si>
  <si>
    <t>Hampton County, South Carolina</t>
  </si>
  <si>
    <t>Horry County, South Carolina</t>
  </si>
  <si>
    <t>Jasper County, South Carolina</t>
  </si>
  <si>
    <t>Kershaw County, South Carolina</t>
  </si>
  <si>
    <t>Lancaster County, South Carolina</t>
  </si>
  <si>
    <t>Laurens County, South Carolina</t>
  </si>
  <si>
    <t>Lee County, South Carolina</t>
  </si>
  <si>
    <t>Lexington County, South Carolina</t>
  </si>
  <si>
    <t>McCormick County, South Carolina</t>
  </si>
  <si>
    <t>Marion County, South Carolina</t>
  </si>
  <si>
    <t>Marlboro County, South Carolina</t>
  </si>
  <si>
    <t>Newberry County, South Carolina</t>
  </si>
  <si>
    <t>Oconee County, South Carolina</t>
  </si>
  <si>
    <t>Orangeburg County, South Carolina</t>
  </si>
  <si>
    <t>Pickens County, South Carolina</t>
  </si>
  <si>
    <t>Richland County, South Carolina</t>
  </si>
  <si>
    <t>Saluda County, South Carolina</t>
  </si>
  <si>
    <t>Spartanburg County, South Carolina</t>
  </si>
  <si>
    <t>Sumter County, South Carolina</t>
  </si>
  <si>
    <t>Union County, South Carolina</t>
  </si>
  <si>
    <t>Williamsburg County, South Carolina</t>
  </si>
  <si>
    <t>York County, South Carolina</t>
  </si>
  <si>
    <t>Aurora County, South Dakota</t>
  </si>
  <si>
    <t>Beadle County, South Dakota</t>
  </si>
  <si>
    <t>Bennett County, South Dakota</t>
  </si>
  <si>
    <t>Bon Homme County, South Dakota</t>
  </si>
  <si>
    <t>Brookings County, South Dakota</t>
  </si>
  <si>
    <t>Brown County, South Dakota</t>
  </si>
  <si>
    <t>Brule County, South Dakota</t>
  </si>
  <si>
    <t>Buffalo County, South Dakota</t>
  </si>
  <si>
    <t>Butte County, South Dakota</t>
  </si>
  <si>
    <t>Campbell County, South Dakota</t>
  </si>
  <si>
    <t>Charles Mix County, South Dakota</t>
  </si>
  <si>
    <t>Clark County, South Dakota</t>
  </si>
  <si>
    <t>Clay County, South Dakota</t>
  </si>
  <si>
    <t>Codington County, South Dakota</t>
  </si>
  <si>
    <t>Corson County, South Dakota</t>
  </si>
  <si>
    <t>Custer County, South Dakota</t>
  </si>
  <si>
    <t>Davison County, South Dakota</t>
  </si>
  <si>
    <t>Day County, South Dakota</t>
  </si>
  <si>
    <t>Deuel County, South Dakota</t>
  </si>
  <si>
    <t>Dewey County, South Dakota</t>
  </si>
  <si>
    <t>Douglas County, South Dakota</t>
  </si>
  <si>
    <t>Edmunds County, South Dakota</t>
  </si>
  <si>
    <t>Fall River County, South Dakota</t>
  </si>
  <si>
    <t>Faulk County, South Dakota</t>
  </si>
  <si>
    <t>Grant County, South Dakota</t>
  </si>
  <si>
    <t>Gregory County, South Dakota</t>
  </si>
  <si>
    <t>Haakon County, South Dakota</t>
  </si>
  <si>
    <t>Hamlin County, South Dakota</t>
  </si>
  <si>
    <t>Hand County, South Dakota</t>
  </si>
  <si>
    <t>Hanson County, South Dakota</t>
  </si>
  <si>
    <t>Harding County, South Dakota</t>
  </si>
  <si>
    <t>Hughes County, South Dakota</t>
  </si>
  <si>
    <t>Hutchinson County, South Dakota</t>
  </si>
  <si>
    <t>Hyde County, South Dakota</t>
  </si>
  <si>
    <t>Jackson County, South Dakota</t>
  </si>
  <si>
    <t>Jerauld County, South Dakota</t>
  </si>
  <si>
    <t>Jones County, South Dakota</t>
  </si>
  <si>
    <t>Kingsbury County, South Dakota</t>
  </si>
  <si>
    <t>Lake County, South Dakota</t>
  </si>
  <si>
    <t>Lawrence County, South Dakota</t>
  </si>
  <si>
    <t>Lincoln County, South Dakota</t>
  </si>
  <si>
    <t>Lyman County, South Dakota</t>
  </si>
  <si>
    <t>McCook County, South Dakota</t>
  </si>
  <si>
    <t>McPherson County, South Dakota</t>
  </si>
  <si>
    <t>Marshall County, South Dakota</t>
  </si>
  <si>
    <t>Meade County, South Dakota</t>
  </si>
  <si>
    <t>Mellette County, South Dakota</t>
  </si>
  <si>
    <t>Miner County, South Dakota</t>
  </si>
  <si>
    <t>Minnehaha County, South Dakota</t>
  </si>
  <si>
    <t>Moody County, South Dakota</t>
  </si>
  <si>
    <t>Oglala Lakota County, South Dakota</t>
  </si>
  <si>
    <t>Pennington County, South Dakota</t>
  </si>
  <si>
    <t>Perkins County, South Dakota</t>
  </si>
  <si>
    <t>Potter County, South Dakota</t>
  </si>
  <si>
    <t>Roberts County, South Dakota</t>
  </si>
  <si>
    <t>Sanborn County, South Dakota</t>
  </si>
  <si>
    <t>Spink County, South Dakota</t>
  </si>
  <si>
    <t>Stanley County, South Dakota</t>
  </si>
  <si>
    <t>Sully County, South Dakota</t>
  </si>
  <si>
    <t>Todd County, South Dakota</t>
  </si>
  <si>
    <t>Tripp County, South Dakota</t>
  </si>
  <si>
    <t>Turner County, South Dakota</t>
  </si>
  <si>
    <t>Union County, South Dakota</t>
  </si>
  <si>
    <t>Walworth County, South Dakota</t>
  </si>
  <si>
    <t>Yankton County, South Dakota</t>
  </si>
  <si>
    <t>Ziebach County, South Dakota</t>
  </si>
  <si>
    <t>Anderson County, Tennessee</t>
  </si>
  <si>
    <t>Bedford County, Tennessee</t>
  </si>
  <si>
    <t>Benton County, Tennessee</t>
  </si>
  <si>
    <t>Bledsoe County, Tennessee</t>
  </si>
  <si>
    <t>Blount County, Tennessee</t>
  </si>
  <si>
    <t>Bradley County, Tennessee</t>
  </si>
  <si>
    <t>Campbell County, Tennessee</t>
  </si>
  <si>
    <t>Cannon County, Tennessee</t>
  </si>
  <si>
    <t>Carroll County, Tennessee</t>
  </si>
  <si>
    <t>Carter County, Tennessee</t>
  </si>
  <si>
    <t>Cheatham County, Tennessee</t>
  </si>
  <si>
    <t>Chester County, Tennessee</t>
  </si>
  <si>
    <t>Claiborne County, Tennessee</t>
  </si>
  <si>
    <t>Clay County, Tennessee</t>
  </si>
  <si>
    <t>Cocke County, Tennessee</t>
  </si>
  <si>
    <t>Coffee County, Tennessee</t>
  </si>
  <si>
    <t>Crockett County, Tennessee</t>
  </si>
  <si>
    <t>Cumberland County, Tennessee</t>
  </si>
  <si>
    <t>Davidson County, Tennessee</t>
  </si>
  <si>
    <t>Decatur County, Tennessee</t>
  </si>
  <si>
    <t>DeKalb County, Tennessee</t>
  </si>
  <si>
    <t>Dickson County, Tennessee</t>
  </si>
  <si>
    <t>Dyer County, Tennessee</t>
  </si>
  <si>
    <t>Fayette County, Tennessee</t>
  </si>
  <si>
    <t>Fentress County, Tennessee</t>
  </si>
  <si>
    <t>Franklin County, Tennessee</t>
  </si>
  <si>
    <t>Gibson County, Tennessee</t>
  </si>
  <si>
    <t>Giles County, Tennessee</t>
  </si>
  <si>
    <t>Grainger County, Tennessee</t>
  </si>
  <si>
    <t>Greene County, Tennessee</t>
  </si>
  <si>
    <t>Grundy County, Tennessee</t>
  </si>
  <si>
    <t>Hamblen County, Tennessee</t>
  </si>
  <si>
    <t>Hamilton County, Tennessee</t>
  </si>
  <si>
    <t>Hancock County, Tennessee</t>
  </si>
  <si>
    <t>Hardeman County, Tennessee</t>
  </si>
  <si>
    <t>Hardin County, Tennessee</t>
  </si>
  <si>
    <t>Hawkins County, Tennessee</t>
  </si>
  <si>
    <t>Haywood County, Tennessee</t>
  </si>
  <si>
    <t>Henderson County, Tennessee</t>
  </si>
  <si>
    <t>Henry County, Tennessee</t>
  </si>
  <si>
    <t>Hickman County, Tennessee</t>
  </si>
  <si>
    <t>Houston County, Tennessee</t>
  </si>
  <si>
    <t>Humphreys County, Tennessee</t>
  </si>
  <si>
    <t>Jackson County, Tennessee</t>
  </si>
  <si>
    <t>Jefferson County, Tennessee</t>
  </si>
  <si>
    <t>Johnson County, Tennessee</t>
  </si>
  <si>
    <t>Knox County, Tennessee</t>
  </si>
  <si>
    <t>Lake County, Tennessee</t>
  </si>
  <si>
    <t>Lauderdale County, Tennessee</t>
  </si>
  <si>
    <t>Lawrence County, Tennessee</t>
  </si>
  <si>
    <t>Lewis County, Tennessee</t>
  </si>
  <si>
    <t>Lincoln County, Tennessee</t>
  </si>
  <si>
    <t>Loudon County, Tennessee</t>
  </si>
  <si>
    <t>McMinn County, Tennessee</t>
  </si>
  <si>
    <t>McNairy County, Tennessee</t>
  </si>
  <si>
    <t>Macon County, Tennessee</t>
  </si>
  <si>
    <t>Madison County, Tennessee</t>
  </si>
  <si>
    <t>Marion County, Tennessee</t>
  </si>
  <si>
    <t>Marshall County, Tennessee</t>
  </si>
  <si>
    <t>Maury County, Tennessee</t>
  </si>
  <si>
    <t>Meigs County, Tennessee</t>
  </si>
  <si>
    <t>Monroe County, Tennessee</t>
  </si>
  <si>
    <t>Montgomery County, Tennessee</t>
  </si>
  <si>
    <t>Moore County, Tennessee</t>
  </si>
  <si>
    <t>Morgan County, Tennessee</t>
  </si>
  <si>
    <t>Obion County, Tennessee</t>
  </si>
  <si>
    <t>Overton County, Tennessee</t>
  </si>
  <si>
    <t>Perry County, Tennessee</t>
  </si>
  <si>
    <t>Pickett County, Tennessee</t>
  </si>
  <si>
    <t>Polk County, Tennessee</t>
  </si>
  <si>
    <t>Putnam County, Tennessee</t>
  </si>
  <si>
    <t>Rhea County, Tennessee</t>
  </si>
  <si>
    <t>Roane County, Tennessee</t>
  </si>
  <si>
    <t>Robertson County, Tennessee</t>
  </si>
  <si>
    <t>Rutherford County, Tennessee</t>
  </si>
  <si>
    <t>Scott County, Tennessee</t>
  </si>
  <si>
    <t>Sequatchie County, Tennessee</t>
  </si>
  <si>
    <t>Sevier County, Tennessee</t>
  </si>
  <si>
    <t>Shelby County, Tennessee</t>
  </si>
  <si>
    <t>Smith County, Tennessee</t>
  </si>
  <si>
    <t>Stewart County, Tennessee</t>
  </si>
  <si>
    <t>Sullivan County, Tennessee</t>
  </si>
  <si>
    <t>Sumner County, Tennessee</t>
  </si>
  <si>
    <t>Tipton County, Tennessee</t>
  </si>
  <si>
    <t>Trousdale County, Tennessee</t>
  </si>
  <si>
    <t>Unicoi County, Tennessee</t>
  </si>
  <si>
    <t>Union County, Tennessee</t>
  </si>
  <si>
    <t>Van Buren County, Tennessee</t>
  </si>
  <si>
    <t>Warren County, Tennessee</t>
  </si>
  <si>
    <t>Washington County, Tennessee</t>
  </si>
  <si>
    <t>Wayne County, Tennessee</t>
  </si>
  <si>
    <t>Weakley County, Tennessee</t>
  </si>
  <si>
    <t>White County, Tennessee</t>
  </si>
  <si>
    <t>Williamson County, Tennessee</t>
  </si>
  <si>
    <t>Wilson County, Tennessee</t>
  </si>
  <si>
    <t>Anderson County, Texas</t>
  </si>
  <si>
    <t>Andrews County, Texas</t>
  </si>
  <si>
    <t>Angelina County, Texas</t>
  </si>
  <si>
    <t>Aransas County, Texas</t>
  </si>
  <si>
    <t>Archer County, Texas</t>
  </si>
  <si>
    <t>Armstrong County, Texas</t>
  </si>
  <si>
    <t>Atascosa County, Texas</t>
  </si>
  <si>
    <t>Austin County, Texas</t>
  </si>
  <si>
    <t>Bailey County, Texas</t>
  </si>
  <si>
    <t>Bandera County, Texas</t>
  </si>
  <si>
    <t>Bastrop County, Texas</t>
  </si>
  <si>
    <t>Baylor County, Texas</t>
  </si>
  <si>
    <t>Bee County, Texas</t>
  </si>
  <si>
    <t>Bell County, Texas</t>
  </si>
  <si>
    <t>Bexar County, Texas</t>
  </si>
  <si>
    <t>Blanco County, Texas</t>
  </si>
  <si>
    <t>Borden County, Texas</t>
  </si>
  <si>
    <t>Bosque County, Texas</t>
  </si>
  <si>
    <t>Bowie County, Texas</t>
  </si>
  <si>
    <t>Brazoria County, Texas</t>
  </si>
  <si>
    <t>Brazos County, Texas</t>
  </si>
  <si>
    <t>Brewster County, Texas</t>
  </si>
  <si>
    <t>Briscoe County, Texas</t>
  </si>
  <si>
    <t>Brooks County, Texas</t>
  </si>
  <si>
    <t>Brown County, Texas</t>
  </si>
  <si>
    <t>Burleson County, Texas</t>
  </si>
  <si>
    <t>Burnet County, Texas</t>
  </si>
  <si>
    <t>Caldwell County, Texas</t>
  </si>
  <si>
    <t>Calhoun County, Texas</t>
  </si>
  <si>
    <t>Callahan County, Texas</t>
  </si>
  <si>
    <t>Cameron County, Texas</t>
  </si>
  <si>
    <t>Camp County, Texas</t>
  </si>
  <si>
    <t>Carson County, Texas</t>
  </si>
  <si>
    <t>Cass County, Texas</t>
  </si>
  <si>
    <t>Castro County, Texas</t>
  </si>
  <si>
    <t>Chambers County, Texas</t>
  </si>
  <si>
    <t>Cherokee County, Texas</t>
  </si>
  <si>
    <t>Childress County, Texas</t>
  </si>
  <si>
    <t>Clay County, Texas</t>
  </si>
  <si>
    <t>Cochran County, Texas</t>
  </si>
  <si>
    <t>Coke County, Texas</t>
  </si>
  <si>
    <t>Coleman County, Texas</t>
  </si>
  <si>
    <t>Collin County, Texas</t>
  </si>
  <si>
    <t>Collingsworth County, Texas</t>
  </si>
  <si>
    <t>Colorado County, Texas</t>
  </si>
  <si>
    <t>Comal County, Texas</t>
  </si>
  <si>
    <t>Comanche County, Texas</t>
  </si>
  <si>
    <t>Concho County, Texas</t>
  </si>
  <si>
    <t>Cooke County, Texas</t>
  </si>
  <si>
    <t>Coryell County, Texas</t>
  </si>
  <si>
    <t>Cottle County, Texas</t>
  </si>
  <si>
    <t>Crane County, Texas</t>
  </si>
  <si>
    <t>Crockett County, Texas</t>
  </si>
  <si>
    <t>Crosby County, Texas</t>
  </si>
  <si>
    <t>Culberson County, Texas</t>
  </si>
  <si>
    <t>Dallam County, Texas</t>
  </si>
  <si>
    <t>Dallas County, Texas</t>
  </si>
  <si>
    <t>Dawson County, Texas</t>
  </si>
  <si>
    <t>Deaf Smith County, Texas</t>
  </si>
  <si>
    <t>Delta County, Texas</t>
  </si>
  <si>
    <t>Denton County, Texas</t>
  </si>
  <si>
    <t>DeWitt County, Texas</t>
  </si>
  <si>
    <t>Dickens County, Texas</t>
  </si>
  <si>
    <t>Dimmit County, Texas</t>
  </si>
  <si>
    <t>Donley County, Texas</t>
  </si>
  <si>
    <t>Duval County, Texas</t>
  </si>
  <si>
    <t>Eastland County, Texas</t>
  </si>
  <si>
    <t>Ector County, Texas</t>
  </si>
  <si>
    <t>Edwards County, Texas</t>
  </si>
  <si>
    <t>Ellis County, Texas</t>
  </si>
  <si>
    <t>El Paso County, Texas</t>
  </si>
  <si>
    <t>Erath County, Texas</t>
  </si>
  <si>
    <t>Falls County, Texas</t>
  </si>
  <si>
    <t>Fannin County, Texas</t>
  </si>
  <si>
    <t>Fayette County, Texas</t>
  </si>
  <si>
    <t>Fisher County, Texas</t>
  </si>
  <si>
    <t>Floyd County, Texas</t>
  </si>
  <si>
    <t>Foard County, Texas</t>
  </si>
  <si>
    <t>Fort Bend County, Texas</t>
  </si>
  <si>
    <t>Franklin County, Texas</t>
  </si>
  <si>
    <t>Freestone County, Texas</t>
  </si>
  <si>
    <t>Frio County, Texas</t>
  </si>
  <si>
    <t>Gaines County, Texas</t>
  </si>
  <si>
    <t>Galveston County, Texas</t>
  </si>
  <si>
    <t>Garza County, Texas</t>
  </si>
  <si>
    <t>Gillespie County, Texas</t>
  </si>
  <si>
    <t>Glasscock County, Texas</t>
  </si>
  <si>
    <t>Goliad County, Texas</t>
  </si>
  <si>
    <t>Gonzales County, Texas</t>
  </si>
  <si>
    <t>Gray County, Texas</t>
  </si>
  <si>
    <t>Grayson County, Texas</t>
  </si>
  <si>
    <t>Gregg County, Texas</t>
  </si>
  <si>
    <t>Grimes County, Texas</t>
  </si>
  <si>
    <t>Guadalupe County, Texas</t>
  </si>
  <si>
    <t>Hale County, Texas</t>
  </si>
  <si>
    <t>Hall County, Texas</t>
  </si>
  <si>
    <t>Hamilton County, Texas</t>
  </si>
  <si>
    <t>Hansford County, Texas</t>
  </si>
  <si>
    <t>Hardeman County, Texas</t>
  </si>
  <si>
    <t>Hardin County, Texas</t>
  </si>
  <si>
    <t>Harris County, Texas</t>
  </si>
  <si>
    <t>Harrison County, Texas</t>
  </si>
  <si>
    <t>Hartley County, Texas</t>
  </si>
  <si>
    <t>Haskell County, Texas</t>
  </si>
  <si>
    <t>Hays County, Texas</t>
  </si>
  <si>
    <t>Hemphill County, Texas</t>
  </si>
  <si>
    <t>Henderson County, Texas</t>
  </si>
  <si>
    <t>Hidalgo County, Texas</t>
  </si>
  <si>
    <t>Hill County, Texas</t>
  </si>
  <si>
    <t>Hockley County, Texas</t>
  </si>
  <si>
    <t>Hood County, Texas</t>
  </si>
  <si>
    <t>Hopkins County, Texas</t>
  </si>
  <si>
    <t>Houston County, Texas</t>
  </si>
  <si>
    <t>Howard County, Texas</t>
  </si>
  <si>
    <t>Hudspeth County, Texas</t>
  </si>
  <si>
    <t>Hunt County, Texas</t>
  </si>
  <si>
    <t>Hutchinson County, Texas</t>
  </si>
  <si>
    <t>Irion County, Texas</t>
  </si>
  <si>
    <t>Jack County, Texas</t>
  </si>
  <si>
    <t>Jackson County, Texas</t>
  </si>
  <si>
    <t>Jasper County, Texas</t>
  </si>
  <si>
    <t>Jeff Davis County, Texas</t>
  </si>
  <si>
    <t>Jefferson County, Texas</t>
  </si>
  <si>
    <t>Jim Hogg County, Texas</t>
  </si>
  <si>
    <t>Jim Wells County, Texas</t>
  </si>
  <si>
    <t>Johnson County, Texas</t>
  </si>
  <si>
    <t>Jones County, Texas</t>
  </si>
  <si>
    <t>Karnes County, Texas</t>
  </si>
  <si>
    <t>Kaufman County, Texas</t>
  </si>
  <si>
    <t>Kendall County, Texas</t>
  </si>
  <si>
    <t>Kenedy County, Texas</t>
  </si>
  <si>
    <t>Kent County, Texas</t>
  </si>
  <si>
    <t>Kerr County, Texas</t>
  </si>
  <si>
    <t>Kimble County, Texas</t>
  </si>
  <si>
    <t>King County, Texas</t>
  </si>
  <si>
    <t>Kinney County, Texas</t>
  </si>
  <si>
    <t>Kleberg County, Texas</t>
  </si>
  <si>
    <t>Knox County, Texas</t>
  </si>
  <si>
    <t>Lamar County, Texas</t>
  </si>
  <si>
    <t>Lamb County, Texas</t>
  </si>
  <si>
    <t>Lampasas County, Texas</t>
  </si>
  <si>
    <t>La Salle County, Texas</t>
  </si>
  <si>
    <t>Lavaca County, Texas</t>
  </si>
  <si>
    <t>Lee County, Texas</t>
  </si>
  <si>
    <t>Leon County, Texas</t>
  </si>
  <si>
    <t>Liberty County, Texas</t>
  </si>
  <si>
    <t>Limestone County, Texas</t>
  </si>
  <si>
    <t>Lipscomb County, Texas</t>
  </si>
  <si>
    <t>Live Oak County, Texas</t>
  </si>
  <si>
    <t>Llano County, Texas</t>
  </si>
  <si>
    <t>Loving County, Texas</t>
  </si>
  <si>
    <t>Lubbock County, Texas</t>
  </si>
  <si>
    <t>Lynn County, Texas</t>
  </si>
  <si>
    <t>McCulloch County, Texas</t>
  </si>
  <si>
    <t>McLennan County, Texas</t>
  </si>
  <si>
    <t>McMullen County, Texas</t>
  </si>
  <si>
    <t>Madison County, Texas</t>
  </si>
  <si>
    <t>Marion County, Texas</t>
  </si>
  <si>
    <t>Martin County, Texas</t>
  </si>
  <si>
    <t>Mason County, Texas</t>
  </si>
  <si>
    <t>Matagorda County, Texas</t>
  </si>
  <si>
    <t>Maverick County, Texas</t>
  </si>
  <si>
    <t>Medina County, Texas</t>
  </si>
  <si>
    <t>Menard County, Texas</t>
  </si>
  <si>
    <t>Midland County, Texas</t>
  </si>
  <si>
    <t>Milam County, Texas</t>
  </si>
  <si>
    <t>Mills County, Texas</t>
  </si>
  <si>
    <t>Mitchell County, Texas</t>
  </si>
  <si>
    <t>Montague County, Texas</t>
  </si>
  <si>
    <t>Montgomery County, Texas</t>
  </si>
  <si>
    <t>Moore County, Texas</t>
  </si>
  <si>
    <t>Morris County, Texas</t>
  </si>
  <si>
    <t>Motley County, Texas</t>
  </si>
  <si>
    <t>Nacogdoches County, Texas</t>
  </si>
  <si>
    <t>Navarro County, Texas</t>
  </si>
  <si>
    <t>Newton County, Texas</t>
  </si>
  <si>
    <t>Nolan County, Texas</t>
  </si>
  <si>
    <t>Nueces County, Texas</t>
  </si>
  <si>
    <t>Ochiltree County, Texas</t>
  </si>
  <si>
    <t>Oldham County, Texas</t>
  </si>
  <si>
    <t>Orange County, Texas</t>
  </si>
  <si>
    <t>Palo Pinto County, Texas</t>
  </si>
  <si>
    <t>Panola County, Texas</t>
  </si>
  <si>
    <t>Parker County, Texas</t>
  </si>
  <si>
    <t>Parmer County, Texas</t>
  </si>
  <si>
    <t>Pecos County, Texas</t>
  </si>
  <si>
    <t>Polk County, Texas</t>
  </si>
  <si>
    <t>Potter County, Texas</t>
  </si>
  <si>
    <t>Presidio County, Texas</t>
  </si>
  <si>
    <t>Rains County, Texas</t>
  </si>
  <si>
    <t>Randall County, Texas</t>
  </si>
  <si>
    <t>Reagan County, Texas</t>
  </si>
  <si>
    <t>Real County, Texas</t>
  </si>
  <si>
    <t>Red River County, Texas</t>
  </si>
  <si>
    <t>Reeves County, Texas</t>
  </si>
  <si>
    <t>Refugio County, Texas</t>
  </si>
  <si>
    <t>Roberts County, Texas</t>
  </si>
  <si>
    <t>Robertson County, Texas</t>
  </si>
  <si>
    <t>Rockwall County, Texas</t>
  </si>
  <si>
    <t>Runnels County, Texas</t>
  </si>
  <si>
    <t>Rusk County, Texas</t>
  </si>
  <si>
    <t>Sabine County, Texas</t>
  </si>
  <si>
    <t>San Augustine County, Texas</t>
  </si>
  <si>
    <t>San Jacinto County, Texas</t>
  </si>
  <si>
    <t>San Patricio County, Texas</t>
  </si>
  <si>
    <t>San Saba County, Texas</t>
  </si>
  <si>
    <t>Schleicher County, Texas</t>
  </si>
  <si>
    <t>Scurry County, Texas</t>
  </si>
  <si>
    <t>Shackelford County, Texas</t>
  </si>
  <si>
    <t>Shelby County, Texas</t>
  </si>
  <si>
    <t>Sherman County, Texas</t>
  </si>
  <si>
    <t>Smith County, Texas</t>
  </si>
  <si>
    <t>Somervell County, Texas</t>
  </si>
  <si>
    <t>Starr County, Texas</t>
  </si>
  <si>
    <t>Stephens County, Texas</t>
  </si>
  <si>
    <t>Sterling County, Texas</t>
  </si>
  <si>
    <t>Stonewall County, Texas</t>
  </si>
  <si>
    <t>Sutton County, Texas</t>
  </si>
  <si>
    <t>Swisher County, Texas</t>
  </si>
  <si>
    <t>Tarrant County, Texas</t>
  </si>
  <si>
    <t>Taylor County, Texas</t>
  </si>
  <si>
    <t>Terrell County, Texas</t>
  </si>
  <si>
    <t>Terry County, Texas</t>
  </si>
  <si>
    <t>Throckmorton County, Texas</t>
  </si>
  <si>
    <t>Titus County, Texas</t>
  </si>
  <si>
    <t>Tom Green County, Texas</t>
  </si>
  <si>
    <t>Travis County, Texas</t>
  </si>
  <si>
    <t>Trinity County, Texas</t>
  </si>
  <si>
    <t>Tyler County, Texas</t>
  </si>
  <si>
    <t>Upshur County, Texas</t>
  </si>
  <si>
    <t>Upton County, Texas</t>
  </si>
  <si>
    <t>Uvalde County, Texas</t>
  </si>
  <si>
    <t>Val Verde County, Texas</t>
  </si>
  <si>
    <t>Van Zandt County, Texas</t>
  </si>
  <si>
    <t>Victoria County, Texas</t>
  </si>
  <si>
    <t>Walker County, Texas</t>
  </si>
  <si>
    <t>Waller County, Texas</t>
  </si>
  <si>
    <t>Ward County, Texas</t>
  </si>
  <si>
    <t>Washington County, Texas</t>
  </si>
  <si>
    <t>Webb County, Texas</t>
  </si>
  <si>
    <t>Wharton County, Texas</t>
  </si>
  <si>
    <t>Wheeler County, Texas</t>
  </si>
  <si>
    <t>Wichita County, Texas</t>
  </si>
  <si>
    <t>Wilbarger County, Texas</t>
  </si>
  <si>
    <t>Willacy County, Texas</t>
  </si>
  <si>
    <t>Williamson County, Texas</t>
  </si>
  <si>
    <t>Wilson County, Texas</t>
  </si>
  <si>
    <t>Winkler County, Texas</t>
  </si>
  <si>
    <t>Wise County, Texas</t>
  </si>
  <si>
    <t>Wood County, Texas</t>
  </si>
  <si>
    <t>Yoakum County, Texas</t>
  </si>
  <si>
    <t>Young County, Texas</t>
  </si>
  <si>
    <t>Zapata County, Texas</t>
  </si>
  <si>
    <t>Zavala County, Texas</t>
  </si>
  <si>
    <t>Beaver County, Utah</t>
  </si>
  <si>
    <t>Box Elder County, Utah</t>
  </si>
  <si>
    <t>Cache County, Utah</t>
  </si>
  <si>
    <t>Carbon County, Utah</t>
  </si>
  <si>
    <t>Daggett County, Utah</t>
  </si>
  <si>
    <t>Davis County, Utah</t>
  </si>
  <si>
    <t>Duchesne County, Utah</t>
  </si>
  <si>
    <t>Emery County, Utah</t>
  </si>
  <si>
    <t>Garfield County, Utah</t>
  </si>
  <si>
    <t>Grand County, Utah</t>
  </si>
  <si>
    <t>Iron County, Utah</t>
  </si>
  <si>
    <t>Juab County, Utah</t>
  </si>
  <si>
    <t>Kane County, Utah</t>
  </si>
  <si>
    <t>Millard County, Utah</t>
  </si>
  <si>
    <t>Morgan County, Utah</t>
  </si>
  <si>
    <t>Piute County, Utah</t>
  </si>
  <si>
    <t>Rich County, Utah</t>
  </si>
  <si>
    <t>Salt Lake County, Utah</t>
  </si>
  <si>
    <t>San Juan County, Utah</t>
  </si>
  <si>
    <t>Sanpete County, Utah</t>
  </si>
  <si>
    <t>Sevier County, Utah</t>
  </si>
  <si>
    <t>Summit County, Utah</t>
  </si>
  <si>
    <t>Tooele County, Utah</t>
  </si>
  <si>
    <t>Uintah County, Utah</t>
  </si>
  <si>
    <t>Utah County, Utah</t>
  </si>
  <si>
    <t>Wasatch County, Utah</t>
  </si>
  <si>
    <t>Washington County, Utah</t>
  </si>
  <si>
    <t>Wayne County, Utah</t>
  </si>
  <si>
    <t>Weber County, Utah</t>
  </si>
  <si>
    <t>Addison County, Vermont</t>
  </si>
  <si>
    <t>Bennington County, Vermont</t>
  </si>
  <si>
    <t>Caledonia County, Vermont</t>
  </si>
  <si>
    <t>Chittenden County, Vermont</t>
  </si>
  <si>
    <t>Essex County, Vermont</t>
  </si>
  <si>
    <t>Franklin County, Vermont</t>
  </si>
  <si>
    <t>Grand Isle County, Vermont</t>
  </si>
  <si>
    <t>Lamoille County, Vermont</t>
  </si>
  <si>
    <t>Orange County, Vermont</t>
  </si>
  <si>
    <t>Orleans County, Vermont</t>
  </si>
  <si>
    <t>Rutland County, Vermont</t>
  </si>
  <si>
    <t>Washington County, Vermont</t>
  </si>
  <si>
    <t>Windham County, Vermont</t>
  </si>
  <si>
    <t>Windsor County, Vermont</t>
  </si>
  <si>
    <t>Accomack County, Virginia</t>
  </si>
  <si>
    <t>Albemarle County, Virginia</t>
  </si>
  <si>
    <t>Alleghany County, Virginia</t>
  </si>
  <si>
    <t>Amelia County, Virginia</t>
  </si>
  <si>
    <t>Amherst County, Virginia</t>
  </si>
  <si>
    <t>Appomattox County, Virginia</t>
  </si>
  <si>
    <t>Arlington County, Virginia</t>
  </si>
  <si>
    <t>Augusta County, Virginia</t>
  </si>
  <si>
    <t>Bath County, Virginia</t>
  </si>
  <si>
    <t>Bedford County, Virginia</t>
  </si>
  <si>
    <t>Bland County, Virginia</t>
  </si>
  <si>
    <t>Botetourt County, Virginia</t>
  </si>
  <si>
    <t>Brunswick County, Virginia</t>
  </si>
  <si>
    <t>Buchanan County, Virginia</t>
  </si>
  <si>
    <t>Buckingham County, Virginia</t>
  </si>
  <si>
    <t>Campbell County, Virginia</t>
  </si>
  <si>
    <t>Caroline County, Virginia</t>
  </si>
  <si>
    <t>Carroll County, Virginia</t>
  </si>
  <si>
    <t>Charles City County, Virginia</t>
  </si>
  <si>
    <t>Charlotte County, Virginia</t>
  </si>
  <si>
    <t>Chesterfield County, Virginia</t>
  </si>
  <si>
    <t>Clarke County, Virginia</t>
  </si>
  <si>
    <t>Craig County, Virginia</t>
  </si>
  <si>
    <t>Culpeper County, Virginia</t>
  </si>
  <si>
    <t>Cumberland County, Virginia</t>
  </si>
  <si>
    <t>Dickenson County, Virginia</t>
  </si>
  <si>
    <t>Dinwiddie County, Virginia</t>
  </si>
  <si>
    <t>Essex County, Virginia</t>
  </si>
  <si>
    <t>Fairfax County, Virginia</t>
  </si>
  <si>
    <t>Fauquier County, Virginia</t>
  </si>
  <si>
    <t>Floyd County, Virginia</t>
  </si>
  <si>
    <t>Fluvanna County, Virginia</t>
  </si>
  <si>
    <t>Franklin County, Virginia</t>
  </si>
  <si>
    <t>Frederick County, Virginia</t>
  </si>
  <si>
    <t>Giles County, Virginia</t>
  </si>
  <si>
    <t>Gloucester County, Virginia</t>
  </si>
  <si>
    <t>Goochland County, Virginia</t>
  </si>
  <si>
    <t>Grayson County, Virginia</t>
  </si>
  <si>
    <t>Greene County, Virginia</t>
  </si>
  <si>
    <t>Greensville County, Virginia</t>
  </si>
  <si>
    <t>Halifax County, Virginia</t>
  </si>
  <si>
    <t>Hanover County, Virginia</t>
  </si>
  <si>
    <t>Henrico County, Virginia</t>
  </si>
  <si>
    <t>Henry County, Virginia</t>
  </si>
  <si>
    <t>Highland County, Virginia</t>
  </si>
  <si>
    <t>Isle of Wight County, Virginia</t>
  </si>
  <si>
    <t>James City County, Virginia</t>
  </si>
  <si>
    <t>King and Queen County, Virginia</t>
  </si>
  <si>
    <t>King George County, Virginia</t>
  </si>
  <si>
    <t>King William County, Virginia</t>
  </si>
  <si>
    <t>Lancaster County, Virginia</t>
  </si>
  <si>
    <t>Lee County, Virginia</t>
  </si>
  <si>
    <t>Loudoun County, Virginia</t>
  </si>
  <si>
    <t>Louisa County, Virginia</t>
  </si>
  <si>
    <t>Lunenburg County, Virginia</t>
  </si>
  <si>
    <t>Madison County, Virginia</t>
  </si>
  <si>
    <t>Mathews County, Virginia</t>
  </si>
  <si>
    <t>Mecklenburg County, Virginia</t>
  </si>
  <si>
    <t>Middlesex County, Virginia</t>
  </si>
  <si>
    <t>Montgomery County, Virginia</t>
  </si>
  <si>
    <t>Nelson County, Virginia</t>
  </si>
  <si>
    <t>New Kent County, Virginia</t>
  </si>
  <si>
    <t>Northampton County, Virginia</t>
  </si>
  <si>
    <t>Northumberland County, Virginia</t>
  </si>
  <si>
    <t>Nottoway County, Virginia</t>
  </si>
  <si>
    <t>Orange County, Virginia</t>
  </si>
  <si>
    <t>Page County, Virginia</t>
  </si>
  <si>
    <t>Patrick County, Virginia</t>
  </si>
  <si>
    <t>Pittsylvania County, Virginia</t>
  </si>
  <si>
    <t>Powhatan County, Virginia</t>
  </si>
  <si>
    <t>Prince Edward County, Virginia</t>
  </si>
  <si>
    <t>Prince George County, Virginia</t>
  </si>
  <si>
    <t>Prince William County, Virginia</t>
  </si>
  <si>
    <t>Pulaski County, Virginia</t>
  </si>
  <si>
    <t>Rappahannock County, Virginia</t>
  </si>
  <si>
    <t>Richmond County, Virginia</t>
  </si>
  <si>
    <t>Roanoke County, Virginia</t>
  </si>
  <si>
    <t>Rockbridge County, Virginia</t>
  </si>
  <si>
    <t>Rockingham County, Virginia</t>
  </si>
  <si>
    <t>Russell County, Virginia</t>
  </si>
  <si>
    <t>Scott County, Virginia</t>
  </si>
  <si>
    <t>Shenandoah County, Virginia</t>
  </si>
  <si>
    <t>Smyth County, Virginia</t>
  </si>
  <si>
    <t>Southampton County, Virginia</t>
  </si>
  <si>
    <t>Spotsylvania County, Virginia</t>
  </si>
  <si>
    <t>Stafford County, Virginia</t>
  </si>
  <si>
    <t>Surry County, Virginia</t>
  </si>
  <si>
    <t>Sussex County, Virginia</t>
  </si>
  <si>
    <t>Tazewell County, Virginia</t>
  </si>
  <si>
    <t>Warren County, Virginia</t>
  </si>
  <si>
    <t>Washington County, Virginia</t>
  </si>
  <si>
    <t>Westmoreland County, Virginia</t>
  </si>
  <si>
    <t>Wise County, Virginia</t>
  </si>
  <si>
    <t>Wythe County, Virginia</t>
  </si>
  <si>
    <t>York County, Virginia</t>
  </si>
  <si>
    <t>Alexandria city, Virginia</t>
  </si>
  <si>
    <t>Bristol city, Virginia</t>
  </si>
  <si>
    <t>Buena Vista city, Virginia</t>
  </si>
  <si>
    <t>Charlottesville city, Virginia</t>
  </si>
  <si>
    <t>Chesapeake city, Virginia</t>
  </si>
  <si>
    <t>Colonial Heights city, Virginia</t>
  </si>
  <si>
    <t>Covington city, Virginia</t>
  </si>
  <si>
    <t>Danville city, Virginia</t>
  </si>
  <si>
    <t>Emporia city, Virginia</t>
  </si>
  <si>
    <t>Fairfax city, Virginia</t>
  </si>
  <si>
    <t>Falls Church city, Virginia</t>
  </si>
  <si>
    <t>Franklin city, Virginia</t>
  </si>
  <si>
    <t>Fredericksburg city, Virginia</t>
  </si>
  <si>
    <t>Galax city, Virginia</t>
  </si>
  <si>
    <t>Hampton city, Virginia</t>
  </si>
  <si>
    <t>Harrisonburg city, Virginia</t>
  </si>
  <si>
    <t>Hopewell city, Virginia</t>
  </si>
  <si>
    <t>Lexington city, Virginia</t>
  </si>
  <si>
    <t>Lynchburg city, Virginia</t>
  </si>
  <si>
    <t>Manassas city, Virginia</t>
  </si>
  <si>
    <t>Manassas Park city, Virginia</t>
  </si>
  <si>
    <t>Martinsville city, Virginia</t>
  </si>
  <si>
    <t>Newport News city, Virginia</t>
  </si>
  <si>
    <t>Norfolk city, Virginia</t>
  </si>
  <si>
    <t>Norton city, Virginia</t>
  </si>
  <si>
    <t>Petersburg city, Virginia</t>
  </si>
  <si>
    <t>Poquoson city, Virginia</t>
  </si>
  <si>
    <t>Portsmouth city, Virginia</t>
  </si>
  <si>
    <t>Radford city, Virginia</t>
  </si>
  <si>
    <t>Richmond city, Virginia</t>
  </si>
  <si>
    <t>Roanoke city, Virginia</t>
  </si>
  <si>
    <t>Salem city, Virginia</t>
  </si>
  <si>
    <t>Staunton city, Virginia</t>
  </si>
  <si>
    <t>Suffolk city, Virginia</t>
  </si>
  <si>
    <t>Virginia Beach city, Virginia</t>
  </si>
  <si>
    <t>Waynesboro city, Virginia</t>
  </si>
  <si>
    <t>Williamsburg city, Virginia</t>
  </si>
  <si>
    <t>Winchester city, Virginia</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</si>
  <si>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</si>
  <si>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</si>
  <si>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</si>
  <si>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</si>
  <si>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</si>
  <si>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</si>
  <si>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</si>
  <si>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</si>
  <si>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</si>
  <si>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</si>
  <si>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</si>
  <si>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</si>
  <si>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</si>
  <si>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</si>
  <si>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</si>
  <si>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</si>
  <si>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</si>
  <si>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</si>
  <si>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</si>
  <si>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</si>
  <si>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</si>
  <si>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</si>
  <si>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</si>
  <si>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</si>
  <si>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</si>
  <si>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</si>
  <si>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</si>
  <si>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</si>
  <si>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</si>
  <si>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</si>
  <si>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</si>
  <si>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</si>
  <si>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</si>
  <si>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</si>
  <si>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</si>
  <si>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</si>
  <si>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</si>
  <si>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</si>
  <si>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</si>
  <si>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Barbour County, West Virginia</t>
  </si>
  <si>
    <t>Berkeley County, West Virginia</t>
  </si>
  <si>
    <t>Boone County, West Virginia</t>
  </si>
  <si>
    <t>Braxton County, West Virginia</t>
  </si>
  <si>
    <t>Brooke County, West Virginia</t>
  </si>
  <si>
    <t>Cabell County, West Virginia</t>
  </si>
  <si>
    <t>Calhoun County, West Virginia</t>
  </si>
  <si>
    <t>Clay County, West Virginia</t>
  </si>
  <si>
    <t>Doddridge County, West Virginia</t>
  </si>
  <si>
    <t>Fayette County, West Virginia</t>
  </si>
  <si>
    <t>Gilmer County, West Virginia</t>
  </si>
  <si>
    <t>Grant County, West Virginia</t>
  </si>
  <si>
    <t>Greenbrier County, West Virginia</t>
  </si>
  <si>
    <t>Hampshire County, West Virginia</t>
  </si>
  <si>
    <t>Hancock County, West Virginia</t>
  </si>
  <si>
    <t>Hardy County, West Virginia</t>
  </si>
  <si>
    <t>Harrison County, West Virginia</t>
  </si>
  <si>
    <t>Jackson County, West Virginia</t>
  </si>
  <si>
    <t>Jefferson County, West Virginia</t>
  </si>
  <si>
    <t>Kanawha County, West Virginia</t>
  </si>
  <si>
    <t>Lewis County, West Virginia</t>
  </si>
  <si>
    <t>Lincoln County, West Virginia</t>
  </si>
  <si>
    <t>Logan County, West Virginia</t>
  </si>
  <si>
    <t>McDowell County, West Virginia</t>
  </si>
  <si>
    <t>Marion County, West Virginia</t>
  </si>
  <si>
    <t>Marshall County, West Virginia</t>
  </si>
  <si>
    <t>Mason County, West Virginia</t>
  </si>
  <si>
    <t>Mercer County, West Virginia</t>
  </si>
  <si>
    <t>Mineral County, West Virginia</t>
  </si>
  <si>
    <t>Mingo County, West Virginia</t>
  </si>
  <si>
    <t>Monongalia County, West Virginia</t>
  </si>
  <si>
    <t>Monroe County, West Virginia</t>
  </si>
  <si>
    <t>Morgan County, West Virginia</t>
  </si>
  <si>
    <t>Nicholas County, West Virginia</t>
  </si>
  <si>
    <t>Ohio County, West Virginia</t>
  </si>
  <si>
    <t>Pendleton County, West Virginia</t>
  </si>
  <si>
    <t>Pleasants County, West Virginia</t>
  </si>
  <si>
    <t>Pocahontas County, West Virginia</t>
  </si>
  <si>
    <t>Preston County, West Virginia</t>
  </si>
  <si>
    <t>Putnam County, West Virginia</t>
  </si>
  <si>
    <t>Raleigh County, West Virginia</t>
  </si>
  <si>
    <t>Randolph County, West Virginia</t>
  </si>
  <si>
    <t>Ritchie County, West Virginia</t>
  </si>
  <si>
    <t>Roane County, West Virginia</t>
  </si>
  <si>
    <t>Summers County, West Virginia</t>
  </si>
  <si>
    <t>Taylor County, West Virginia</t>
  </si>
  <si>
    <t>Tucker County, West Virginia</t>
  </si>
  <si>
    <t>Tyler County, West Virginia</t>
  </si>
  <si>
    <t>Upshur County, West Virginia</t>
  </si>
  <si>
    <t>Wayne County, West Virginia</t>
  </si>
  <si>
    <t>Webster County, West Virginia</t>
  </si>
  <si>
    <t>Wetzel County, West Virginia</t>
  </si>
  <si>
    <t>Wirt County, West Virginia</t>
  </si>
  <si>
    <t>Wood County, West Virginia</t>
  </si>
  <si>
    <t>Wyoming County, West Virginia</t>
  </si>
  <si>
    <t>Adams County, Wisconsin</t>
  </si>
  <si>
    <t>Ashland County, Wisconsin</t>
  </si>
  <si>
    <t>Barron County, Wisconsin</t>
  </si>
  <si>
    <t>Bayfield County, Wisconsin</t>
  </si>
  <si>
    <t>Brown County, Wisconsin</t>
  </si>
  <si>
    <t>Buffalo County, Wisconsin</t>
  </si>
  <si>
    <t>Burnett County, Wisconsin</t>
  </si>
  <si>
    <t>Calumet County, Wisconsin</t>
  </si>
  <si>
    <t>Chippewa County, Wisconsin</t>
  </si>
  <si>
    <t>Clark County, Wisconsin</t>
  </si>
  <si>
    <t>Columbia County, Wisconsin</t>
  </si>
  <si>
    <t>Crawford County, Wisconsin</t>
  </si>
  <si>
    <t>Dane County, Wisconsin</t>
  </si>
  <si>
    <t>Dodge County, Wisconsin</t>
  </si>
  <si>
    <t>Door County, Wisconsin</t>
  </si>
  <si>
    <t>Douglas County, Wisconsin</t>
  </si>
  <si>
    <t>Dunn County, Wisconsin</t>
  </si>
  <si>
    <t>Eau Claire County, Wisconsin</t>
  </si>
  <si>
    <t>Florence County, Wisconsin</t>
  </si>
  <si>
    <t>Fond du Lac County, Wisconsin</t>
  </si>
  <si>
    <t>Forest County, Wisconsin</t>
  </si>
  <si>
    <t>Grant County, Wisconsin</t>
  </si>
  <si>
    <t>Green County, Wisconsin</t>
  </si>
  <si>
    <t>Green Lake County, Wisconsin</t>
  </si>
  <si>
    <t>Iowa County, Wisconsin</t>
  </si>
  <si>
    <t>Iron County, Wisconsin</t>
  </si>
  <si>
    <t>Jackson County, Wisconsin</t>
  </si>
  <si>
    <t>Jefferson County, Wisconsin</t>
  </si>
  <si>
    <t>Juneau County, Wisconsin</t>
  </si>
  <si>
    <t>Kenosha County, Wisconsin</t>
  </si>
  <si>
    <t>Kewaunee County, Wisconsin</t>
  </si>
  <si>
    <t>La Crosse County, Wisconsin</t>
  </si>
  <si>
    <t>Lafayette County, Wisconsin</t>
  </si>
  <si>
    <t>Langlade County, Wisconsin</t>
  </si>
  <si>
    <t>Lincoln County, Wisconsin</t>
  </si>
  <si>
    <t>Manitowoc County, Wisconsin</t>
  </si>
  <si>
    <t>Marathon County, Wisconsin</t>
  </si>
  <si>
    <t>Marinette County, Wisconsin</t>
  </si>
  <si>
    <t>Marquette County, Wisconsin</t>
  </si>
  <si>
    <t>Menominee County, Wisconsin</t>
  </si>
  <si>
    <t>Milwaukee County, Wisconsin</t>
  </si>
  <si>
    <t>Monroe County, Wisconsin</t>
  </si>
  <si>
    <t>Oconto County, Wisconsin</t>
  </si>
  <si>
    <t>Oneida County, Wisconsin</t>
  </si>
  <si>
    <t>Outagamie County, Wisconsin</t>
  </si>
  <si>
    <t>Ozaukee County, Wisconsin</t>
  </si>
  <si>
    <t>Pepin County, Wisconsin</t>
  </si>
  <si>
    <t>Pierce County, Wisconsin</t>
  </si>
  <si>
    <t>Polk County, Wisconsin</t>
  </si>
  <si>
    <t>Portage County, Wisconsin</t>
  </si>
  <si>
    <t>Price County, Wisconsin</t>
  </si>
  <si>
    <t>Racine County, Wisconsin</t>
  </si>
  <si>
    <t>Richland County, Wisconsin</t>
  </si>
  <si>
    <t>Rock County, Wisconsin</t>
  </si>
  <si>
    <t>Rusk County, Wisconsin</t>
  </si>
  <si>
    <t>St Croix County, Wisconsin</t>
  </si>
  <si>
    <t>Sauk County, Wisconsin</t>
  </si>
  <si>
    <t>Sawyer County, Wisconsin</t>
  </si>
  <si>
    <t>Shawano County, Wisconsin</t>
  </si>
  <si>
    <t>Sheboygan County, Wisconsin</t>
  </si>
  <si>
    <t>Taylor County, Wisconsin</t>
  </si>
  <si>
    <t>Trempealeau County, Wisconsin</t>
  </si>
  <si>
    <t>Vernon County, Wisconsin</t>
  </si>
  <si>
    <t>Vilas County, Wisconsin</t>
  </si>
  <si>
    <t>Walworth County, Wisconsin</t>
  </si>
  <si>
    <t>Washburn County, Wisconsin</t>
  </si>
  <si>
    <t>Washington County, Wisconsin</t>
  </si>
  <si>
    <t>Waukesha County, Wisconsin</t>
  </si>
  <si>
    <t>Waupaca County, Wisconsin</t>
  </si>
  <si>
    <t>Waushara County, Wisconsin</t>
  </si>
  <si>
    <t>Winnebago County, Wisconsin</t>
  </si>
  <si>
    <t>Wood County, Wisconsin</t>
  </si>
  <si>
    <t>Albany County, Wyoming</t>
  </si>
  <si>
    <t>Big Horn County, Wyoming</t>
  </si>
  <si>
    <t>Campbell County, Wyoming</t>
  </si>
  <si>
    <t>Carbon County, Wyoming</t>
  </si>
  <si>
    <t>Converse County, Wyoming</t>
  </si>
  <si>
    <t>Crook County, Wyoming</t>
  </si>
  <si>
    <t>Fremont County, Wyoming</t>
  </si>
  <si>
    <t>Goshen County, Wyoming</t>
  </si>
  <si>
    <t>Hot Springs County, Wyoming</t>
  </si>
  <si>
    <t>Johnson County, Wyoming</t>
  </si>
  <si>
    <t>Laramie County, Wyoming</t>
  </si>
  <si>
    <t>Lincoln County, Wyoming</t>
  </si>
  <si>
    <t>Natrona County, Wyoming</t>
  </si>
  <si>
    <t>Niobrara County, Wyoming</t>
  </si>
  <si>
    <t>Park County, Wyoming</t>
  </si>
  <si>
    <t>Platte County, Wyoming</t>
  </si>
  <si>
    <t>Sheridan County, Wyoming</t>
  </si>
  <si>
    <t>Sublette County, Wyoming</t>
  </si>
  <si>
    <t>Sweetwater County, Wyoming</t>
  </si>
  <si>
    <t>Teton County, Wyoming</t>
  </si>
  <si>
    <t>Uinta County, Wyoming</t>
  </si>
  <si>
    <t>Washakie County, Wyoming</t>
  </si>
  <si>
    <t>Weston County, Wyoming</t>
  </si>
  <si>
    <t>County Population</t>
  </si>
  <si>
    <t>% Reduction GWP100 Emissions 2022 [15 years]</t>
  </si>
  <si>
    <t>% Reduction GWP100 Emissions 2024 [15 years]</t>
  </si>
  <si>
    <t>% Reduction GWP100 Emissions 2026 [15 years]</t>
  </si>
  <si>
    <t>% Reduction GWP100 Emissions 2028 [15 years]</t>
  </si>
  <si>
    <t>% Reduction GWP100 Emissions 2030 [15 years]</t>
  </si>
  <si>
    <t>% Reduction GWP100 Emissions 2032 [15 years]</t>
  </si>
  <si>
    <t>% Reduction GWP100 Emissions 2034 [15 years]</t>
  </si>
  <si>
    <t>% Reduction GWP100 Emissions 2036 [15 years]</t>
  </si>
  <si>
    <t>Yavapai</t>
  </si>
  <si>
    <t>Del Norte</t>
  </si>
  <si>
    <t>Los Angeles</t>
  </si>
  <si>
    <t>Las Animas</t>
  </si>
  <si>
    <t>Fairfield</t>
  </si>
  <si>
    <t>New Castle</t>
  </si>
  <si>
    <t>Des Moines</t>
  </si>
  <si>
    <t>Woodbury</t>
  </si>
  <si>
    <t>St Clair</t>
  </si>
  <si>
    <t>Orleans</t>
  </si>
  <si>
    <t>Bossier</t>
  </si>
  <si>
    <t>St Louis</t>
  </si>
  <si>
    <t>Grand Traverse</t>
  </si>
  <si>
    <t>Doña Ana</t>
  </si>
  <si>
    <t>Santa Fe</t>
  </si>
  <si>
    <t>Multnomah</t>
  </si>
  <si>
    <t>Salt Lake</t>
  </si>
  <si>
    <t>Laramie</t>
  </si>
  <si>
    <t>Virginia Beach city</t>
  </si>
  <si>
    <t>CO2 Emission Reduction</t>
  </si>
  <si>
    <t>GWP20 Emission Reduction</t>
  </si>
  <si>
    <t>GWP100 Emission Reduction</t>
  </si>
  <si>
    <t>Conditioned space leakage</t>
  </si>
  <si>
    <t>For model</t>
  </si>
  <si>
    <t>Normalized Leakage (NL) Geometric mean</t>
  </si>
  <si>
    <t>Effective Leakage Area</t>
  </si>
  <si>
    <t>Area</t>
  </si>
  <si>
    <t>m</t>
  </si>
  <si>
    <t>Height</t>
  </si>
  <si>
    <t>Density</t>
  </si>
  <si>
    <t>kg/m3</t>
  </si>
  <si>
    <t>m2</t>
  </si>
  <si>
    <t>ACH50</t>
  </si>
  <si>
    <t>Q50</t>
  </si>
  <si>
    <t>m3/s</t>
  </si>
  <si>
    <t>Volume</t>
  </si>
  <si>
    <t>https://resdb.lbl.gov/main.php?step=2&amp;sub=&amp;run_env_model=&amp;dtype1=&amp;dtype2=&amp;is_ca=&amp;floor_area=&amp;house_height=&amp;year_built=&amp;wap=&amp;ee_home=&amp;region=&amp;zone=</t>
  </si>
  <si>
    <t>in2</t>
  </si>
  <si>
    <t>per floor</t>
  </si>
  <si>
    <t>AC Furnace Fan Energy During Heating [J]</t>
  </si>
  <si>
    <t>2020 CO2 GHG from AC Furnace Fan During Heating [kg]</t>
  </si>
  <si>
    <t>2022 CO2 GHG from AC Furnace Fan During Heating [kg]</t>
  </si>
  <si>
    <t>2024 CO2 GHG from AC Furnace Fan During Heating [kg]</t>
  </si>
  <si>
    <t>2026 CO2 GHG from AC Furnace Fan During Heating [kg]</t>
  </si>
  <si>
    <t>2028 CO2 GHG from AC Furnace Fan During Heating [kg]</t>
  </si>
  <si>
    <t>2030 CO2 GHG from AC Furnace Fan During Heating [kg]</t>
  </si>
  <si>
    <t>2032 CO2 GHG from AC Furnace Fan During Heating [kg]</t>
  </si>
  <si>
    <t>2034 CO2 GHG from AC Furnace Fan During Heating [kg]</t>
  </si>
  <si>
    <t>2036 CO2 GHG from AC Furnace Fan During Heating [kg]</t>
  </si>
  <si>
    <t>2038 CO2 GHG from AC Furnace Fan During Heating [kg]</t>
  </si>
  <si>
    <t>2040 CO2 GHG from AC Furnace Fan During Heating [kg]</t>
  </si>
  <si>
    <t>2042 CO2 GHG from AC Furnace Fan During Heating [kg]</t>
  </si>
  <si>
    <t>2044 CO2 GHG from AC Furnace Fan During Heating [kg]</t>
  </si>
  <si>
    <t>2046 CO2 GHG from AC Furnace Fan During Heating [kg]</t>
  </si>
  <si>
    <t>2048 CO2 GHG from AC Furnace Fan During Heating [kg]</t>
  </si>
  <si>
    <t>2050 CO2 GHG from AC Furnace Fan During Heating [kg]</t>
  </si>
  <si>
    <t>HP Fan Energy During Heating [J]</t>
  </si>
  <si>
    <t>2020 CO2 GHG from HP Fan During Heating [kg]</t>
  </si>
  <si>
    <t>2022 CO2 GHG from HP Fan During Heating [kg]</t>
  </si>
  <si>
    <t>2024 CO2 GHG from HP Fan During Heating [kg]</t>
  </si>
  <si>
    <t>2026 CO2 GHG from HP Fan During Heating [kg]</t>
  </si>
  <si>
    <t>2028 CO2 GHG from HP Fan During Heating [kg]</t>
  </si>
  <si>
    <t>2030 CO2 GHG from HP Fan During Heating [kg]</t>
  </si>
  <si>
    <t>2032 CO2 GHG from HP Fan During Heating [kg]</t>
  </si>
  <si>
    <t>2034 CO2 GHG from HP Fan During Heating [kg]</t>
  </si>
  <si>
    <t>2036 CO2 GHG from HP Fan During Heating [kg]</t>
  </si>
  <si>
    <t>2038 CO2 GHG from HP Fan During Heating [kg]</t>
  </si>
  <si>
    <t>2040 CO2 GHG from HP Fan During Heating [kg]</t>
  </si>
  <si>
    <t>2042 CO2 GHG from HP Fan During Heating [kg]</t>
  </si>
  <si>
    <t>2044 CO2 GHG from HP Fan During Heating [kg]</t>
  </si>
  <si>
    <t>2046 CO2 GHG from HP Fan During Heating [kg]</t>
  </si>
  <si>
    <t>2048 CO2 GHG from HP Fan During Heating [kg]</t>
  </si>
  <si>
    <t>2050 CO2 GHG from HP Fan During Heating [kg]</t>
  </si>
  <si>
    <t>CA_SAN-JOSE-IAP_724945_TY3A</t>
  </si>
  <si>
    <t>Once 98.5% of population has adopted AC assume AC adoption is 100%</t>
  </si>
  <si>
    <t>Scenario</t>
  </si>
  <si>
    <t>Gas Furnace</t>
  </si>
  <si>
    <t>HP</t>
  </si>
  <si>
    <t>CO2 Electricity (Air Handler Fan)</t>
  </si>
  <si>
    <t>CO2 Electricity (Electric Resistance)</t>
  </si>
  <si>
    <t>GWP20 Refrigerant Leakage</t>
  </si>
  <si>
    <t>GWP100 Refrigerant Leakage</t>
  </si>
  <si>
    <t>San-Jose</t>
  </si>
  <si>
    <t>Santa Clara</t>
  </si>
  <si>
    <t>Natural Gas CO2 GHG for AC Furnace [kg] [15 years]  [2022]</t>
  </si>
  <si>
    <t>CO2 GHG for NG Furnace  Electric Fan [kg] [15 years] [2022]</t>
  </si>
  <si>
    <t>CO2 GHG for NG Furnace  Electric Fan [kg] [15 years] [2024]</t>
  </si>
  <si>
    <t>CO2 GHG for NG Furnace  Electric Fan [kg] [15 years] [2026]</t>
  </si>
  <si>
    <t>CO2 GHG for NG Furnace  Electric Fan [kg] [15 years] [2028]</t>
  </si>
  <si>
    <t>CO2 GHG for NG Furnace  Electric Fan [kg] [15 years] [2030]</t>
  </si>
  <si>
    <t>CO2 GHG for NG Furnace  Electric Fan [kg] [15 years] [2032]</t>
  </si>
  <si>
    <t>CO2 GHG for NG Furnace  Electric Fan [kg] [15 years] [2034]</t>
  </si>
  <si>
    <t>CO2 GHG for NG Furnace  Electric Fan [kg] [15 years] [2036]</t>
  </si>
  <si>
    <t>Electric CO2 GHG for HP Fan [kg] 2022 [15 years]</t>
  </si>
  <si>
    <t>Electric CO2 GHG for HP Fan [kg] 2024 [15 years]</t>
  </si>
  <si>
    <t>Electric CO2 GHG for HP Fan [kg] 2026 [15 years]</t>
  </si>
  <si>
    <t>Electric CO2 GHG for HP Fan [kg] 2028 [15 years]</t>
  </si>
  <si>
    <t>Electric CO2 GHG for HP Fan [kg] 2030 [15 years]</t>
  </si>
  <si>
    <t>Electric CO2 GHG for HP Fan [kg] 2032 [15 years]</t>
  </si>
  <si>
    <t>Electric CO2 GHG for HP Fan [kg] 2034 [15 years]</t>
  </si>
  <si>
    <t>Electric CO2 GHG for HP Fan [kg] 2036 [15 years]</t>
  </si>
  <si>
    <t>Electric CO2 GHG for HP Comp [kg] 2022 [15 years]</t>
  </si>
  <si>
    <t>Electric CO2 GHG for HP Comp [kg] 2024 [15 years]</t>
  </si>
  <si>
    <t>Electric CO2 GHG for HP Comp [kg] 2026 [15 years]</t>
  </si>
  <si>
    <t>Electric CO2 GHG for HP Comp [kg] 2028 [15 years]</t>
  </si>
  <si>
    <t>Electric CO2 GHG for HP Comp [kg] 2030 [15 years]</t>
  </si>
  <si>
    <t>Electric CO2 GHG for HP Comp [kg] 2032 [15 years]</t>
  </si>
  <si>
    <t>Electric CO2 GHG for HP Comp [kg] 2034 [15 years]</t>
  </si>
  <si>
    <t>Electric CO2 GHG for HP Comp [kg] 2036 [15 years]</t>
  </si>
  <si>
    <t>Electric CO2 GHG for HP Elec Resistance [kg] 2022 [15 years]</t>
  </si>
  <si>
    <t>Electric CO2 GHG for HP Elec Resistance [kg] 2024 [15 years]</t>
  </si>
  <si>
    <t>Electric CO2 GHG for HP Elec Resistance [kg] 2026 [15 years]</t>
  </si>
  <si>
    <t>Electric CO2 GHG for HP Elec Resistance [kg] 2028 [15 years]</t>
  </si>
  <si>
    <t>Electric CO2 GHG for HP Elec Resistance [kg] 2030 [15 years]</t>
  </si>
  <si>
    <t>Electric CO2 GHG for HP Elec Resistance [kg] 2032 [15 years]</t>
  </si>
  <si>
    <t>Electric CO2 GHG for HP Elec Resistance [kg] 2034 [15 years]</t>
  </si>
  <si>
    <t>Electric CO2 GHG for HP Elec Resistance [kg] 2036 [15 years]</t>
  </si>
  <si>
    <t>CO2 Natural Gas Combustion</t>
  </si>
  <si>
    <t>2022 HP</t>
  </si>
  <si>
    <t>2022 GF</t>
  </si>
  <si>
    <t>2024 GF</t>
  </si>
  <si>
    <t>2026 GF</t>
  </si>
  <si>
    <t>2028 GF</t>
  </si>
  <si>
    <t>2030 GF</t>
  </si>
  <si>
    <t>2032 GF</t>
  </si>
  <si>
    <t>2034 GF</t>
  </si>
  <si>
    <t>2036 GF</t>
  </si>
  <si>
    <t>2024 HP</t>
  </si>
  <si>
    <t>2026 HP</t>
  </si>
  <si>
    <t>2028 HP</t>
  </si>
  <si>
    <t>2030 HP</t>
  </si>
  <si>
    <t>2032 HP</t>
  </si>
  <si>
    <t>2034 HP</t>
  </si>
  <si>
    <t>2036 HP</t>
  </si>
  <si>
    <t>Region</t>
  </si>
  <si>
    <t>Southeast</t>
  </si>
  <si>
    <t>Southwest</t>
  </si>
  <si>
    <t>Pacific</t>
  </si>
  <si>
    <t>Rocky Mountains</t>
  </si>
  <si>
    <t>Northeast</t>
  </si>
  <si>
    <t>Midwest</t>
  </si>
  <si>
    <t>US</t>
  </si>
  <si>
    <t>AC Adoption</t>
  </si>
  <si>
    <t>CO2 Electricity (HP Compressor)</t>
  </si>
  <si>
    <t>AZ_KINGMAN_AMOS_723700_TY3A</t>
  </si>
  <si>
    <t>KS_HAYS-MUNI_AWOS_724518_TY3A</t>
  </si>
  <si>
    <t>UT_ST-GEORGE_AWOS_724754_TY3A</t>
  </si>
  <si>
    <t>Leak Rate (%) Production</t>
  </si>
  <si>
    <t>Leak Rate (Downsteam of Meter)</t>
  </si>
  <si>
    <t>Total Leak Rate</t>
  </si>
  <si>
    <t>SF6 emissions annually</t>
  </si>
  <si>
    <t>tonnes</t>
  </si>
  <si>
    <t>kG</t>
  </si>
  <si>
    <t>Joules</t>
  </si>
  <si>
    <t>kG/Joule</t>
  </si>
  <si>
    <t>SF6 Emission Rate</t>
  </si>
  <si>
    <t>Average US heating elec end use (J)</t>
  </si>
  <si>
    <t>SF6 emissions annually per home</t>
  </si>
  <si>
    <t>GWP20- Value</t>
  </si>
  <si>
    <t>GWP100 - Value</t>
  </si>
  <si>
    <t>https://unfccc.int/process/transparency-and-reporting/greenhouse-gas-data/greenhouse-gas-data-unfccc/global-warming-potentials</t>
  </si>
  <si>
    <t>kg C02 eq</t>
  </si>
  <si>
    <t>Global end use electricity in J in 2018</t>
  </si>
  <si>
    <t>wikipedia</t>
  </si>
  <si>
    <t>USA total electicity use</t>
  </si>
  <si>
    <t>kwh</t>
  </si>
  <si>
    <t>kt of GWP100 CO2</t>
  </si>
  <si>
    <t>USA- sf6 emissions</t>
  </si>
  <si>
    <t>Sf6 emissions/kwh</t>
  </si>
  <si>
    <t>kg/kWh</t>
  </si>
  <si>
    <t>https://www.eia.gov/electricity/annual/html/epa_01_02.html</t>
  </si>
  <si>
    <t>https://www.eia.gov/tools/faqs/faq.php?id=97&amp;t=3</t>
  </si>
  <si>
    <t>Average electricity use/ household</t>
  </si>
  <si>
    <t>kWh</t>
  </si>
  <si>
    <t>kg CO2 eq</t>
  </si>
  <si>
    <t>Annual Sf6 emission/household- GWP100</t>
  </si>
  <si>
    <t>http://data.un.org/Data.aspx?d=GHG&amp;f=seriesID%3ASF6</t>
  </si>
  <si>
    <t>For 15 year life - GWP100</t>
  </si>
  <si>
    <t>2020 AC Furnace natural gas consumed for electricity produced [J]</t>
  </si>
  <si>
    <t>2022 AC Furnace natural gas consumed for electricity produced [J]</t>
  </si>
  <si>
    <t>2024 AC Furnace natural gas consumed for electricity produced [J]</t>
  </si>
  <si>
    <t>2026 AC Furnace natural gas consumed for electricity produced [J]</t>
  </si>
  <si>
    <t>2028 AC Furnace natural gas consumed for electricity produced [J]</t>
  </si>
  <si>
    <t>2030 AC Furnace natural gas consumed for electricity produced [J]</t>
  </si>
  <si>
    <t>2032 AC Furnace natural gas consumed for electricity produced [J]</t>
  </si>
  <si>
    <t>2034 AC Furnace natural gas consumed for electricity produced [J]</t>
  </si>
  <si>
    <t>2036 AC Furnace natural gas consumed for electricity produced [J]</t>
  </si>
  <si>
    <t>2038 AC Furnace natural gas consumed for electricity produced [J]</t>
  </si>
  <si>
    <t>2040 AC Furnace natural gas consumed for electricity produced [J]</t>
  </si>
  <si>
    <t>2042 AC Furnace natural gas consumed for electricity produced [J]</t>
  </si>
  <si>
    <t>2044 AC Furnace natural gas consumed for electricity produced [J]</t>
  </si>
  <si>
    <t>2046 AC Furnace natural gas consumed for electricity produced [J]</t>
  </si>
  <si>
    <t>2048 AC Furnace natural gas consumed for electricity produced [J]</t>
  </si>
  <si>
    <t>2050 AC Furnace natural gas consumed for electricity produced [J]</t>
  </si>
  <si>
    <t>2020 HP natural gas consumed for electricity produced [J]</t>
  </si>
  <si>
    <t>2022 HP natural gas consumed for electricity produced [J]</t>
  </si>
  <si>
    <t>2024 HP natural gas consumed for electricity produced [J]</t>
  </si>
  <si>
    <t>2026 HP natural gas consumed for electricity produced [J]</t>
  </si>
  <si>
    <t>2028 HP natural gas consumed for electricity produced [J]</t>
  </si>
  <si>
    <t>2030 HP natural gas consumed for electricity produced [J]</t>
  </si>
  <si>
    <t>2032 HP natural gas consumed for electricity produced [J]</t>
  </si>
  <si>
    <t>2034 HP natural gas consumed for electricity produced [J]</t>
  </si>
  <si>
    <t>2036 HP natural gas consumed for electricity produced [J]</t>
  </si>
  <si>
    <t>2038 HP natural gas consumed for electricity produced [J]</t>
  </si>
  <si>
    <t>2040 HP natural gas consumed for electricity produced [J]</t>
  </si>
  <si>
    <t>2042 HP natural gas consumed for electricity produced [J]</t>
  </si>
  <si>
    <t>2044 HP natural gas consumed for electricity produced [J]</t>
  </si>
  <si>
    <t>2046 HP natural gas consumed for electricity produced [J]</t>
  </si>
  <si>
    <t>2048 HP natural gas consumed for electricity produced [J]</t>
  </si>
  <si>
    <t>2050 HP natural gas consumed for electricity produced [J]</t>
  </si>
  <si>
    <t>Methane Leak GWP100 Electricity Production for HP [kg] 2022 [15 year]</t>
  </si>
  <si>
    <t>Methane Leak GWP100 Electricity Production for HP [kg] 2024 [15 year]</t>
  </si>
  <si>
    <t>Methane Leak GWP100 Electricity Production for HP [kg] 2026 [15 year]</t>
  </si>
  <si>
    <t>Methane Leak GWP100 Electricity Production for HP [kg] 2028 [15 year]</t>
  </si>
  <si>
    <t>Methane Leak GWP100 Electricity Production for HP [kg] 2030 [15 year]</t>
  </si>
  <si>
    <t>Methane Leak GWP100 Electricity Production for HP [kg] 2032 [15 year]</t>
  </si>
  <si>
    <t>Methane Leak GWP100 Electricity Production for HP [kg] 2034 [15 year]</t>
  </si>
  <si>
    <t>Methane Leak GWP100 Electricity Production for HP [kg] 2036 [15 year]</t>
  </si>
  <si>
    <t>Methane Leak Amount Electricity Production for HP [kg] 2022 [15 year]</t>
  </si>
  <si>
    <t>Methane Leak Amount Electricity Production for HP [kg] 2024 [15 year]</t>
  </si>
  <si>
    <t>Methane Leak Amount Electricity Production for HP [kg] 2026 [15 year]</t>
  </si>
  <si>
    <t>Methane Leak Amount Electricity Production for HP [kg] 2028 [15 year]</t>
  </si>
  <si>
    <t>Methane Leak Amount Electricity Production for HP [kg] 2030 [15 year]</t>
  </si>
  <si>
    <t>Methane Leak Amount Electricity Production for HP [kg] 2032 [15 year]</t>
  </si>
  <si>
    <t>Methane Leak Amount Electricity Production for HP [kg] 2034 [15 year]</t>
  </si>
  <si>
    <t>Methane Leak Amount Electricity Production for HP [kg] 2036 [15 year]</t>
  </si>
  <si>
    <t>Methane Leak GWP20 Electricity Production for HP [kg] 2022 [15 year]</t>
  </si>
  <si>
    <t>Methane Leak GWP20 Electricity Production for HP [kg] 2024 [15 year]</t>
  </si>
  <si>
    <t>Methane Leak GWP20 Electricity Production for HP [kg] 2026 [15 year]</t>
  </si>
  <si>
    <t>Methane Leak GWP20 Electricity Production for HP [kg] 2028 [15 year]</t>
  </si>
  <si>
    <t>Methane Leak GWP20 Electricity Production for HP [kg] 2030 [15 year]</t>
  </si>
  <si>
    <t>Methane Leak GWP20 Electricity Production for HP [kg] 2032 [15 year]</t>
  </si>
  <si>
    <t>Methane Leak GWP20 Electricity Production for HP [kg] 2034 [15 year]</t>
  </si>
  <si>
    <t>Methane Leak GWP20 Electricity Production for HP [kg] 2036 [15 year]</t>
  </si>
  <si>
    <t>Methane Leak Amount Electricity Production for GF Fan [kg] 2022 [15 year]</t>
  </si>
  <si>
    <t>Methane Leak Amount Electricity Production for GF Fan [kg] 2024 [15 year]</t>
  </si>
  <si>
    <t>Methane Leak Amount Electricity Production for GF Fan [kg] 2026 [15 year]</t>
  </si>
  <si>
    <t>Methane Leak Amount Electricity Production for GF Fan [kg] 2028 [15 year]</t>
  </si>
  <si>
    <t>Methane Leak Amount Electricity Production for GF Fan [kg] 2030 [15 year]</t>
  </si>
  <si>
    <t>Methane Leak Amount Electricity Production for GF Fan [kg] 2032 [15 year]</t>
  </si>
  <si>
    <t>Methane Leak Amount Electricity Production for GF Fan [kg] 2034 [15 year]</t>
  </si>
  <si>
    <t>Methane Leak Amount Electricity Production for GF Fan [kg] 2036 [15 year]</t>
  </si>
  <si>
    <t>Methane Leak GWP20 Electricity Production for GF Fan [kg] 2022 [15 year]</t>
  </si>
  <si>
    <t>Methane Leak GWP20 Electricity Production for GF Fan [kg] 2024 [15 year]</t>
  </si>
  <si>
    <t>Methane Leak GWP20 Electricity Production for GF Fan [kg] 2026 [15 year]</t>
  </si>
  <si>
    <t>Methane Leak GWP20 Electricity Production for GF Fan [kg] 2028 [15 year]</t>
  </si>
  <si>
    <t>Methane Leak GWP20 Electricity Production for GF Fan [kg] 2030 [15 year]</t>
  </si>
  <si>
    <t>Methane Leak GWP20 Electricity Production for GF Fan [kg] 2032 [15 year]</t>
  </si>
  <si>
    <t>Methane Leak GWP20 Electricity Production for GF Fan [kg] 2034 [15 year]</t>
  </si>
  <si>
    <t>Methane Leak GWP20 Electricity Production for GF Fan [kg] 2036 [15 year]</t>
  </si>
  <si>
    <t>Methane Leak GWP100 Electricity Production for GF Fan [kg] 2022 [15 year]</t>
  </si>
  <si>
    <t>Methane Leak GWP100 Electricity Production for GF Fan [kg] 2024 [15 year]</t>
  </si>
  <si>
    <t>Methane Leak GWP100 Electricity Production for GF Fan [kg] 2026 [15 year]</t>
  </si>
  <si>
    <t>Methane Leak GWP100 Electricity Production for GF Fan [kg] 2028 [15 year]</t>
  </si>
  <si>
    <t>Methane Leak GWP100 Electricity Production for GF Fan [kg] 2030 [15 year]</t>
  </si>
  <si>
    <t>Methane Leak GWP100 Electricity Production for GF Fan [kg] 2032 [15 year]</t>
  </si>
  <si>
    <t>Methane Leak GWP100 Electricity Production for GF Fan [kg] 2034 [15 year]</t>
  </si>
  <si>
    <t>Methane Leak GWP100 Electricity Production for GF Fan [kg] 2036 [15 year]</t>
  </si>
  <si>
    <t>GWP20 Natural Gas Production Leakage</t>
  </si>
  <si>
    <t>GWP100 Natural Gas Production Lekage</t>
  </si>
  <si>
    <t>Natural Gas Production Leak Rate %</t>
  </si>
  <si>
    <t>Natural Gas Behind the Meter Leak Rate %</t>
  </si>
  <si>
    <t>GWP 20 - Methane Leaks Furnace (Production) [kg]</t>
  </si>
  <si>
    <t>GWP 100 - Methane Leaks Furnace (Downstream of meter) [kg]</t>
  </si>
  <si>
    <t>GWP 20 - Methane Leaks Furnace (Downstream of meter) [kg]</t>
  </si>
  <si>
    <t>GWP 100 - Methane Leaks Furnace (Production) [kg]</t>
  </si>
  <si>
    <t>GWP20 Natural Gas BTM Leakage</t>
  </si>
  <si>
    <t>GWP100 Natural Gas BTM Leakage</t>
  </si>
  <si>
    <t>lb/MMBtu</t>
  </si>
  <si>
    <t>kg/J</t>
  </si>
  <si>
    <t>CO2 per unit of natural gas burned</t>
  </si>
  <si>
    <t>Gas Furnace/HP</t>
  </si>
  <si>
    <t>Total CO2</t>
  </si>
  <si>
    <t>Total GWP20</t>
  </si>
  <si>
    <t>Total GWP100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</si>
</sst>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_);_(* \(#,##0\);_(* &quot;-&quot;??_);_(@_)"/>
    <numFmt numFmtId="165" formatCode="mmmm\ d\,\ yyyy"/>
    <numFmt numFmtId="166" formatCode="0.000"/>
    <numFmt numFmtId="167" formatCode="0.0"/>
    <numFmt numFmtId="168" formatCode="0.0000"/>
    <numFmt numFmtId="169" formatCode="0.0000E+00"/>
    <numFmt numFmtId="170" formatCode="0.0%"/>
    <numFmt numFmtId="171" formatCode="0.000000"/>
    <numFmt numFmtId="172" formatCode="0.0E+00"/>
    <numFmt numFmtId="173" formatCode="0.00000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
      <sz val="11"/>
      <name val="Calibri"/>
      <family val="2"/>
      <scheme val="minor"/>
    </font>
    <font>
      <b/>
      <sz val="11"/>
      <color rgb="FF000000"/>
      <name val="Calibri"/>
      <family val="2"/>
      <scheme val="minor"/>
    </font>
    <font>
      <u/>
      <sz val="11"/>
      <color theme="1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4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DDEBF7"/>
        <bgColor rgb="FF000000"/>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top/>
      <bottom style="thin">
        <color indexed="64"/>
      </bottom>
      <diagonal/>
    </border>
    <border>
      <left/>
      <right style="thin">
        <color auto="1"/>
      </right>
      <top/>
      <bottom style="thin">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5" fillId="0" borderId="0" applyNumberFormat="0" applyFill="0" applyBorder="0" applyAlignment="0" applyProtection="0"/>
  </cellStyleXfs>
  <cellXfs count="121">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9" fontId="0" fillId="33" borderId="0" xfId="0" applyNumberFormat="1" applyFill="1" applyAlignment="1">
      <alignment horizontal="center"/>
    </xf>
    <xf numFmtId="0" fontId="0" fillId="33" borderId="0" xfId="0" applyFill="1" applyAlignment="1">
      <alignment horizontal="center"/>
    </xf>
    <xf numFmtId="0" fontId="0" fillId="34" borderId="0" xfId="0" applyFill="1" applyAlignment="1">
      <alignment horizontal="center" wrapText="1"/>
    </xf>
    <xf numFmtId="1" fontId="0" fillId="34" borderId="0" xfId="0" applyNumberFormat="1" applyFill="1" applyAlignment="1">
      <alignment horizontal="center" wrapText="1"/>
    </xf>
    <xf numFmtId="9" fontId="0" fillId="34" borderId="0" xfId="0" applyNumberFormat="1" applyFill="1" applyAlignment="1">
      <alignment horizontal="center"/>
    </xf>
    <xf numFmtId="0" fontId="0" fillId="34" borderId="0" xfId="0" applyFill="1" applyAlignment="1">
      <alignment horizontal="center"/>
    </xf>
    <xf numFmtId="1" fontId="0" fillId="35" borderId="0" xfId="0" applyNumberFormat="1" applyFill="1" applyAlignment="1">
      <alignment horizontal="center" wrapText="1"/>
    </xf>
    <xf numFmtId="0" fontId="0" fillId="35" borderId="0" xfId="0" applyFill="1" applyAlignment="1">
      <alignment horizontal="center"/>
    </xf>
    <xf numFmtId="3" fontId="0" fillId="0" borderId="0" xfId="0" applyNumberFormat="1"/>
    <xf numFmtId="43" fontId="0" fillId="34" borderId="0" xfId="1" applyFont="1" applyFill="1" applyAlignment="1">
      <alignment horizontal="center"/>
    </xf>
    <xf numFmtId="164" fontId="0" fillId="34" borderId="0" xfId="1" applyNumberFormat="1" applyFont="1" applyFill="1" applyAlignment="1">
      <alignment horizontal="center"/>
    </xf>
    <xf numFmtId="0" fontId="18" fillId="0" borderId="0" xfId="0" applyFont="1"/>
    <xf numFmtId="3" fontId="18" fillId="0" borderId="0" xfId="0" applyNumberFormat="1" applyFont="1"/>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9" fontId="0" fillId="0" borderId="0" xfId="43" applyFont="1"/>
    <xf numFmtId="10" fontId="0" fillId="0" borderId="10" xfId="0" applyNumberFormat="1" applyBorder="1" applyAlignment="1">
      <alignment vertical="center" wrapText="1"/>
    </xf>
    <xf numFmtId="10" fontId="0" fillId="0" borderId="11" xfId="0" applyNumberFormat="1" applyBorder="1" applyAlignment="1">
      <alignment vertical="center" wrapText="1"/>
    </xf>
    <xf numFmtId="0" fontId="0" fillId="36" borderId="0" xfId="0" applyFill="1"/>
    <xf numFmtId="0" fontId="0" fillId="0" borderId="0" xfId="0" applyProtection="1">
      <protection locked="0"/>
    </xf>
    <xf numFmtId="0" fontId="0" fillId="37" borderId="0" xfId="0" applyFill="1" applyProtection="1">
      <protection locked="0"/>
    </xf>
    <xf numFmtId="0" fontId="16" fillId="0" borderId="13" xfId="0" applyFont="1" applyBorder="1" applyAlignment="1" applyProtection="1">
      <alignment horizontal="center" vertical="center" wrapText="1"/>
      <protection locked="0"/>
    </xf>
    <xf numFmtId="0" fontId="16" fillId="0" borderId="0" xfId="0" applyFont="1" applyAlignment="1" applyProtection="1">
      <alignment horizontal="center" vertical="center"/>
      <protection locked="0"/>
    </xf>
    <xf numFmtId="0" fontId="16" fillId="0" borderId="15" xfId="0" applyFont="1" applyBorder="1" applyAlignment="1" applyProtection="1">
      <alignment horizontal="left" indent="1"/>
      <protection locked="0"/>
    </xf>
    <xf numFmtId="3" fontId="16" fillId="0" borderId="15" xfId="0" applyNumberFormat="1" applyFont="1" applyBorder="1" applyAlignment="1" applyProtection="1">
      <alignment horizontal="right"/>
      <protection locked="0"/>
    </xf>
    <xf numFmtId="3" fontId="0" fillId="0" borderId="15" xfId="0" applyNumberFormat="1" applyBorder="1" applyAlignment="1" applyProtection="1">
      <alignment horizontal="right"/>
      <protection locked="0"/>
    </xf>
    <xf numFmtId="3" fontId="0" fillId="0" borderId="14" xfId="0" applyNumberFormat="1" applyBorder="1" applyAlignment="1" applyProtection="1">
      <alignment horizontal="right"/>
      <protection locked="0"/>
    </xf>
    <xf numFmtId="0" fontId="16" fillId="0" borderId="12" xfId="0" applyFont="1" applyBorder="1" applyAlignment="1" applyProtection="1">
      <alignment horizontal="center" vertical="center"/>
      <protection locked="0"/>
    </xf>
    <xf numFmtId="0" fontId="0" fillId="0" borderId="14" xfId="0" applyBorder="1" applyAlignment="1" applyProtection="1">
      <alignment vertical="center"/>
      <protection locked="0"/>
    </xf>
    <xf numFmtId="0" fontId="20" fillId="0" borderId="15" xfId="0" applyFont="1" applyBorder="1" applyAlignment="1" applyProtection="1">
      <alignment horizontal="left" indent="1"/>
      <protection locked="0"/>
    </xf>
    <xf numFmtId="0" fontId="23" fillId="0" borderId="15" xfId="0" applyFont="1" applyBorder="1" applyProtection="1">
      <protection locked="0"/>
    </xf>
    <xf numFmtId="0" fontId="23" fillId="0" borderId="14" xfId="0" applyFont="1" applyBorder="1" applyProtection="1">
      <protection locked="0"/>
    </xf>
    <xf numFmtId="0" fontId="23" fillId="0" borderId="0" xfId="0" applyFont="1" applyProtection="1">
      <protection locked="0"/>
    </xf>
    <xf numFmtId="9" fontId="23" fillId="39" borderId="0" xfId="0" applyNumberFormat="1" applyFont="1" applyFill="1" applyAlignment="1">
      <alignment horizontal="center"/>
    </xf>
    <xf numFmtId="0" fontId="23" fillId="39" borderId="0" xfId="0" applyFont="1" applyFill="1" applyAlignment="1">
      <alignment horizontal="center"/>
    </xf>
    <xf numFmtId="9" fontId="0" fillId="39" borderId="0" xfId="0" applyNumberFormat="1" applyFill="1" applyAlignment="1">
      <alignment horizontal="center"/>
    </xf>
    <xf numFmtId="0" fontId="0" fillId="39" borderId="0" xfId="0" applyFill="1" applyAlignment="1">
      <alignment horizontal="center"/>
    </xf>
    <xf numFmtId="3" fontId="0" fillId="0" borderId="0" xfId="0" applyNumberFormat="1" applyAlignment="1">
      <alignment horizontal="center" wrapText="1"/>
    </xf>
    <xf numFmtId="166" fontId="0" fillId="0" borderId="0" xfId="0" applyNumberFormat="1"/>
    <xf numFmtId="167" fontId="0" fillId="0" borderId="0" xfId="0" applyNumberFormat="1"/>
    <xf numFmtId="168" fontId="0" fillId="0" borderId="0" xfId="0" applyNumberFormat="1"/>
    <xf numFmtId="1" fontId="0" fillId="0" borderId="0" xfId="0" applyNumberFormat="1"/>
    <xf numFmtId="169" fontId="0" fillId="0" borderId="0" xfId="0" applyNumberFormat="1"/>
    <xf numFmtId="1" fontId="0" fillId="40" borderId="0" xfId="0" applyNumberFormat="1" applyFill="1" applyAlignment="1">
      <alignment horizontal="center" wrapText="1"/>
    </xf>
    <xf numFmtId="0" fontId="0" fillId="40" borderId="0" xfId="0" applyFill="1" applyAlignment="1">
      <alignment horizontal="center"/>
    </xf>
    <xf numFmtId="164" fontId="0" fillId="41" borderId="0" xfId="1" applyNumberFormat="1" applyFont="1" applyFill="1" applyAlignment="1">
      <alignment horizontal="center"/>
    </xf>
    <xf numFmtId="0" fontId="0" fillId="41" borderId="0" xfId="0" applyFill="1" applyAlignment="1">
      <alignment horizontal="center"/>
    </xf>
    <xf numFmtId="43" fontId="23" fillId="41" borderId="0" xfId="1" applyFont="1" applyFill="1" applyAlignment="1">
      <alignment horizontal="center"/>
    </xf>
    <xf numFmtId="0" fontId="23" fillId="41" borderId="0" xfId="0" applyFont="1" applyFill="1" applyAlignment="1">
      <alignment horizontal="center"/>
    </xf>
    <xf numFmtId="170" fontId="0" fillId="36" borderId="0" xfId="43" applyNumberFormat="1" applyFont="1" applyFill="1"/>
    <xf numFmtId="10" fontId="0" fillId="0" borderId="0" xfId="43" applyNumberFormat="1" applyFont="1"/>
    <xf numFmtId="10" fontId="0" fillId="36" borderId="0" xfId="43" applyNumberFormat="1" applyFont="1" applyFill="1"/>
    <xf numFmtId="0" fontId="14" fillId="0" borderId="0" xfId="0" applyFont="1"/>
    <xf numFmtId="1" fontId="0" fillId="0" borderId="0" xfId="0" applyNumberFormat="1" applyAlignment="1">
      <alignment horizontal="center"/>
    </xf>
    <xf numFmtId="43" fontId="0" fillId="41" borderId="0" xfId="1" applyFont="1" applyFill="1" applyAlignment="1">
      <alignment horizontal="center"/>
    </xf>
    <xf numFmtId="1" fontId="0" fillId="42" borderId="0" xfId="0" applyNumberFormat="1" applyFill="1" applyAlignment="1">
      <alignment horizontal="center"/>
    </xf>
    <xf numFmtId="0" fontId="0" fillId="42" borderId="0" xfId="0" applyFill="1" applyAlignment="1">
      <alignment horizontal="center"/>
    </xf>
    <xf numFmtId="0" fontId="18" fillId="0" borderId="0" xfId="0" applyFont="1" applyAlignment="1">
      <alignment horizontal="center"/>
    </xf>
    <xf numFmtId="0" fontId="24" fillId="0" borderId="0" xfId="0" applyFont="1" applyAlignment="1">
      <alignment horizontal="center"/>
    </xf>
    <xf numFmtId="3" fontId="18" fillId="0" borderId="0" xfId="0" applyNumberFormat="1" applyFont="1" applyAlignment="1">
      <alignment horizontal="center"/>
    </xf>
    <xf numFmtId="0" fontId="25" fillId="0" borderId="0" xfId="44"/>
    <xf numFmtId="171" fontId="0" fillId="0" borderId="0" xfId="0" applyNumberFormat="1"/>
    <xf numFmtId="9" fontId="0" fillId="36" borderId="0" xfId="0" applyNumberFormat="1" applyFill="1" applyAlignment="1">
      <alignment horizontal="center"/>
    </xf>
    <xf numFmtId="172" fontId="0" fillId="0" borderId="0" xfId="0" applyNumberFormat="1" applyAlignment="1">
      <alignment wrapText="1"/>
    </xf>
    <xf numFmtId="172" fontId="0" fillId="0" borderId="0" xfId="0" applyNumberFormat="1"/>
    <xf numFmtId="0" fontId="0" fillId="0" borderId="27" xfId="0" applyBorder="1"/>
    <xf numFmtId="0" fontId="0" fillId="0" borderId="28" xfId="0" applyBorder="1"/>
    <xf numFmtId="0" fontId="0" fillId="0" borderId="29" xfId="0" applyBorder="1"/>
    <xf numFmtId="0" fontId="0" fillId="0" borderId="27" xfId="0" applyBorder="1" applyAlignment="1">
      <alignment wrapText="1"/>
    </xf>
    <xf numFmtId="170" fontId="0" fillId="0" borderId="0" xfId="43" applyNumberFormat="1" applyFont="1"/>
    <xf numFmtId="11" fontId="0" fillId="0" borderId="0" xfId="0" applyNumberFormat="1"/>
    <xf numFmtId="2" fontId="0" fillId="0" borderId="0" xfId="0" applyNumberFormat="1"/>
    <xf numFmtId="0" fontId="0" fillId="0" borderId="25" xfId="0" applyBorder="1"/>
    <xf numFmtId="1" fontId="0" fillId="41" borderId="0" xfId="0" applyNumberFormat="1" applyFill="1" applyAlignment="1">
      <alignment horizontal="center" wrapText="1"/>
    </xf>
    <xf numFmtId="1" fontId="0" fillId="34" borderId="0" xfId="1" applyNumberFormat="1" applyFont="1" applyFill="1" applyAlignment="1">
      <alignment horizontal="center"/>
    </xf>
    <xf numFmtId="167" fontId="0" fillId="35" borderId="0" xfId="0" applyNumberFormat="1" applyFill="1" applyAlignment="1">
      <alignment horizontal="center" wrapText="1"/>
    </xf>
    <xf numFmtId="0" fontId="18" fillId="43" borderId="0" xfId="0" applyFont="1" applyFill="1" applyAlignment="1">
      <alignment horizontal="center"/>
    </xf>
    <xf numFmtId="0" fontId="14" fillId="43" borderId="0" xfId="0" applyFont="1" applyFill="1" applyAlignment="1">
      <alignment horizontal="center"/>
    </xf>
    <xf numFmtId="0" fontId="0" fillId="33" borderId="0" xfId="0" applyFill="1"/>
    <xf numFmtId="1" fontId="0" fillId="33" borderId="0" xfId="0" applyNumberFormat="1" applyFill="1" applyAlignment="1">
      <alignment horizontal="center"/>
    </xf>
    <xf numFmtId="173" fontId="14" fillId="35" borderId="0" xfId="0" applyNumberFormat="1" applyFont="1" applyFill="1" applyAlignment="1">
      <alignment horizontal="center"/>
    </xf>
    <xf numFmtId="0" fontId="21" fillId="0" borderId="16" xfId="0" applyFont="1" applyBorder="1" applyAlignment="1" applyProtection="1">
      <alignment wrapText="1"/>
      <protection locked="0"/>
    </xf>
    <xf numFmtId="0" fontId="21" fillId="0" borderId="17" xfId="0" applyFont="1" applyBorder="1" applyAlignment="1" applyProtection="1">
      <alignment wrapText="1"/>
      <protection locked="0"/>
    </xf>
    <xf numFmtId="0" fontId="21" fillId="0" borderId="17" xfId="0" applyFont="1" applyBorder="1" applyAlignment="1">
      <alignment wrapText="1"/>
    </xf>
    <xf numFmtId="0" fontId="21" fillId="0" borderId="18" xfId="0" applyFont="1" applyBorder="1" applyAlignment="1">
      <alignment wrapText="1"/>
    </xf>
    <xf numFmtId="0" fontId="22" fillId="38" borderId="19" xfId="0" applyFont="1" applyFill="1" applyBorder="1" applyProtection="1">
      <protection locked="0"/>
    </xf>
    <xf numFmtId="0" fontId="22" fillId="38" borderId="20" xfId="0" applyFont="1" applyFill="1" applyBorder="1" applyProtection="1">
      <protection locked="0"/>
    </xf>
    <xf numFmtId="0" fontId="22" fillId="38" borderId="20" xfId="0" applyFont="1" applyFill="1" applyBorder="1"/>
    <xf numFmtId="0" fontId="22" fillId="38" borderId="21" xfId="0" applyFont="1" applyFill="1" applyBorder="1"/>
    <xf numFmtId="0" fontId="22" fillId="38" borderId="22" xfId="0" applyFont="1" applyFill="1" applyBorder="1" applyAlignment="1" applyProtection="1">
      <alignment wrapText="1"/>
      <protection locked="0"/>
    </xf>
    <xf numFmtId="0" fontId="22" fillId="38" borderId="0" xfId="0" applyFont="1" applyFill="1" applyAlignment="1" applyProtection="1">
      <alignment wrapText="1"/>
      <protection locked="0"/>
    </xf>
    <xf numFmtId="0" fontId="22" fillId="38" borderId="0" xfId="0" applyFont="1" applyFill="1"/>
    <xf numFmtId="0" fontId="22" fillId="38" borderId="23" xfId="0" applyFont="1" applyFill="1" applyBorder="1"/>
    <xf numFmtId="0" fontId="22" fillId="38" borderId="24" xfId="0" applyFont="1" applyFill="1" applyBorder="1" applyProtection="1">
      <protection locked="0"/>
    </xf>
    <xf numFmtId="0" fontId="22" fillId="38" borderId="25" xfId="0" applyFont="1" applyFill="1" applyBorder="1" applyProtection="1">
      <protection locked="0"/>
    </xf>
    <xf numFmtId="0" fontId="22" fillId="38" borderId="25" xfId="0" applyFont="1" applyFill="1" applyBorder="1"/>
    <xf numFmtId="0" fontId="22" fillId="38" borderId="26" xfId="0" applyFont="1" applyFill="1" applyBorder="1"/>
    <xf numFmtId="0" fontId="19" fillId="37" borderId="12" xfId="0" applyFont="1" applyFill="1" applyBorder="1" applyAlignment="1" applyProtection="1">
      <alignment horizontal="left" vertical="center"/>
      <protection locked="0"/>
    </xf>
    <xf numFmtId="0" fontId="20" fillId="37" borderId="13" xfId="0" applyFont="1" applyFill="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20" fillId="0" borderId="12" xfId="0" applyFont="1" applyBorder="1" applyAlignment="1" applyProtection="1">
      <alignment horizontal="center" vertical="center"/>
      <protection locked="0"/>
    </xf>
    <xf numFmtId="0" fontId="23" fillId="0" borderId="14" xfId="0" applyFont="1" applyBorder="1" applyAlignment="1" applyProtection="1">
      <alignment vertical="center"/>
      <protection locked="0"/>
    </xf>
    <xf numFmtId="165" fontId="16" fillId="37" borderId="13" xfId="0" applyNumberFormat="1" applyFont="1" applyFill="1" applyBorder="1" applyAlignment="1" applyProtection="1">
      <alignment horizontal="center" vertical="center" wrapText="1"/>
      <protection locked="0"/>
    </xf>
    <xf numFmtId="0" fontId="16" fillId="0" borderId="13" xfId="0" applyFont="1" applyBorder="1" applyAlignment="1" applyProtection="1">
      <alignment horizontal="center" vertical="center" wrapText="1"/>
      <protection locked="0"/>
    </xf>
    <xf numFmtId="0" fontId="16" fillId="37" borderId="13" xfId="0" applyFont="1" applyFill="1" applyBorder="1" applyAlignment="1" applyProtection="1">
      <alignment horizontal="center" vertical="center" wrapText="1"/>
      <protection locked="0"/>
    </xf>
    <xf numFmtId="0" fontId="0" fillId="0" borderId="0" xfId="0" applyFont="1" applyAlignment="1">
      <alignment wrapText="1"/>
    </xf>
    <xf numFmtId="0" fontId="0" fillId="0" borderId="0" xfId="0" applyFont="1" applyAlignment="1">
      <alignment horizontal="center" wrapText="1"/>
    </xf>
    <xf numFmtId="0" fontId="0" fillId="35" borderId="0" xfId="0" applyFont="1" applyFill="1" applyAlignment="1">
      <alignment horizontal="center" wrapText="1"/>
    </xf>
    <xf numFmtId="0" fontId="0" fillId="40" borderId="0" xfId="0" applyFont="1" applyFill="1" applyAlignment="1">
      <alignment horizontal="center" wrapText="1"/>
    </xf>
    <xf numFmtId="0" fontId="0" fillId="34" borderId="0" xfId="0" applyFont="1" applyFill="1" applyAlignment="1">
      <alignment horizontal="center" wrapText="1"/>
    </xf>
    <xf numFmtId="0" fontId="0" fillId="41" borderId="0" xfId="0" applyFont="1" applyFill="1" applyAlignment="1">
      <alignment horizontal="center" wrapText="1"/>
    </xf>
    <xf numFmtId="0" fontId="0" fillId="42" borderId="0" xfId="0" applyFont="1" applyFill="1" applyAlignment="1">
      <alignment horizontal="center" wrapText="1"/>
    </xf>
    <xf numFmtId="0" fontId="0" fillId="39" borderId="0" xfId="0" applyFont="1" applyFill="1" applyAlignment="1">
      <alignment horizontal="center" wrapText="1"/>
    </xf>
    <xf numFmtId="0" fontId="0" fillId="33" borderId="0" xfId="0" applyFont="1" applyFill="1" applyAlignment="1">
      <alignment horizontal="center" wrapText="1"/>
    </xf>
    <xf numFmtId="0" fontId="0" fillId="0" borderId="0" xfId="0" applyFill="1"/>
    <xf numFmtId="172" fontId="0" fillId="0" borderId="0" xfId="0" applyNumberForma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4"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4">
    <dxf>
      <numFmt numFmtId="0" formatCode="General"/>
    </dxf>
    <dxf>
      <border diagonalUp="0" diagonalDown="0">
        <left/>
        <right style="medium">
          <color indexed="64"/>
        </right>
        <top/>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2" defaultPivotStyle="PivotStyleLight16"/>
  <colors>
    <mruColors>
      <color rgb="FF7BBE74"/>
      <color rgb="FFCCF0C8"/>
      <color rgb="FF164D11"/>
      <color rgb="FF42853B"/>
      <color rgb="FF296722"/>
      <color rgb="FF5C9F55"/>
      <color rgb="FFA3DB9D"/>
      <color rgb="FFFFFFFF"/>
      <color rgb="FF4976C7"/>
      <color rgb="FF95C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hartsheet" Target="chartsheets/sheet6.xml"/><Relationship Id="rId1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styles" Target="styles.xml"/><Relationship Id="rId2" Type="http://schemas.openxmlformats.org/officeDocument/2006/relationships/worksheet" Target="worksheets/sheet1.xml"/><Relationship Id="rId16" Type="http://schemas.openxmlformats.org/officeDocument/2006/relationships/theme" Target="theme/theme1.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worksheet" Target="worksheets/sheet7.xml"/><Relationship Id="rId5" Type="http://schemas.openxmlformats.org/officeDocument/2006/relationships/chartsheet" Target="chartsheets/sheet2.xml"/><Relationship Id="rId15" Type="http://schemas.openxmlformats.org/officeDocument/2006/relationships/chartsheet" Target="chartsheets/sheet8.xml"/><Relationship Id="rId10" Type="http://schemas.openxmlformats.org/officeDocument/2006/relationships/chartsheet" Target="chartsheets/sheet4.xml"/><Relationship Id="rId19"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chartsheet" Target="chart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62784485679807"/>
          <c:y val="0.13511153835333409"/>
          <c:w val="0.80412002758872847"/>
          <c:h val="0.72693341013520929"/>
        </c:manualLayout>
      </c:layout>
      <c:scatterChart>
        <c:scatterStyle val="lineMarker"/>
        <c:varyColors val="0"/>
        <c:ser>
          <c:idx val="1"/>
          <c:order val="0"/>
          <c:tx>
            <c:strRef>
              <c:f>Data!$AT$1</c:f>
              <c:strCache>
                <c:ptCount val="1"/>
                <c:pt idx="0">
                  <c:v>Electric Resistance Capacity [W]</c:v>
                </c:pt>
              </c:strCache>
            </c:strRef>
          </c:tx>
          <c:spPr>
            <a:ln w="19050">
              <a:noFill/>
            </a:ln>
          </c:spPr>
          <c:marker>
            <c:symbol val="square"/>
            <c:size val="5"/>
            <c:spPr>
              <a:noFill/>
              <a:ln w="15875"/>
            </c:spPr>
          </c:marker>
          <c:xVal>
            <c:numRef>
              <c:f>Data!$D$2:$D$100</c:f>
              <c:numCache>
                <c:formatCode>General</c:formatCode>
                <c:ptCount val="99"/>
                <c:pt idx="0">
                  <c:v>-6.4</c:v>
                </c:pt>
                <c:pt idx="1">
                  <c:v>-2.4</c:v>
                </c:pt>
                <c:pt idx="2">
                  <c:v>-12.2</c:v>
                </c:pt>
                <c:pt idx="3">
                  <c:v>-8</c:v>
                </c:pt>
                <c:pt idx="4">
                  <c:v>-15.6</c:v>
                </c:pt>
                <c:pt idx="5">
                  <c:v>-4</c:v>
                </c:pt>
                <c:pt idx="6">
                  <c:v>3.7</c:v>
                </c:pt>
                <c:pt idx="7">
                  <c:v>-8</c:v>
                </c:pt>
                <c:pt idx="8">
                  <c:v>-9.5</c:v>
                </c:pt>
                <c:pt idx="9">
                  <c:v>1.9</c:v>
                </c:pt>
                <c:pt idx="10">
                  <c:v>2.1</c:v>
                </c:pt>
                <c:pt idx="11">
                  <c:v>7</c:v>
                </c:pt>
                <c:pt idx="12">
                  <c:v>-0.9</c:v>
                </c:pt>
                <c:pt idx="13">
                  <c:v>2.1</c:v>
                </c:pt>
                <c:pt idx="14">
                  <c:v>-26.3</c:v>
                </c:pt>
                <c:pt idx="15">
                  <c:v>-20.100000000000001</c:v>
                </c:pt>
                <c:pt idx="16">
                  <c:v>-17.5</c:v>
                </c:pt>
                <c:pt idx="17">
                  <c:v>-16.100000000000001</c:v>
                </c:pt>
                <c:pt idx="18">
                  <c:v>-11.5</c:v>
                </c:pt>
                <c:pt idx="19">
                  <c:v>-10.4</c:v>
                </c:pt>
                <c:pt idx="20">
                  <c:v>-1.5</c:v>
                </c:pt>
                <c:pt idx="21">
                  <c:v>8.6999999999999993</c:v>
                </c:pt>
                <c:pt idx="22">
                  <c:v>-5.8</c:v>
                </c:pt>
                <c:pt idx="23">
                  <c:v>-7.3</c:v>
                </c:pt>
                <c:pt idx="24">
                  <c:v>-2.6</c:v>
                </c:pt>
                <c:pt idx="25">
                  <c:v>-20.7</c:v>
                </c:pt>
                <c:pt idx="26">
                  <c:v>-22.1</c:v>
                </c:pt>
                <c:pt idx="27">
                  <c:v>-12.9</c:v>
                </c:pt>
                <c:pt idx="28">
                  <c:v>-21.5</c:v>
                </c:pt>
                <c:pt idx="29">
                  <c:v>-12.8</c:v>
                </c:pt>
                <c:pt idx="30">
                  <c:v>-17.7</c:v>
                </c:pt>
                <c:pt idx="31">
                  <c:v>-13.3</c:v>
                </c:pt>
                <c:pt idx="32">
                  <c:v>-16.7</c:v>
                </c:pt>
                <c:pt idx="33">
                  <c:v>-16.3</c:v>
                </c:pt>
                <c:pt idx="34">
                  <c:v>-13.7</c:v>
                </c:pt>
                <c:pt idx="35">
                  <c:v>-12.4</c:v>
                </c:pt>
                <c:pt idx="36">
                  <c:v>0.6</c:v>
                </c:pt>
                <c:pt idx="37">
                  <c:v>-2.8</c:v>
                </c:pt>
                <c:pt idx="38">
                  <c:v>-13.3</c:v>
                </c:pt>
                <c:pt idx="39">
                  <c:v>-10</c:v>
                </c:pt>
                <c:pt idx="40">
                  <c:v>-17.7</c:v>
                </c:pt>
                <c:pt idx="41">
                  <c:v>-28.1</c:v>
                </c:pt>
                <c:pt idx="42">
                  <c:v>-14.9</c:v>
                </c:pt>
                <c:pt idx="43">
                  <c:v>-21</c:v>
                </c:pt>
                <c:pt idx="44">
                  <c:v>-17.399999999999999</c:v>
                </c:pt>
                <c:pt idx="45">
                  <c:v>-27.7</c:v>
                </c:pt>
                <c:pt idx="46">
                  <c:v>-24</c:v>
                </c:pt>
                <c:pt idx="47">
                  <c:v>-15</c:v>
                </c:pt>
                <c:pt idx="48">
                  <c:v>-17.5</c:v>
                </c:pt>
                <c:pt idx="49">
                  <c:v>-2</c:v>
                </c:pt>
                <c:pt idx="50">
                  <c:v>-4.9000000000000004</c:v>
                </c:pt>
                <c:pt idx="51">
                  <c:v>-23</c:v>
                </c:pt>
                <c:pt idx="52">
                  <c:v>-6.1</c:v>
                </c:pt>
                <c:pt idx="53">
                  <c:v>-6.9</c:v>
                </c:pt>
                <c:pt idx="54">
                  <c:v>-28.1</c:v>
                </c:pt>
                <c:pt idx="55">
                  <c:v>-28.5</c:v>
                </c:pt>
                <c:pt idx="56">
                  <c:v>-21.2</c:v>
                </c:pt>
                <c:pt idx="57">
                  <c:v>-19.8</c:v>
                </c:pt>
                <c:pt idx="58">
                  <c:v>-17</c:v>
                </c:pt>
                <c:pt idx="59">
                  <c:v>-10.9</c:v>
                </c:pt>
                <c:pt idx="60">
                  <c:v>-11.2</c:v>
                </c:pt>
                <c:pt idx="61">
                  <c:v>-7.7</c:v>
                </c:pt>
                <c:pt idx="62">
                  <c:v>-5</c:v>
                </c:pt>
                <c:pt idx="63">
                  <c:v>-12.1</c:v>
                </c:pt>
                <c:pt idx="64">
                  <c:v>-0.5</c:v>
                </c:pt>
                <c:pt idx="65">
                  <c:v>-11.1</c:v>
                </c:pt>
                <c:pt idx="66">
                  <c:v>-15.8</c:v>
                </c:pt>
                <c:pt idx="67">
                  <c:v>-10.1</c:v>
                </c:pt>
                <c:pt idx="68">
                  <c:v>-20.6</c:v>
                </c:pt>
                <c:pt idx="69">
                  <c:v>-13.3</c:v>
                </c:pt>
                <c:pt idx="70">
                  <c:v>-15</c:v>
                </c:pt>
                <c:pt idx="71">
                  <c:v>-10.8</c:v>
                </c:pt>
                <c:pt idx="72">
                  <c:v>-3.8</c:v>
                </c:pt>
                <c:pt idx="73">
                  <c:v>-14.7</c:v>
                </c:pt>
                <c:pt idx="74">
                  <c:v>-18.5</c:v>
                </c:pt>
                <c:pt idx="75">
                  <c:v>-10.1</c:v>
                </c:pt>
                <c:pt idx="76">
                  <c:v>-14.9</c:v>
                </c:pt>
                <c:pt idx="77">
                  <c:v>-13.1</c:v>
                </c:pt>
                <c:pt idx="78">
                  <c:v>-2.6</c:v>
                </c:pt>
                <c:pt idx="79">
                  <c:v>-22.4</c:v>
                </c:pt>
                <c:pt idx="80">
                  <c:v>-24.6</c:v>
                </c:pt>
                <c:pt idx="81">
                  <c:v>-7.4</c:v>
                </c:pt>
                <c:pt idx="82">
                  <c:v>-9.6</c:v>
                </c:pt>
                <c:pt idx="83">
                  <c:v>-5</c:v>
                </c:pt>
                <c:pt idx="84">
                  <c:v>0</c:v>
                </c:pt>
                <c:pt idx="85">
                  <c:v>-8.9</c:v>
                </c:pt>
                <c:pt idx="86">
                  <c:v>-12.4</c:v>
                </c:pt>
                <c:pt idx="87">
                  <c:v>-3</c:v>
                </c:pt>
                <c:pt idx="88">
                  <c:v>-20</c:v>
                </c:pt>
                <c:pt idx="89">
                  <c:v>-5.3</c:v>
                </c:pt>
                <c:pt idx="90">
                  <c:v>-22.1</c:v>
                </c:pt>
                <c:pt idx="91">
                  <c:v>-3.8</c:v>
                </c:pt>
                <c:pt idx="92">
                  <c:v>-15.2</c:v>
                </c:pt>
                <c:pt idx="93">
                  <c:v>-18.600000000000001</c:v>
                </c:pt>
                <c:pt idx="94">
                  <c:v>-26</c:v>
                </c:pt>
                <c:pt idx="95">
                  <c:v>-12.2</c:v>
                </c:pt>
                <c:pt idx="96">
                  <c:v>-13.7</c:v>
                </c:pt>
                <c:pt idx="97">
                  <c:v>-19.8</c:v>
                </c:pt>
                <c:pt idx="98">
                  <c:v>-26.3</c:v>
                </c:pt>
              </c:numCache>
            </c:numRef>
          </c:xVal>
          <c:yVal>
            <c:numRef>
              <c:f>Data!$AT$2:$AT$100</c:f>
              <c:numCache>
                <c:formatCode>General</c:formatCode>
                <c:ptCount val="99"/>
                <c:pt idx="0">
                  <c:v>5201.4233800000002</c:v>
                </c:pt>
                <c:pt idx="1">
                  <c:v>4206.9585299999999</c:v>
                </c:pt>
                <c:pt idx="2">
                  <c:v>6643.9912400000003</c:v>
                </c:pt>
                <c:pt idx="3">
                  <c:v>5736.5947699999997</c:v>
                </c:pt>
                <c:pt idx="4">
                  <c:v>7024.4732999999997</c:v>
                </c:pt>
                <c:pt idx="5">
                  <c:v>4178.2020899999998</c:v>
                </c:pt>
                <c:pt idx="6">
                  <c:v>2811.1936500000002</c:v>
                </c:pt>
                <c:pt idx="7">
                  <c:v>5347.3536100000001</c:v>
                </c:pt>
                <c:pt idx="8">
                  <c:v>5239.9376400000001</c:v>
                </c:pt>
                <c:pt idx="9">
                  <c:v>3454.16561</c:v>
                </c:pt>
                <c:pt idx="10">
                  <c:v>3164.3407699999998</c:v>
                </c:pt>
                <c:pt idx="11">
                  <c:v>2126.1419999999998</c:v>
                </c:pt>
                <c:pt idx="12">
                  <c:v>3764.5523600000001</c:v>
                </c:pt>
                <c:pt idx="13">
                  <c:v>3279.0628999999999</c:v>
                </c:pt>
                <c:pt idx="14">
                  <c:v>9771.7191000000003</c:v>
                </c:pt>
                <c:pt idx="15">
                  <c:v>7830.42821</c:v>
                </c:pt>
                <c:pt idx="16">
                  <c:v>7839.4781400000002</c:v>
                </c:pt>
                <c:pt idx="17">
                  <c:v>7407.6753500000004</c:v>
                </c:pt>
                <c:pt idx="18">
                  <c:v>7251.8454499999998</c:v>
                </c:pt>
                <c:pt idx="19">
                  <c:v>6905.1655300000002</c:v>
                </c:pt>
                <c:pt idx="20">
                  <c:v>4009.2135800000001</c:v>
                </c:pt>
                <c:pt idx="21">
                  <c:v>1495.03799</c:v>
                </c:pt>
                <c:pt idx="22">
                  <c:v>5303.0331399999995</c:v>
                </c:pt>
                <c:pt idx="23">
                  <c:v>5178.4676099999997</c:v>
                </c:pt>
                <c:pt idx="24">
                  <c:v>4332.55861</c:v>
                </c:pt>
                <c:pt idx="25">
                  <c:v>9285.7360000000008</c:v>
                </c:pt>
                <c:pt idx="26">
                  <c:v>9991.9028799999996</c:v>
                </c:pt>
                <c:pt idx="27">
                  <c:v>6845.1482999999998</c:v>
                </c:pt>
                <c:pt idx="28">
                  <c:v>9092.8590299999996</c:v>
                </c:pt>
                <c:pt idx="29">
                  <c:v>7097.4315399999996</c:v>
                </c:pt>
                <c:pt idx="30">
                  <c:v>8687.4067400000004</c:v>
                </c:pt>
                <c:pt idx="31">
                  <c:v>7297.8247600000004</c:v>
                </c:pt>
                <c:pt idx="32">
                  <c:v>8231.6822300000003</c:v>
                </c:pt>
                <c:pt idx="33">
                  <c:v>8038.7799100000002</c:v>
                </c:pt>
                <c:pt idx="34">
                  <c:v>7494.6279299999997</c:v>
                </c:pt>
                <c:pt idx="35">
                  <c:v>6989.3530799999999</c:v>
                </c:pt>
                <c:pt idx="36">
                  <c:v>3667.1081399999998</c:v>
                </c:pt>
                <c:pt idx="37">
                  <c:v>3850.7849200000001</c:v>
                </c:pt>
                <c:pt idx="38">
                  <c:v>8139.5942999999997</c:v>
                </c:pt>
                <c:pt idx="39">
                  <c:v>6610.5454200000004</c:v>
                </c:pt>
                <c:pt idx="40">
                  <c:v>8787.6838700000008</c:v>
                </c:pt>
                <c:pt idx="41">
                  <c:v>11392.38134</c:v>
                </c:pt>
                <c:pt idx="42">
                  <c:v>7802.57773</c:v>
                </c:pt>
                <c:pt idx="43">
                  <c:v>9379.2446199999995</c:v>
                </c:pt>
                <c:pt idx="44">
                  <c:v>8628.6633500000007</c:v>
                </c:pt>
                <c:pt idx="45">
                  <c:v>11668.19268</c:v>
                </c:pt>
                <c:pt idx="46">
                  <c:v>10530.951880000001</c:v>
                </c:pt>
                <c:pt idx="47">
                  <c:v>7801.5940899999996</c:v>
                </c:pt>
                <c:pt idx="48">
                  <c:v>7920.9026999999996</c:v>
                </c:pt>
                <c:pt idx="49">
                  <c:v>4181.44625</c:v>
                </c:pt>
                <c:pt idx="50">
                  <c:v>4791.6113100000002</c:v>
                </c:pt>
                <c:pt idx="51">
                  <c:v>9618.6826500000006</c:v>
                </c:pt>
                <c:pt idx="52">
                  <c:v>5316.6440000000002</c:v>
                </c:pt>
                <c:pt idx="53">
                  <c:v>5546.7491</c:v>
                </c:pt>
                <c:pt idx="54">
                  <c:v>11495.16696</c:v>
                </c:pt>
                <c:pt idx="55">
                  <c:v>11838.234560000001</c:v>
                </c:pt>
                <c:pt idx="56">
                  <c:v>9384.8183399999998</c:v>
                </c:pt>
                <c:pt idx="57">
                  <c:v>9165.9371100000008</c:v>
                </c:pt>
                <c:pt idx="58">
                  <c:v>8287.9760999999999</c:v>
                </c:pt>
                <c:pt idx="59">
                  <c:v>7259.4427299999998</c:v>
                </c:pt>
                <c:pt idx="60">
                  <c:v>6751.8944600000004</c:v>
                </c:pt>
                <c:pt idx="61">
                  <c:v>5497.1692000000003</c:v>
                </c:pt>
                <c:pt idx="62">
                  <c:v>4759.9527900000003</c:v>
                </c:pt>
                <c:pt idx="63">
                  <c:v>6390.52045</c:v>
                </c:pt>
                <c:pt idx="64">
                  <c:v>3431.51638</c:v>
                </c:pt>
                <c:pt idx="65">
                  <c:v>6359.3380800000004</c:v>
                </c:pt>
                <c:pt idx="66">
                  <c:v>8354.7794900000008</c:v>
                </c:pt>
                <c:pt idx="67">
                  <c:v>7010.2232999999997</c:v>
                </c:pt>
                <c:pt idx="68">
                  <c:v>8895.0634699999991</c:v>
                </c:pt>
                <c:pt idx="69">
                  <c:v>7156.0568000000003</c:v>
                </c:pt>
                <c:pt idx="70">
                  <c:v>7798.2586199999996</c:v>
                </c:pt>
                <c:pt idx="71">
                  <c:v>6565.1021899999996</c:v>
                </c:pt>
                <c:pt idx="72">
                  <c:v>5083.1571999999996</c:v>
                </c:pt>
                <c:pt idx="73">
                  <c:v>7177.1648500000001</c:v>
                </c:pt>
                <c:pt idx="74">
                  <c:v>8756.3261399999992</c:v>
                </c:pt>
                <c:pt idx="75">
                  <c:v>6934.2871500000001</c:v>
                </c:pt>
                <c:pt idx="76">
                  <c:v>7811.6511700000001</c:v>
                </c:pt>
                <c:pt idx="77">
                  <c:v>7631.6420099999996</c:v>
                </c:pt>
                <c:pt idx="78">
                  <c:v>4403.1241200000004</c:v>
                </c:pt>
                <c:pt idx="79">
                  <c:v>9747.2992099999992</c:v>
                </c:pt>
                <c:pt idx="80">
                  <c:v>10636.454530000001</c:v>
                </c:pt>
                <c:pt idx="81">
                  <c:v>5803.9016000000001</c:v>
                </c:pt>
                <c:pt idx="82">
                  <c:v>6274.5078999999996</c:v>
                </c:pt>
                <c:pt idx="83">
                  <c:v>5057.1344600000002</c:v>
                </c:pt>
                <c:pt idx="84">
                  <c:v>3778.8486400000002</c:v>
                </c:pt>
                <c:pt idx="85">
                  <c:v>5821.8679899999997</c:v>
                </c:pt>
                <c:pt idx="86">
                  <c:v>6739.2362599999997</c:v>
                </c:pt>
                <c:pt idx="87">
                  <c:v>4430.1654799999997</c:v>
                </c:pt>
                <c:pt idx="88">
                  <c:v>8358.0573600000007</c:v>
                </c:pt>
                <c:pt idx="89">
                  <c:v>5427.8786899999996</c:v>
                </c:pt>
                <c:pt idx="90">
                  <c:v>9829.5398700000005</c:v>
                </c:pt>
                <c:pt idx="91">
                  <c:v>4749.5635199999997</c:v>
                </c:pt>
                <c:pt idx="92">
                  <c:v>7478.1667399999997</c:v>
                </c:pt>
                <c:pt idx="93">
                  <c:v>9310.4405700000007</c:v>
                </c:pt>
                <c:pt idx="94">
                  <c:v>10512.10441</c:v>
                </c:pt>
                <c:pt idx="95">
                  <c:v>6889.3493200000003</c:v>
                </c:pt>
                <c:pt idx="96">
                  <c:v>7347.7415700000001</c:v>
                </c:pt>
                <c:pt idx="97">
                  <c:v>8617.5824499999999</c:v>
                </c:pt>
                <c:pt idx="98">
                  <c:v>9846.3083399999996</c:v>
                </c:pt>
              </c:numCache>
            </c:numRef>
          </c:yVal>
          <c:smooth val="0"/>
          <c:extLst>
            <c:ext xmlns:c16="http://schemas.microsoft.com/office/drawing/2014/chart" uri="{C3380CC4-5D6E-409C-BE32-E72D297353CC}">
              <c16:uniqueId val="{00000000-AA31-4807-A6B6-73278072CDB1}"/>
            </c:ext>
          </c:extLst>
        </c:ser>
        <c:ser>
          <c:idx val="0"/>
          <c:order val="1"/>
          <c:tx>
            <c:v>Heat Pump Cooling Capacity [W]</c:v>
          </c:tx>
          <c:spPr>
            <a:ln w="19050" cap="rnd">
              <a:noFill/>
              <a:round/>
            </a:ln>
            <a:effectLst/>
          </c:spPr>
          <c:marker>
            <c:symbol val="circle"/>
            <c:size val="5"/>
            <c:spPr>
              <a:noFill/>
              <a:ln w="15875">
                <a:solidFill>
                  <a:schemeClr val="accent1"/>
                </a:solidFill>
              </a:ln>
              <a:effectLst/>
            </c:spPr>
          </c:marker>
          <c:xVal>
            <c:numRef>
              <c:f>Data!$F$2:$F$100</c:f>
              <c:numCache>
                <c:formatCode>General</c:formatCode>
                <c:ptCount val="99"/>
                <c:pt idx="0">
                  <c:v>35.299999999999997</c:v>
                </c:pt>
                <c:pt idx="1">
                  <c:v>34.299999999999997</c:v>
                </c:pt>
                <c:pt idx="2">
                  <c:v>35.1</c:v>
                </c:pt>
                <c:pt idx="3">
                  <c:v>37.5</c:v>
                </c:pt>
                <c:pt idx="4">
                  <c:v>30</c:v>
                </c:pt>
                <c:pt idx="5">
                  <c:v>38.6</c:v>
                </c:pt>
                <c:pt idx="6">
                  <c:v>43.5</c:v>
                </c:pt>
                <c:pt idx="7">
                  <c:v>34.700000000000003</c:v>
                </c:pt>
                <c:pt idx="8">
                  <c:v>38.299999999999997</c:v>
                </c:pt>
                <c:pt idx="9">
                  <c:v>19.8</c:v>
                </c:pt>
                <c:pt idx="10">
                  <c:v>44</c:v>
                </c:pt>
                <c:pt idx="11">
                  <c:v>28.7</c:v>
                </c:pt>
                <c:pt idx="12">
                  <c:v>38</c:v>
                </c:pt>
                <c:pt idx="13">
                  <c:v>33.1</c:v>
                </c:pt>
                <c:pt idx="14">
                  <c:v>29.7</c:v>
                </c:pt>
                <c:pt idx="15">
                  <c:v>28.8</c:v>
                </c:pt>
                <c:pt idx="16">
                  <c:v>34.6</c:v>
                </c:pt>
                <c:pt idx="17">
                  <c:v>33.9</c:v>
                </c:pt>
                <c:pt idx="18">
                  <c:v>31</c:v>
                </c:pt>
                <c:pt idx="19">
                  <c:v>33.299999999999997</c:v>
                </c:pt>
                <c:pt idx="20">
                  <c:v>34.799999999999997</c:v>
                </c:pt>
                <c:pt idx="21">
                  <c:v>33.200000000000003</c:v>
                </c:pt>
                <c:pt idx="22">
                  <c:v>34.4</c:v>
                </c:pt>
                <c:pt idx="23">
                  <c:v>35.9</c:v>
                </c:pt>
                <c:pt idx="24">
                  <c:v>35.299999999999997</c:v>
                </c:pt>
                <c:pt idx="25">
                  <c:v>33.6</c:v>
                </c:pt>
                <c:pt idx="26">
                  <c:v>33.9</c:v>
                </c:pt>
                <c:pt idx="27">
                  <c:v>37</c:v>
                </c:pt>
                <c:pt idx="28">
                  <c:v>33.1</c:v>
                </c:pt>
                <c:pt idx="29">
                  <c:v>34.9</c:v>
                </c:pt>
                <c:pt idx="30">
                  <c:v>33</c:v>
                </c:pt>
                <c:pt idx="31">
                  <c:v>34.299999999999997</c:v>
                </c:pt>
                <c:pt idx="32">
                  <c:v>32.799999999999997</c:v>
                </c:pt>
                <c:pt idx="33">
                  <c:v>37.9</c:v>
                </c:pt>
                <c:pt idx="34">
                  <c:v>37.799999999999997</c:v>
                </c:pt>
                <c:pt idx="35">
                  <c:v>34.1</c:v>
                </c:pt>
                <c:pt idx="36">
                  <c:v>34.299999999999997</c:v>
                </c:pt>
                <c:pt idx="37">
                  <c:v>37.299999999999997</c:v>
                </c:pt>
                <c:pt idx="38">
                  <c:v>32.5</c:v>
                </c:pt>
                <c:pt idx="39">
                  <c:v>34.4</c:v>
                </c:pt>
                <c:pt idx="40">
                  <c:v>30.5</c:v>
                </c:pt>
                <c:pt idx="41">
                  <c:v>29.1</c:v>
                </c:pt>
                <c:pt idx="42">
                  <c:v>32.6</c:v>
                </c:pt>
                <c:pt idx="43">
                  <c:v>30.4</c:v>
                </c:pt>
                <c:pt idx="44">
                  <c:v>31.9</c:v>
                </c:pt>
                <c:pt idx="45">
                  <c:v>29</c:v>
                </c:pt>
                <c:pt idx="46">
                  <c:v>32.700000000000003</c:v>
                </c:pt>
                <c:pt idx="47">
                  <c:v>36</c:v>
                </c:pt>
                <c:pt idx="48">
                  <c:v>33.9</c:v>
                </c:pt>
                <c:pt idx="49">
                  <c:v>34</c:v>
                </c:pt>
                <c:pt idx="50">
                  <c:v>35.799999999999997</c:v>
                </c:pt>
                <c:pt idx="51">
                  <c:v>34.9</c:v>
                </c:pt>
                <c:pt idx="52">
                  <c:v>34.6</c:v>
                </c:pt>
                <c:pt idx="53">
                  <c:v>34.9</c:v>
                </c:pt>
                <c:pt idx="54">
                  <c:v>34.4</c:v>
                </c:pt>
                <c:pt idx="55">
                  <c:v>32.6</c:v>
                </c:pt>
                <c:pt idx="56">
                  <c:v>34.5</c:v>
                </c:pt>
                <c:pt idx="57">
                  <c:v>32.299999999999997</c:v>
                </c:pt>
                <c:pt idx="58">
                  <c:v>32.799999999999997</c:v>
                </c:pt>
                <c:pt idx="59">
                  <c:v>34.5</c:v>
                </c:pt>
                <c:pt idx="60">
                  <c:v>33.799999999999997</c:v>
                </c:pt>
                <c:pt idx="61">
                  <c:v>35.1</c:v>
                </c:pt>
                <c:pt idx="62">
                  <c:v>37.799999999999997</c:v>
                </c:pt>
                <c:pt idx="63">
                  <c:v>33</c:v>
                </c:pt>
                <c:pt idx="64">
                  <c:v>42.5</c:v>
                </c:pt>
                <c:pt idx="65">
                  <c:v>35.700000000000003</c:v>
                </c:pt>
                <c:pt idx="66">
                  <c:v>30.2</c:v>
                </c:pt>
                <c:pt idx="67">
                  <c:v>32.1</c:v>
                </c:pt>
                <c:pt idx="68">
                  <c:v>30.7</c:v>
                </c:pt>
                <c:pt idx="69">
                  <c:v>33.799999999999997</c:v>
                </c:pt>
                <c:pt idx="70">
                  <c:v>32.9</c:v>
                </c:pt>
                <c:pt idx="71">
                  <c:v>37.5</c:v>
                </c:pt>
                <c:pt idx="72">
                  <c:v>33</c:v>
                </c:pt>
                <c:pt idx="73">
                  <c:v>33.9</c:v>
                </c:pt>
                <c:pt idx="74">
                  <c:v>28.6</c:v>
                </c:pt>
                <c:pt idx="75">
                  <c:v>34.1</c:v>
                </c:pt>
                <c:pt idx="76">
                  <c:v>32.1</c:v>
                </c:pt>
                <c:pt idx="77">
                  <c:v>32.299999999999997</c:v>
                </c:pt>
                <c:pt idx="78">
                  <c:v>34.6</c:v>
                </c:pt>
                <c:pt idx="79">
                  <c:v>33</c:v>
                </c:pt>
                <c:pt idx="80">
                  <c:v>33.5</c:v>
                </c:pt>
                <c:pt idx="81">
                  <c:v>35.9</c:v>
                </c:pt>
                <c:pt idx="82">
                  <c:v>34.9</c:v>
                </c:pt>
                <c:pt idx="83">
                  <c:v>38</c:v>
                </c:pt>
                <c:pt idx="84">
                  <c:v>35.6</c:v>
                </c:pt>
                <c:pt idx="85">
                  <c:v>37.200000000000003</c:v>
                </c:pt>
                <c:pt idx="86">
                  <c:v>36.5</c:v>
                </c:pt>
                <c:pt idx="87">
                  <c:v>41.3</c:v>
                </c:pt>
                <c:pt idx="88">
                  <c:v>33.9</c:v>
                </c:pt>
                <c:pt idx="89">
                  <c:v>34.299999999999997</c:v>
                </c:pt>
                <c:pt idx="90">
                  <c:v>31.4</c:v>
                </c:pt>
                <c:pt idx="91">
                  <c:v>29.6</c:v>
                </c:pt>
                <c:pt idx="92">
                  <c:v>33.799999999999997</c:v>
                </c:pt>
                <c:pt idx="93">
                  <c:v>32.200000000000003</c:v>
                </c:pt>
                <c:pt idx="94">
                  <c:v>30.1</c:v>
                </c:pt>
                <c:pt idx="95">
                  <c:v>32.9</c:v>
                </c:pt>
                <c:pt idx="96">
                  <c:v>32.1</c:v>
                </c:pt>
                <c:pt idx="97">
                  <c:v>32</c:v>
                </c:pt>
                <c:pt idx="98">
                  <c:v>29</c:v>
                </c:pt>
              </c:numCache>
            </c:numRef>
          </c:xVal>
          <c:yVal>
            <c:numRef>
              <c:f>Data!$AN$2:$AN$100</c:f>
              <c:numCache>
                <c:formatCode>General</c:formatCode>
                <c:ptCount val="99"/>
                <c:pt idx="0">
                  <c:v>5287.1093499999997</c:v>
                </c:pt>
                <c:pt idx="1">
                  <c:v>5317.1479099999997</c:v>
                </c:pt>
                <c:pt idx="2">
                  <c:v>5335.4242599999998</c:v>
                </c:pt>
                <c:pt idx="3">
                  <c:v>6185.8288300000004</c:v>
                </c:pt>
                <c:pt idx="4">
                  <c:v>4149.4032299999999</c:v>
                </c:pt>
                <c:pt idx="5">
                  <c:v>5441.8352000000004</c:v>
                </c:pt>
                <c:pt idx="6">
                  <c:v>7591.4790000000003</c:v>
                </c:pt>
                <c:pt idx="7">
                  <c:v>4643.4975100000001</c:v>
                </c:pt>
                <c:pt idx="8">
                  <c:v>4380.27693</c:v>
                </c:pt>
                <c:pt idx="9">
                  <c:v>1679.3195000000001</c:v>
                </c:pt>
                <c:pt idx="10">
                  <c:v>7579.0248899999997</c:v>
                </c:pt>
                <c:pt idx="11">
                  <c:v>3089.9308900000001</c:v>
                </c:pt>
                <c:pt idx="12">
                  <c:v>5077.7157900000002</c:v>
                </c:pt>
                <c:pt idx="13">
                  <c:v>3908.6552900000002</c:v>
                </c:pt>
                <c:pt idx="14">
                  <c:v>5891.3159900000001</c:v>
                </c:pt>
                <c:pt idx="15">
                  <c:v>4809.3618100000003</c:v>
                </c:pt>
                <c:pt idx="16">
                  <c:v>4660.4536799999996</c:v>
                </c:pt>
                <c:pt idx="17">
                  <c:v>4535.1127100000003</c:v>
                </c:pt>
                <c:pt idx="18">
                  <c:v>4322.3541500000001</c:v>
                </c:pt>
                <c:pt idx="19">
                  <c:v>4995.05555</c:v>
                </c:pt>
                <c:pt idx="20">
                  <c:v>5606.2789700000003</c:v>
                </c:pt>
                <c:pt idx="21">
                  <c:v>5513.6965</c:v>
                </c:pt>
                <c:pt idx="22">
                  <c:v>5176.54475</c:v>
                </c:pt>
                <c:pt idx="23">
                  <c:v>5040.0345699999998</c:v>
                </c:pt>
                <c:pt idx="24">
                  <c:v>5734.4524600000004</c:v>
                </c:pt>
                <c:pt idx="25">
                  <c:v>5910.8598300000003</c:v>
                </c:pt>
                <c:pt idx="26">
                  <c:v>6163.0136400000001</c:v>
                </c:pt>
                <c:pt idx="27">
                  <c:v>4880.9875400000001</c:v>
                </c:pt>
                <c:pt idx="28">
                  <c:v>4931.5295299999998</c:v>
                </c:pt>
                <c:pt idx="29">
                  <c:v>5178.8955100000003</c:v>
                </c:pt>
                <c:pt idx="30">
                  <c:v>5330.4991399999999</c:v>
                </c:pt>
                <c:pt idx="31">
                  <c:v>5400.8096599999999</c:v>
                </c:pt>
                <c:pt idx="32">
                  <c:v>5060.35887</c:v>
                </c:pt>
                <c:pt idx="33">
                  <c:v>5884.8444600000003</c:v>
                </c:pt>
                <c:pt idx="34">
                  <c:v>6189.1550299999999</c:v>
                </c:pt>
                <c:pt idx="35">
                  <c:v>5310.7309599999999</c:v>
                </c:pt>
                <c:pt idx="36">
                  <c:v>5709.7067200000001</c:v>
                </c:pt>
                <c:pt idx="37">
                  <c:v>6031.27801</c:v>
                </c:pt>
                <c:pt idx="38">
                  <c:v>4763.2717000000002</c:v>
                </c:pt>
                <c:pt idx="39">
                  <c:v>5224.9735799999999</c:v>
                </c:pt>
                <c:pt idx="40">
                  <c:v>5007.7712899999997</c:v>
                </c:pt>
                <c:pt idx="41">
                  <c:v>6239.39624</c:v>
                </c:pt>
                <c:pt idx="42">
                  <c:v>4648.6446699999997</c:v>
                </c:pt>
                <c:pt idx="43">
                  <c:v>5400.7634799999996</c:v>
                </c:pt>
                <c:pt idx="44">
                  <c:v>4955.4189200000001</c:v>
                </c:pt>
                <c:pt idx="45">
                  <c:v>6740.7996899999998</c:v>
                </c:pt>
                <c:pt idx="46">
                  <c:v>6222.5878599999996</c:v>
                </c:pt>
                <c:pt idx="47">
                  <c:v>6188.8466600000002</c:v>
                </c:pt>
                <c:pt idx="48">
                  <c:v>5119.0138800000004</c:v>
                </c:pt>
                <c:pt idx="49">
                  <c:v>5599.7459799999997</c:v>
                </c:pt>
                <c:pt idx="50">
                  <c:v>5526.7588299999998</c:v>
                </c:pt>
                <c:pt idx="51">
                  <c:v>4996.0742700000001</c:v>
                </c:pt>
                <c:pt idx="52">
                  <c:v>5339.6141799999996</c:v>
                </c:pt>
                <c:pt idx="53">
                  <c:v>5418.6270100000002</c:v>
                </c:pt>
                <c:pt idx="54">
                  <c:v>6421.4720500000003</c:v>
                </c:pt>
                <c:pt idx="55">
                  <c:v>6921.5049799999997</c:v>
                </c:pt>
                <c:pt idx="56">
                  <c:v>5764.7194</c:v>
                </c:pt>
                <c:pt idx="57">
                  <c:v>5183.9084700000003</c:v>
                </c:pt>
                <c:pt idx="58">
                  <c:v>4732.8564299999998</c:v>
                </c:pt>
                <c:pt idx="59">
                  <c:v>5326.2939399999996</c:v>
                </c:pt>
                <c:pt idx="60">
                  <c:v>4745.1713200000004</c:v>
                </c:pt>
                <c:pt idx="61">
                  <c:v>4959.6785600000003</c:v>
                </c:pt>
                <c:pt idx="62">
                  <c:v>5020.8597799999998</c:v>
                </c:pt>
                <c:pt idx="63">
                  <c:v>4235.5151900000001</c:v>
                </c:pt>
                <c:pt idx="64">
                  <c:v>6806.2685099999999</c:v>
                </c:pt>
                <c:pt idx="65">
                  <c:v>4661.2739000000001</c:v>
                </c:pt>
                <c:pt idx="66">
                  <c:v>4856.1254900000004</c:v>
                </c:pt>
                <c:pt idx="67">
                  <c:v>4412.91572</c:v>
                </c:pt>
                <c:pt idx="68">
                  <c:v>5328.0110100000002</c:v>
                </c:pt>
                <c:pt idx="69">
                  <c:v>4765.8524500000003</c:v>
                </c:pt>
                <c:pt idx="70">
                  <c:v>4746.7687299999998</c:v>
                </c:pt>
                <c:pt idx="71">
                  <c:v>5890.2442099999998</c:v>
                </c:pt>
                <c:pt idx="72">
                  <c:v>3980.7408799999998</c:v>
                </c:pt>
                <c:pt idx="73">
                  <c:v>3659.0720299999998</c:v>
                </c:pt>
                <c:pt idx="74">
                  <c:v>5003.1549500000001</c:v>
                </c:pt>
                <c:pt idx="75">
                  <c:v>5247.9552199999998</c:v>
                </c:pt>
                <c:pt idx="76">
                  <c:v>4596.1539499999999</c:v>
                </c:pt>
                <c:pt idx="77">
                  <c:v>4507.5769200000004</c:v>
                </c:pt>
                <c:pt idx="78">
                  <c:v>5719.6574899999996</c:v>
                </c:pt>
                <c:pt idx="79">
                  <c:v>6034.89473</c:v>
                </c:pt>
                <c:pt idx="80">
                  <c:v>6477.5162099999998</c:v>
                </c:pt>
                <c:pt idx="81">
                  <c:v>6018.8103799999999</c:v>
                </c:pt>
                <c:pt idx="82">
                  <c:v>5410.3971099999999</c:v>
                </c:pt>
                <c:pt idx="83">
                  <c:v>6068.8184600000004</c:v>
                </c:pt>
                <c:pt idx="84">
                  <c:v>6016.0194199999996</c:v>
                </c:pt>
                <c:pt idx="85">
                  <c:v>5395.8877000000002</c:v>
                </c:pt>
                <c:pt idx="86">
                  <c:v>4980.9839499999998</c:v>
                </c:pt>
                <c:pt idx="87">
                  <c:v>6678.1514500000003</c:v>
                </c:pt>
                <c:pt idx="88">
                  <c:v>4626.9781499999999</c:v>
                </c:pt>
                <c:pt idx="89">
                  <c:v>5557.2416300000004</c:v>
                </c:pt>
                <c:pt idx="90">
                  <c:v>5587.7171099999996</c:v>
                </c:pt>
                <c:pt idx="91">
                  <c:v>3267.1764600000001</c:v>
                </c:pt>
                <c:pt idx="92">
                  <c:v>4066.6019000000001</c:v>
                </c:pt>
                <c:pt idx="93">
                  <c:v>5737.9262900000003</c:v>
                </c:pt>
                <c:pt idx="94">
                  <c:v>6092.4543100000001</c:v>
                </c:pt>
                <c:pt idx="95">
                  <c:v>4756.0166399999998</c:v>
                </c:pt>
                <c:pt idx="96">
                  <c:v>4517.62698</c:v>
                </c:pt>
                <c:pt idx="97">
                  <c:v>4925.5267100000001</c:v>
                </c:pt>
                <c:pt idx="98">
                  <c:v>5732.6809899999998</c:v>
                </c:pt>
              </c:numCache>
            </c:numRef>
          </c:yVal>
          <c:smooth val="0"/>
          <c:extLst>
            <c:ext xmlns:c16="http://schemas.microsoft.com/office/drawing/2014/chart" uri="{C3380CC4-5D6E-409C-BE32-E72D297353CC}">
              <c16:uniqueId val="{00000001-AA31-4807-A6B6-73278072CDB1}"/>
            </c:ext>
          </c:extLst>
        </c:ser>
        <c:dLbls>
          <c:showLegendKey val="0"/>
          <c:showVal val="0"/>
          <c:showCatName val="0"/>
          <c:showSerName val="0"/>
          <c:showPercent val="0"/>
          <c:showBubbleSize val="0"/>
        </c:dLbls>
        <c:axId val="706219279"/>
        <c:axId val="711198079"/>
      </c:scatterChart>
      <c:valAx>
        <c:axId val="706219279"/>
        <c:scaling>
          <c:orientation val="minMax"/>
          <c:min val="-30"/>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US"/>
                  <a:t>Outdoor Air Design Day Temperature [°C]</a:t>
                </a:r>
              </a:p>
            </c:rich>
          </c:tx>
          <c:layout>
            <c:manualLayout>
              <c:xMode val="edge"/>
              <c:yMode val="edge"/>
              <c:x val="0.27820377341417901"/>
              <c:y val="0.93710988120027727"/>
            </c:manualLayout>
          </c:layout>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711198079"/>
        <c:crosses val="autoZero"/>
        <c:crossBetween val="midCat"/>
        <c:majorUnit val="10"/>
      </c:valAx>
      <c:valAx>
        <c:axId val="71119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Capacity [W]</a:t>
                </a:r>
              </a:p>
            </c:rich>
          </c:tx>
          <c:layout>
            <c:manualLayout>
              <c:xMode val="edge"/>
              <c:yMode val="edge"/>
              <c:x val="8.8919065923435507E-3"/>
              <c:y val="0.35017222741795972"/>
            </c:manualLayout>
          </c:layout>
          <c:overlay val="0"/>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706219279"/>
        <c:crossesAt val="-30"/>
        <c:crossBetween val="midCat"/>
      </c:valAx>
    </c:plotArea>
    <c:legend>
      <c:legendPos val="t"/>
      <c:layout>
        <c:manualLayout>
          <c:xMode val="edge"/>
          <c:yMode val="edge"/>
          <c:x val="0.1628639833211917"/>
          <c:y val="1.8167331133226619E-2"/>
          <c:w val="0.7988620803637132"/>
          <c:h val="0.11086808530793785"/>
        </c:manualLayout>
      </c:layout>
      <c:overlay val="0"/>
    </c:legend>
    <c:plotVisOnly val="1"/>
    <c:dispBlanksAs val="gap"/>
    <c:showDLblsOverMax val="0"/>
    <c:extLst/>
  </c:chart>
  <c:spPr>
    <a:ln>
      <a:noFill/>
    </a:ln>
  </c:spPr>
  <c:txPr>
    <a:bodyPr/>
    <a:lstStyle/>
    <a:p>
      <a:pPr>
        <a:defRPr sz="2000">
          <a:latin typeface="Times New Roman" panose="02020603050405020304" pitchFamily="18" charset="0"/>
          <a:cs typeface="Times New Roman" panose="02020603050405020304" pitchFamily="18" charset="0"/>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07153489461877"/>
          <c:y val="2.9640063214241813E-2"/>
          <c:w val="0.81044009380870241"/>
          <c:h val="0.77770570399269301"/>
        </c:manualLayout>
      </c:layout>
      <c:scatterChart>
        <c:scatterStyle val="lineMarker"/>
        <c:varyColors val="0"/>
        <c:ser>
          <c:idx val="0"/>
          <c:order val="0"/>
          <c:tx>
            <c:v>Very cold/Cold</c:v>
          </c:tx>
          <c:spPr>
            <a:ln w="19050" cap="rnd">
              <a:noFill/>
              <a:round/>
            </a:ln>
            <a:effectLst/>
          </c:spPr>
          <c:marker>
            <c:symbol val="x"/>
            <c:size val="8"/>
            <c:spPr>
              <a:noFill/>
              <a:ln w="9525">
                <a:solidFill>
                  <a:srgbClr val="7030A0"/>
                </a:solidFill>
              </a:ln>
              <a:effectLst/>
            </c:spPr>
          </c:marker>
          <c:xVal>
            <c:numRef>
              <c:f>'Useful Constants'!$C$16:$X$16</c:f>
              <c:numCache>
                <c:formatCode>General</c:formatCode>
                <c:ptCount val="22"/>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numCache>
            </c:numRef>
          </c:xVal>
          <c:yVal>
            <c:numRef>
              <c:f>'Useful Constants'!$C$17:$X$17</c:f>
              <c:numCache>
                <c:formatCode>0.00%</c:formatCode>
                <c:ptCount val="22"/>
                <c:pt idx="0" formatCode="0.0%">
                  <c:v>0.85199999999999998</c:v>
                </c:pt>
                <c:pt idx="1">
                  <c:v>0.87039672000000001</c:v>
                </c:pt>
                <c:pt idx="2">
                  <c:v>0.88217749999999995</c:v>
                </c:pt>
                <c:pt idx="3">
                  <c:v>0.89345471999999992</c:v>
                </c:pt>
                <c:pt idx="4">
                  <c:v>0.90422837999999994</c:v>
                </c:pt>
                <c:pt idx="5">
                  <c:v>0.91449848</c:v>
                </c:pt>
                <c:pt idx="6">
                  <c:v>0.92426501999999999</c:v>
                </c:pt>
                <c:pt idx="7">
                  <c:v>0.93352800000000014</c:v>
                </c:pt>
                <c:pt idx="8">
                  <c:v>0.94228741999999999</c:v>
                </c:pt>
                <c:pt idx="9">
                  <c:v>0.95054327999999999</c:v>
                </c:pt>
                <c:pt idx="10">
                  <c:v>0.95829557999999992</c:v>
                </c:pt>
                <c:pt idx="11">
                  <c:v>0.96554432000000001</c:v>
                </c:pt>
                <c:pt idx="12">
                  <c:v>0.97228950000000003</c:v>
                </c:pt>
                <c:pt idx="13">
                  <c:v>0.97853111999999998</c:v>
                </c:pt>
                <c:pt idx="14">
                  <c:v>0.98426918000000008</c:v>
                </c:pt>
                <c:pt idx="15">
                  <c:v>1</c:v>
                </c:pt>
                <c:pt idx="16">
                  <c:v>1</c:v>
                </c:pt>
                <c:pt idx="17">
                  <c:v>1</c:v>
                </c:pt>
                <c:pt idx="18">
                  <c:v>1</c:v>
                </c:pt>
                <c:pt idx="19">
                  <c:v>1</c:v>
                </c:pt>
                <c:pt idx="20">
                  <c:v>1</c:v>
                </c:pt>
                <c:pt idx="21">
                  <c:v>1</c:v>
                </c:pt>
              </c:numCache>
            </c:numRef>
          </c:yVal>
          <c:smooth val="0"/>
          <c:extLst>
            <c:ext xmlns:c16="http://schemas.microsoft.com/office/drawing/2014/chart" uri="{C3380CC4-5D6E-409C-BE32-E72D297353CC}">
              <c16:uniqueId val="{00000000-101E-4312-96BC-753E5388BDD0}"/>
            </c:ext>
          </c:extLst>
        </c:ser>
        <c:ser>
          <c:idx val="2"/>
          <c:order val="1"/>
          <c:tx>
            <c:strRef>
              <c:f>'Useful Constants'!$A$19</c:f>
              <c:strCache>
                <c:ptCount val="1"/>
                <c:pt idx="0">
                  <c:v>Mixed-Humid</c:v>
                </c:pt>
              </c:strCache>
            </c:strRef>
          </c:tx>
          <c:spPr>
            <a:ln w="19050" cap="rnd">
              <a:noFill/>
              <a:round/>
            </a:ln>
            <a:effectLst/>
          </c:spPr>
          <c:marker>
            <c:symbol val="dash"/>
            <c:size val="8"/>
            <c:spPr>
              <a:noFill/>
              <a:ln w="9525">
                <a:solidFill>
                  <a:schemeClr val="tx1"/>
                </a:solidFill>
              </a:ln>
              <a:effectLst/>
            </c:spPr>
          </c:marker>
          <c:xVal>
            <c:numRef>
              <c:f>'Useful Constants'!$C$16:$X$16</c:f>
              <c:numCache>
                <c:formatCode>General</c:formatCode>
                <c:ptCount val="22"/>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numCache>
            </c:numRef>
          </c:xVal>
          <c:yVal>
            <c:numRef>
              <c:f>'Useful Constants'!$C$19:$X$19</c:f>
              <c:numCache>
                <c:formatCode>0.00%</c:formatCode>
                <c:ptCount val="22"/>
                <c:pt idx="0" formatCode="0.0%">
                  <c:v>0.94299999999999995</c:v>
                </c:pt>
                <c:pt idx="1">
                  <c:v>0.95054327999999999</c:v>
                </c:pt>
                <c:pt idx="2">
                  <c:v>0.95829557999999992</c:v>
                </c:pt>
                <c:pt idx="3">
                  <c:v>0.96554432000000001</c:v>
                </c:pt>
                <c:pt idx="4">
                  <c:v>0.97228950000000003</c:v>
                </c:pt>
                <c:pt idx="5">
                  <c:v>0.97853111999999998</c:v>
                </c:pt>
                <c:pt idx="6">
                  <c:v>0.98426918000000008</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Cache>
            </c:numRef>
          </c:yVal>
          <c:smooth val="0"/>
          <c:extLst>
            <c:ext xmlns:c16="http://schemas.microsoft.com/office/drawing/2014/chart" uri="{C3380CC4-5D6E-409C-BE32-E72D297353CC}">
              <c16:uniqueId val="{00000001-101E-4312-96BC-753E5388BDD0}"/>
            </c:ext>
          </c:extLst>
        </c:ser>
        <c:ser>
          <c:idx val="3"/>
          <c:order val="2"/>
          <c:tx>
            <c:v>Mixed Dry/Hot Dry</c:v>
          </c:tx>
          <c:spPr>
            <a:ln w="19050" cap="rnd">
              <a:noFill/>
              <a:round/>
            </a:ln>
            <a:effectLst/>
          </c:spPr>
          <c:marker>
            <c:symbol val="triangle"/>
            <c:size val="8"/>
            <c:spPr>
              <a:noFill/>
              <a:ln w="9525">
                <a:solidFill>
                  <a:schemeClr val="accent2"/>
                </a:solidFill>
              </a:ln>
              <a:effectLst/>
            </c:spPr>
          </c:marker>
          <c:xVal>
            <c:numRef>
              <c:f>'Useful Constants'!$C$16:$X$16</c:f>
              <c:numCache>
                <c:formatCode>General</c:formatCode>
                <c:ptCount val="22"/>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numCache>
            </c:numRef>
          </c:xVal>
          <c:yVal>
            <c:numRef>
              <c:f>'Useful Constants'!$C$20:$X$20</c:f>
              <c:numCache>
                <c:formatCode>0.00%</c:formatCode>
                <c:ptCount val="22"/>
                <c:pt idx="0" formatCode="0.0%">
                  <c:v>0.80393942000000007</c:v>
                </c:pt>
                <c:pt idx="1">
                  <c:v>0.81823800000000002</c:v>
                </c:pt>
                <c:pt idx="2">
                  <c:v>0.8320330199999999</c:v>
                </c:pt>
                <c:pt idx="3">
                  <c:v>0.84532448000000004</c:v>
                </c:pt>
                <c:pt idx="4">
                  <c:v>0.85811238000000001</c:v>
                </c:pt>
                <c:pt idx="5">
                  <c:v>0.87039672000000001</c:v>
                </c:pt>
                <c:pt idx="6">
                  <c:v>0.88217749999999995</c:v>
                </c:pt>
                <c:pt idx="7">
                  <c:v>0.89345471999999992</c:v>
                </c:pt>
                <c:pt idx="8">
                  <c:v>0.90422837999999994</c:v>
                </c:pt>
                <c:pt idx="9">
                  <c:v>0.91449848</c:v>
                </c:pt>
                <c:pt idx="10">
                  <c:v>0.92426501999999999</c:v>
                </c:pt>
                <c:pt idx="11">
                  <c:v>0.93352800000000014</c:v>
                </c:pt>
                <c:pt idx="12">
                  <c:v>0.94228741999999999</c:v>
                </c:pt>
                <c:pt idx="13">
                  <c:v>0.95054327999999999</c:v>
                </c:pt>
                <c:pt idx="14">
                  <c:v>0.95829557999999992</c:v>
                </c:pt>
                <c:pt idx="15">
                  <c:v>0.96554432000000001</c:v>
                </c:pt>
                <c:pt idx="16">
                  <c:v>0.97228950000000003</c:v>
                </c:pt>
                <c:pt idx="17">
                  <c:v>0.97853111999999998</c:v>
                </c:pt>
                <c:pt idx="18">
                  <c:v>0.98426918000000008</c:v>
                </c:pt>
                <c:pt idx="19">
                  <c:v>1</c:v>
                </c:pt>
                <c:pt idx="20">
                  <c:v>1</c:v>
                </c:pt>
                <c:pt idx="21">
                  <c:v>1</c:v>
                </c:pt>
              </c:numCache>
            </c:numRef>
          </c:yVal>
          <c:smooth val="0"/>
          <c:extLst>
            <c:ext xmlns:c16="http://schemas.microsoft.com/office/drawing/2014/chart" uri="{C3380CC4-5D6E-409C-BE32-E72D297353CC}">
              <c16:uniqueId val="{00000002-101E-4312-96BC-753E5388BDD0}"/>
            </c:ext>
          </c:extLst>
        </c:ser>
        <c:ser>
          <c:idx val="5"/>
          <c:order val="3"/>
          <c:tx>
            <c:strRef>
              <c:f>'Useful Constants'!$A$22</c:f>
              <c:strCache>
                <c:ptCount val="1"/>
                <c:pt idx="0">
                  <c:v>Hot-Humid</c:v>
                </c:pt>
              </c:strCache>
            </c:strRef>
          </c:tx>
          <c:spPr>
            <a:ln w="19050" cap="rnd">
              <a:noFill/>
              <a:round/>
            </a:ln>
            <a:effectLst/>
          </c:spPr>
          <c:marker>
            <c:symbol val="circle"/>
            <c:size val="8"/>
            <c:spPr>
              <a:noFill/>
              <a:ln w="9525">
                <a:solidFill>
                  <a:schemeClr val="accent1"/>
                </a:solidFill>
              </a:ln>
              <a:effectLst/>
            </c:spPr>
          </c:marker>
          <c:xVal>
            <c:numRef>
              <c:f>'Useful Constants'!$C$16:$X$16</c:f>
              <c:numCache>
                <c:formatCode>General</c:formatCode>
                <c:ptCount val="22"/>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numCache>
            </c:numRef>
          </c:xVal>
          <c:yVal>
            <c:numRef>
              <c:f>'Useful Constants'!$C$22:$X$22</c:f>
              <c:numCache>
                <c:formatCode>0.00%</c:formatCode>
                <c:ptCount val="22"/>
                <c:pt idx="0" formatCode="0.0%">
                  <c:v>0.93400000000000005</c:v>
                </c:pt>
                <c:pt idx="1">
                  <c:v>0.95054327999999999</c:v>
                </c:pt>
                <c:pt idx="2">
                  <c:v>0.95829557999999992</c:v>
                </c:pt>
                <c:pt idx="3">
                  <c:v>0.96554432000000001</c:v>
                </c:pt>
                <c:pt idx="4">
                  <c:v>0.97228950000000003</c:v>
                </c:pt>
                <c:pt idx="5">
                  <c:v>0.97853111999999998</c:v>
                </c:pt>
                <c:pt idx="6">
                  <c:v>0.98426918000000008</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Cache>
            </c:numRef>
          </c:yVal>
          <c:smooth val="0"/>
          <c:extLst>
            <c:ext xmlns:c16="http://schemas.microsoft.com/office/drawing/2014/chart" uri="{C3380CC4-5D6E-409C-BE32-E72D297353CC}">
              <c16:uniqueId val="{00000003-101E-4312-96BC-753E5388BDD0}"/>
            </c:ext>
          </c:extLst>
        </c:ser>
        <c:ser>
          <c:idx val="6"/>
          <c:order val="4"/>
          <c:tx>
            <c:strRef>
              <c:f>'Useful Constants'!$A$23</c:f>
              <c:strCache>
                <c:ptCount val="1"/>
                <c:pt idx="0">
                  <c:v>Marine</c:v>
                </c:pt>
              </c:strCache>
            </c:strRef>
          </c:tx>
          <c:spPr>
            <a:ln w="19050" cap="rnd">
              <a:noFill/>
              <a:round/>
            </a:ln>
            <a:effectLst/>
          </c:spPr>
          <c:marker>
            <c:symbol val="star"/>
            <c:size val="8"/>
            <c:spPr>
              <a:noFill/>
              <a:ln w="9525">
                <a:solidFill>
                  <a:srgbClr val="00B050"/>
                </a:solidFill>
              </a:ln>
              <a:effectLst/>
            </c:spPr>
          </c:marker>
          <c:xVal>
            <c:numRef>
              <c:f>'Useful Constants'!$C$16:$X$16</c:f>
              <c:numCache>
                <c:formatCode>General</c:formatCode>
                <c:ptCount val="22"/>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numCache>
            </c:numRef>
          </c:xVal>
          <c:yVal>
            <c:numRef>
              <c:f>'Useful Constants'!$C$23:$X$23</c:f>
              <c:numCache>
                <c:formatCode>0.00%</c:formatCode>
                <c:ptCount val="22"/>
                <c:pt idx="0" formatCode="0.0%">
                  <c:v>0.52200000000000002</c:v>
                </c:pt>
                <c:pt idx="1">
                  <c:v>0.55088550000000003</c:v>
                </c:pt>
                <c:pt idx="2">
                  <c:v>0.57223391999999995</c:v>
                </c:pt>
                <c:pt idx="3">
                  <c:v>0.59307877999999992</c:v>
                </c:pt>
                <c:pt idx="4">
                  <c:v>0.61342008000000003</c:v>
                </c:pt>
                <c:pt idx="5">
                  <c:v>0.63325781999999997</c:v>
                </c:pt>
                <c:pt idx="6">
                  <c:v>0.65259199999999995</c:v>
                </c:pt>
                <c:pt idx="7">
                  <c:v>0.67142261999999997</c:v>
                </c:pt>
                <c:pt idx="8">
                  <c:v>0.68974968000000003</c:v>
                </c:pt>
                <c:pt idx="9">
                  <c:v>0.70757318000000002</c:v>
                </c:pt>
                <c:pt idx="10">
                  <c:v>0.72489311999999995</c:v>
                </c:pt>
                <c:pt idx="11">
                  <c:v>0.74170950000000002</c:v>
                </c:pt>
                <c:pt idx="12">
                  <c:v>0.75802232000000003</c:v>
                </c:pt>
                <c:pt idx="13">
                  <c:v>0.77383157999999996</c:v>
                </c:pt>
                <c:pt idx="14">
                  <c:v>0.78913728000000005</c:v>
                </c:pt>
                <c:pt idx="15">
                  <c:v>0.80393942000000007</c:v>
                </c:pt>
                <c:pt idx="16">
                  <c:v>0.81823800000000002</c:v>
                </c:pt>
                <c:pt idx="17">
                  <c:v>0.8320330199999999</c:v>
                </c:pt>
                <c:pt idx="18">
                  <c:v>0.84532448000000004</c:v>
                </c:pt>
                <c:pt idx="19">
                  <c:v>0.85811238000000001</c:v>
                </c:pt>
                <c:pt idx="20">
                  <c:v>0.87039672000000001</c:v>
                </c:pt>
                <c:pt idx="21">
                  <c:v>0.88217749999999995</c:v>
                </c:pt>
              </c:numCache>
            </c:numRef>
          </c:yVal>
          <c:smooth val="0"/>
          <c:extLst>
            <c:ext xmlns:c16="http://schemas.microsoft.com/office/drawing/2014/chart" uri="{C3380CC4-5D6E-409C-BE32-E72D297353CC}">
              <c16:uniqueId val="{00000004-101E-4312-96BC-753E5388BDD0}"/>
            </c:ext>
          </c:extLst>
        </c:ser>
        <c:dLbls>
          <c:showLegendKey val="0"/>
          <c:showVal val="0"/>
          <c:showCatName val="0"/>
          <c:showSerName val="0"/>
          <c:showPercent val="0"/>
          <c:showBubbleSize val="0"/>
        </c:dLbls>
        <c:axId val="441261919"/>
        <c:axId val="363884991"/>
      </c:scatterChart>
      <c:valAx>
        <c:axId val="441261919"/>
        <c:scaling>
          <c:orientation val="minMax"/>
          <c:max val="2036"/>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3884991"/>
        <c:crosses val="autoZero"/>
        <c:crossBetween val="midCat"/>
        <c:majorUnit val="3"/>
      </c:valAx>
      <c:valAx>
        <c:axId val="363884991"/>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 of Homes with Air Conditioning</a:t>
                </a:r>
              </a:p>
            </c:rich>
          </c:tx>
          <c:layout>
            <c:manualLayout>
              <c:xMode val="edge"/>
              <c:yMode val="edge"/>
              <c:x val="1.1874058257814964E-2"/>
              <c:y val="9.8203745722274305E-2"/>
            </c:manualLayout>
          </c:layout>
          <c:overlay val="0"/>
          <c:spPr>
            <a:noFill/>
            <a:ln>
              <a:noFill/>
            </a:ln>
            <a:effectLst/>
          </c:spPr>
          <c:txPr>
            <a:bodyPr rot="-5400000" spcFirstLastPara="1" vertOverflow="ellipsis" vert="horz" wrap="square" anchor="ctr" anchorCtr="1"/>
            <a:lstStyle/>
            <a:p>
              <a:pPr>
                <a:defRPr sz="2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41261919"/>
        <c:crosses val="autoZero"/>
        <c:crossBetween val="midCat"/>
        <c:majorUnit val="0.1"/>
      </c:valAx>
      <c:spPr>
        <a:noFill/>
        <a:ln>
          <a:noFill/>
        </a:ln>
        <a:effectLst/>
      </c:spPr>
    </c:plotArea>
    <c:legend>
      <c:legendPos val="b"/>
      <c:layout>
        <c:manualLayout>
          <c:xMode val="edge"/>
          <c:yMode val="edge"/>
          <c:x val="0.15984558310033203"/>
          <c:y val="0.88525857941754693"/>
          <c:w val="0.79109017026899009"/>
          <c:h val="8.7096063784373901E-2"/>
        </c:manualLayout>
      </c:layout>
      <c:overlay val="0"/>
      <c:spPr>
        <a:noFill/>
        <a:ln>
          <a:noFill/>
        </a:ln>
        <a:effectLst/>
      </c:spPr>
      <c:txPr>
        <a:bodyPr rot="0" spcFirstLastPara="1" vertOverflow="ellipsis" vert="horz" wrap="square" anchor="ctr" anchorCtr="1"/>
        <a:lstStyle/>
        <a:p>
          <a:pPr>
            <a:defRPr sz="2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2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64233540248796"/>
          <c:y val="3.4655470970692978E-2"/>
          <c:w val="0.80306969752800583"/>
          <c:h val="0.85801940732512172"/>
        </c:manualLayout>
      </c:layout>
      <c:barChart>
        <c:barDir val="col"/>
        <c:grouping val="stacked"/>
        <c:varyColors val="0"/>
        <c:ser>
          <c:idx val="1"/>
          <c:order val="0"/>
          <c:tx>
            <c:strRef>
              <c:f>'US Average - Population Weight'!$B$3</c:f>
              <c:strCache>
                <c:ptCount val="1"/>
                <c:pt idx="0">
                  <c:v>CO2 Electricity (Air Handler Fan)</c:v>
                </c:pt>
              </c:strCache>
            </c:strRef>
          </c:tx>
          <c:spPr>
            <a:solidFill>
              <a:schemeClr val="tx1">
                <a:lumMod val="95000"/>
                <a:lumOff val="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Weight'!$C$3:$R$3</c15:sqref>
                  </c15:fullRef>
                </c:ext>
              </c:extLst>
              <c:f>('US Average - Population Weight'!$C$3,'US Average - Population Weight'!$F$3,'US Average - Population Weight'!$J$3:$K$3,'US Average - Population Weight'!$N$3,'US Average - Population Weight'!$R$3)</c:f>
              <c:numCache>
                <c:formatCode>0</c:formatCode>
                <c:ptCount val="6"/>
                <c:pt idx="0">
                  <c:v>231.68533558955605</c:v>
                </c:pt>
                <c:pt idx="1">
                  <c:v>189.72329922051455</c:v>
                </c:pt>
                <c:pt idx="2">
                  <c:v>172.5176607170892</c:v>
                </c:pt>
                <c:pt idx="3">
                  <c:v>1302.8172525623138</c:v>
                </c:pt>
                <c:pt idx="4">
                  <c:v>1071.2594957200354</c:v>
                </c:pt>
                <c:pt idx="5">
                  <c:v>966.20983876411299</c:v>
                </c:pt>
              </c:numCache>
            </c:numRef>
          </c:val>
          <c:extLst>
            <c:ext xmlns:c16="http://schemas.microsoft.com/office/drawing/2014/chart" uri="{C3380CC4-5D6E-409C-BE32-E72D297353CC}">
              <c16:uniqueId val="{00000000-6551-454B-9D09-DA41CCDAFF7F}"/>
            </c:ext>
          </c:extLst>
        </c:ser>
        <c:ser>
          <c:idx val="3"/>
          <c:order val="1"/>
          <c:tx>
            <c:strRef>
              <c:f>'US Average - Population Weight'!$B$8</c:f>
              <c:strCache>
                <c:ptCount val="1"/>
                <c:pt idx="0">
                  <c:v>CO2 Electricity (HP Compressor)</c:v>
                </c:pt>
              </c:strCache>
            </c:strRef>
          </c:tx>
          <c:spPr>
            <a:solidFill>
              <a:schemeClr val="accent5">
                <a:lumMod val="7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Weight'!$C$8:$R$8</c15:sqref>
                  </c15:fullRef>
                </c:ext>
              </c:extLst>
              <c:f>('US Average - Population Weight'!$C$8,'US Average - Population Weight'!$F$8,'US Average - Population Weight'!$J$8:$K$8,'US Average - Population Weight'!$N$8,'US Average - Population Weight'!$R$8)</c:f>
              <c:numCache>
                <c:formatCode>0</c:formatCode>
                <c:ptCount val="6"/>
                <c:pt idx="3">
                  <c:v>7031.1373904087923</c:v>
                </c:pt>
                <c:pt idx="4">
                  <c:v>5766.9077714194837</c:v>
                </c:pt>
                <c:pt idx="5">
                  <c:v>5222.4229073238766</c:v>
                </c:pt>
              </c:numCache>
            </c:numRef>
          </c:val>
          <c:extLst>
            <c:ext xmlns:c16="http://schemas.microsoft.com/office/drawing/2014/chart" uri="{C3380CC4-5D6E-409C-BE32-E72D297353CC}">
              <c16:uniqueId val="{00000001-6551-454B-9D09-DA41CCDAFF7F}"/>
            </c:ext>
          </c:extLst>
        </c:ser>
        <c:ser>
          <c:idx val="4"/>
          <c:order val="2"/>
          <c:tx>
            <c:strRef>
              <c:f>'US Average - Population Weight'!$B$9</c:f>
              <c:strCache>
                <c:ptCount val="1"/>
                <c:pt idx="0">
                  <c:v>CO2 Electricity (Electric Resistance)</c:v>
                </c:pt>
              </c:strCache>
            </c:strRef>
          </c:tx>
          <c:spPr>
            <a:solidFill>
              <a:schemeClr val="accent5">
                <a:lumMod val="40000"/>
                <a:lumOff val="6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Weight'!$C$9:$R$9</c15:sqref>
                  </c15:fullRef>
                </c:ext>
              </c:extLst>
              <c:f>('US Average - Population Weight'!$C$9,'US Average - Population Weight'!$F$9,'US Average - Population Weight'!$J$9:$K$9,'US Average - Population Weight'!$N$9,'US Average - Population Weight'!$R$9)</c:f>
              <c:numCache>
                <c:formatCode>0</c:formatCode>
                <c:ptCount val="6"/>
                <c:pt idx="3">
                  <c:v>3458.0025341245882</c:v>
                </c:pt>
                <c:pt idx="4">
                  <c:v>2905.5529981524169</c:v>
                </c:pt>
                <c:pt idx="5">
                  <c:v>2752.6272238808542</c:v>
                </c:pt>
              </c:numCache>
            </c:numRef>
          </c:val>
          <c:extLst>
            <c:ext xmlns:c16="http://schemas.microsoft.com/office/drawing/2014/chart" uri="{C3380CC4-5D6E-409C-BE32-E72D297353CC}">
              <c16:uniqueId val="{00000002-6551-454B-9D09-DA41CCDAFF7F}"/>
            </c:ext>
          </c:extLst>
        </c:ser>
        <c:ser>
          <c:idx val="5"/>
          <c:order val="3"/>
          <c:tx>
            <c:strRef>
              <c:f>'US Average - Population Weight'!$B$10</c:f>
              <c:strCache>
                <c:ptCount val="1"/>
                <c:pt idx="0">
                  <c:v>GWP20 Refrigerant Leakage</c:v>
                </c:pt>
              </c:strCache>
            </c:strRef>
          </c:tx>
          <c:spPr>
            <a:solidFill>
              <a:schemeClr val="accent5">
                <a:lumMod val="20000"/>
                <a:lumOff val="8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Weight'!$C$10:$R$10</c15:sqref>
                  </c15:fullRef>
                </c:ext>
              </c:extLst>
              <c:f>('US Average - Population Weight'!$C$10,'US Average - Population Weight'!$F$10,'US Average - Population Weight'!$J$10:$K$10,'US Average - Population Weight'!$N$10,'US Average - Population Weight'!$R$10)</c:f>
              <c:numCache>
                <c:formatCode>0</c:formatCode>
                <c:ptCount val="6"/>
                <c:pt idx="3">
                  <c:v>449.15840084268422</c:v>
                </c:pt>
                <c:pt idx="4">
                  <c:v>139.24510434808403</c:v>
                </c:pt>
                <c:pt idx="5">
                  <c:v>47.263841923908068</c:v>
                </c:pt>
              </c:numCache>
            </c:numRef>
          </c:val>
          <c:extLst>
            <c:ext xmlns:c16="http://schemas.microsoft.com/office/drawing/2014/chart" uri="{C3380CC4-5D6E-409C-BE32-E72D297353CC}">
              <c16:uniqueId val="{00000005-6551-454B-9D09-DA41CCDAFF7F}"/>
            </c:ext>
          </c:extLst>
        </c:ser>
        <c:ser>
          <c:idx val="0"/>
          <c:order val="4"/>
          <c:tx>
            <c:strRef>
              <c:f>'US Average - Population Weight'!$B$2</c:f>
              <c:strCache>
                <c:ptCount val="1"/>
                <c:pt idx="0">
                  <c:v>CO2 Natural Gas Combustion</c:v>
                </c:pt>
              </c:strCache>
            </c:strRef>
          </c:tx>
          <c:spPr>
            <a:solidFill>
              <a:schemeClr val="accent2">
                <a:lumMod val="7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Weight'!$C$2:$Q$2</c15:sqref>
                  </c15:fullRef>
                </c:ext>
              </c:extLst>
              <c:f>('US Average - Population Weight'!$C$2,'US Average - Population Weight'!$F$2,'US Average - Population Weight'!$J$2:$K$2,'US Average - Population Weight'!$N$2)</c:f>
              <c:numCache>
                <c:formatCode>0</c:formatCode>
                <c:ptCount val="5"/>
                <c:pt idx="0">
                  <c:v>18708.564446171498</c:v>
                </c:pt>
                <c:pt idx="1">
                  <c:v>18708.564446171498</c:v>
                </c:pt>
                <c:pt idx="2">
                  <c:v>18708.564446171498</c:v>
                </c:pt>
              </c:numCache>
            </c:numRef>
          </c:val>
          <c:extLst>
            <c:ext xmlns:c16="http://schemas.microsoft.com/office/drawing/2014/chart" uri="{C3380CC4-5D6E-409C-BE32-E72D297353CC}">
              <c16:uniqueId val="{00000003-6551-454B-9D09-DA41CCDAFF7F}"/>
            </c:ext>
          </c:extLst>
        </c:ser>
        <c:ser>
          <c:idx val="2"/>
          <c:order val="5"/>
          <c:tx>
            <c:strRef>
              <c:f>'US Average - Population Weight'!$B$4</c:f>
              <c:strCache>
                <c:ptCount val="1"/>
                <c:pt idx="0">
                  <c:v>GWP20 Natural Gas Production Leakage</c:v>
                </c:pt>
              </c:strCache>
            </c:strRef>
          </c:tx>
          <c:spPr>
            <a:solidFill>
              <a:schemeClr val="accent2">
                <a:lumMod val="60000"/>
                <a:lumOff val="4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Weight'!$C$4:$R$4</c15:sqref>
                  </c15:fullRef>
                </c:ext>
              </c:extLst>
              <c:f>('US Average - Population Weight'!$C$4,'US Average - Population Weight'!$F$4,'US Average - Population Weight'!$J$4:$K$4,'US Average - Population Weight'!$N$4,'US Average - Population Weight'!$R$4)</c:f>
              <c:numCache>
                <c:formatCode>0</c:formatCode>
                <c:ptCount val="6"/>
                <c:pt idx="0">
                  <c:v>10215.42408904257</c:v>
                </c:pt>
                <c:pt idx="1">
                  <c:v>10207.982030542504</c:v>
                </c:pt>
                <c:pt idx="2">
                  <c:v>10204.984588201469</c:v>
                </c:pt>
                <c:pt idx="3">
                  <c:v>1454.2585442587895</c:v>
                </c:pt>
                <c:pt idx="4">
                  <c:v>1108.1867759985873</c:v>
                </c:pt>
                <c:pt idx="5">
                  <c:v>998.66567705175896</c:v>
                </c:pt>
              </c:numCache>
            </c:numRef>
          </c:val>
          <c:extLst>
            <c:ext xmlns:c16="http://schemas.microsoft.com/office/drawing/2014/chart" uri="{C3380CC4-5D6E-409C-BE32-E72D297353CC}">
              <c16:uniqueId val="{00000004-6551-454B-9D09-DA41CCDAFF7F}"/>
            </c:ext>
          </c:extLst>
        </c:ser>
        <c:ser>
          <c:idx val="6"/>
          <c:order val="6"/>
          <c:tx>
            <c:strRef>
              <c:f>'US Average - Population Weight'!$B$5</c:f>
              <c:strCache>
                <c:ptCount val="1"/>
                <c:pt idx="0">
                  <c:v>GWP20 Natural Gas BTM Leakage</c:v>
                </c:pt>
              </c:strCache>
            </c:strRef>
          </c:tx>
          <c:spPr>
            <a:solidFill>
              <a:schemeClr val="accent2">
                <a:lumMod val="20000"/>
                <a:lumOff val="8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2024 HP</c:v>
                </c:pt>
                <c:pt idx="5">
                  <c:v>2026 HP</c:v>
                </c:pt>
                <c:pt idx="6">
                  <c:v>2028 HP</c:v>
                </c:pt>
                <c:pt idx="7">
                  <c:v>2030 HP</c:v>
                </c:pt>
                <c:pt idx="8">
                  <c:v>2032 HP</c:v>
                </c:pt>
                <c:pt idx="9">
                  <c:v>2034 HP</c:v>
                </c:pt>
                <c:pt idx="10">
                  <c:v>2036 HP</c:v>
                </c:pt>
              </c:strCache>
            </c:strRef>
          </c:cat>
          <c:val>
            <c:numRef>
              <c:extLst>
                <c:ext xmlns:c15="http://schemas.microsoft.com/office/drawing/2012/chart" uri="{02D57815-91ED-43cb-92C2-25804820EDAC}">
                  <c15:fullRef>
                    <c15:sqref>'US Average - Population Weight'!$C$5:$J$5</c15:sqref>
                  </c15:fullRef>
                </c:ext>
              </c:extLst>
              <c:f>('US Average - Population Weight'!$C$5,'US Average - Population Weight'!$F$5,'US Average - Population Weight'!$J$5)</c:f>
              <c:numCache>
                <c:formatCode>0</c:formatCode>
                <c:ptCount val="3"/>
                <c:pt idx="0">
                  <c:v>3124.2351867369794</c:v>
                </c:pt>
                <c:pt idx="1">
                  <c:v>3124.2351867369794</c:v>
                </c:pt>
                <c:pt idx="2">
                  <c:v>3124.2351867369794</c:v>
                </c:pt>
              </c:numCache>
            </c:numRef>
          </c:val>
          <c:extLst>
            <c:ext xmlns:c16="http://schemas.microsoft.com/office/drawing/2014/chart" uri="{C3380CC4-5D6E-409C-BE32-E72D297353CC}">
              <c16:uniqueId val="{00000001-49F0-494B-92F2-B1BE021FC5B3}"/>
            </c:ext>
          </c:extLst>
        </c:ser>
        <c:dLbls>
          <c:showLegendKey val="0"/>
          <c:showVal val="0"/>
          <c:showCatName val="0"/>
          <c:showSerName val="0"/>
          <c:showPercent val="0"/>
          <c:showBubbleSize val="0"/>
        </c:dLbls>
        <c:gapWidth val="100"/>
        <c:overlap val="100"/>
        <c:axId val="1696185231"/>
        <c:axId val="1488634095"/>
      </c:barChart>
      <c:catAx>
        <c:axId val="16961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88634095"/>
        <c:crosses val="autoZero"/>
        <c:auto val="1"/>
        <c:lblAlgn val="ctr"/>
        <c:lblOffset val="100"/>
        <c:noMultiLvlLbl val="0"/>
      </c:catAx>
      <c:valAx>
        <c:axId val="1488634095"/>
        <c:scaling>
          <c:orientation val="minMax"/>
          <c:max val="4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20-Year GWP Equivalent CO2 per Home [kg]</a:t>
                </a:r>
              </a:p>
            </c:rich>
          </c:tx>
          <c:layout>
            <c:manualLayout>
              <c:xMode val="edge"/>
              <c:yMode val="edge"/>
              <c:x val="7.5521042408171436E-3"/>
              <c:y val="0.16150501519260299"/>
            </c:manualLayout>
          </c:layout>
          <c:overlay val="0"/>
          <c:spPr>
            <a:noFill/>
            <a:ln>
              <a:noFill/>
            </a:ln>
            <a:effectLst/>
          </c:spPr>
          <c:txPr>
            <a:bodyPr rot="-5400000" spcFirstLastPara="1" vertOverflow="ellipsis" vert="horz" wrap="square" anchor="ctr" anchorCtr="1"/>
            <a:lstStyle/>
            <a:p>
              <a:pPr algn="ct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96185231"/>
        <c:crosses val="autoZero"/>
        <c:crossBetween val="between"/>
        <c:majorUnit val="10000"/>
      </c:valAx>
      <c:spPr>
        <a:noFill/>
        <a:ln>
          <a:solidFill>
            <a:schemeClr val="tx1"/>
          </a:solidFill>
        </a:ln>
        <a:effectLst/>
      </c:spPr>
    </c:plotArea>
    <c:legend>
      <c:legendPos val="b"/>
      <c:layout>
        <c:manualLayout>
          <c:xMode val="edge"/>
          <c:yMode val="edge"/>
          <c:x val="0.56148163922295258"/>
          <c:y val="4.3475806188126902E-2"/>
          <c:w val="0.40141814880317817"/>
          <c:h val="0.29205684974025548"/>
        </c:manualLayout>
      </c:layout>
      <c:overlay val="0"/>
      <c:spPr>
        <a:solidFill>
          <a:schemeClr val="bg1"/>
        </a:solidFill>
        <a:ln>
          <a:solidFill>
            <a:schemeClr val="tx1"/>
          </a:solidFill>
        </a:ln>
        <a:effectLst/>
      </c:spPr>
      <c:txPr>
        <a:bodyPr rot="0" spcFirstLastPara="1" vertOverflow="ellipsis" vert="horz" wrap="square" anchor="ctr" anchorCtr="1"/>
        <a:lstStyle/>
        <a:p>
          <a:pPr>
            <a:defRPr sz="1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64233540248796"/>
          <c:y val="3.4655470970692978E-2"/>
          <c:w val="0.80306969752800583"/>
          <c:h val="0.85801940732512172"/>
        </c:manualLayout>
      </c:layout>
      <c:barChart>
        <c:barDir val="col"/>
        <c:grouping val="stacked"/>
        <c:varyColors val="0"/>
        <c:ser>
          <c:idx val="1"/>
          <c:order val="0"/>
          <c:tx>
            <c:strRef>
              <c:f>'US Average - Population Weight'!$B$3</c:f>
              <c:strCache>
                <c:ptCount val="1"/>
                <c:pt idx="0">
                  <c:v>CO2 Electricity (Air Handler Fan)</c:v>
                </c:pt>
              </c:strCache>
            </c:strRef>
          </c:tx>
          <c:spPr>
            <a:solidFill>
              <a:schemeClr val="tx1">
                <a:lumMod val="95000"/>
                <a:lumOff val="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Weight'!$C$3:$R$3</c15:sqref>
                  </c15:fullRef>
                </c:ext>
              </c:extLst>
              <c:f>('US Average - Population Weight'!$C$3,'US Average - Population Weight'!$F$3,'US Average - Population Weight'!$J$3:$K$3,'US Average - Population Weight'!$N$3,'US Average - Population Weight'!$R$3)</c:f>
              <c:numCache>
                <c:formatCode>0</c:formatCode>
                <c:ptCount val="6"/>
                <c:pt idx="0">
                  <c:v>231.68533558955605</c:v>
                </c:pt>
                <c:pt idx="1">
                  <c:v>189.72329922051455</c:v>
                </c:pt>
                <c:pt idx="2">
                  <c:v>172.5176607170892</c:v>
                </c:pt>
                <c:pt idx="3">
                  <c:v>1302.8172525623138</c:v>
                </c:pt>
                <c:pt idx="4">
                  <c:v>1071.2594957200354</c:v>
                </c:pt>
                <c:pt idx="5">
                  <c:v>966.20983876411299</c:v>
                </c:pt>
              </c:numCache>
            </c:numRef>
          </c:val>
          <c:extLst>
            <c:ext xmlns:c16="http://schemas.microsoft.com/office/drawing/2014/chart" uri="{C3380CC4-5D6E-409C-BE32-E72D297353CC}">
              <c16:uniqueId val="{00000000-CE4B-4521-A61A-E3D7EB67B1AC}"/>
            </c:ext>
          </c:extLst>
        </c:ser>
        <c:ser>
          <c:idx val="3"/>
          <c:order val="1"/>
          <c:tx>
            <c:strRef>
              <c:f>'US Average - Population Weight'!$B$8</c:f>
              <c:strCache>
                <c:ptCount val="1"/>
                <c:pt idx="0">
                  <c:v>CO2 Electricity (HP Compressor)</c:v>
                </c:pt>
              </c:strCache>
            </c:strRef>
          </c:tx>
          <c:spPr>
            <a:solidFill>
              <a:schemeClr val="accent5">
                <a:lumMod val="7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Weight'!$C$8:$R$8</c15:sqref>
                  </c15:fullRef>
                </c:ext>
              </c:extLst>
              <c:f>('US Average - Population Weight'!$C$8,'US Average - Population Weight'!$F$8,'US Average - Population Weight'!$J$8:$K$8,'US Average - Population Weight'!$N$8,'US Average - Population Weight'!$R$8)</c:f>
              <c:numCache>
                <c:formatCode>0</c:formatCode>
                <c:ptCount val="6"/>
                <c:pt idx="3">
                  <c:v>7031.1373904087923</c:v>
                </c:pt>
                <c:pt idx="4">
                  <c:v>5766.9077714194837</c:v>
                </c:pt>
                <c:pt idx="5">
                  <c:v>5222.4229073238766</c:v>
                </c:pt>
              </c:numCache>
            </c:numRef>
          </c:val>
          <c:extLst>
            <c:ext xmlns:c16="http://schemas.microsoft.com/office/drawing/2014/chart" uri="{C3380CC4-5D6E-409C-BE32-E72D297353CC}">
              <c16:uniqueId val="{00000001-CE4B-4521-A61A-E3D7EB67B1AC}"/>
            </c:ext>
          </c:extLst>
        </c:ser>
        <c:ser>
          <c:idx val="4"/>
          <c:order val="2"/>
          <c:tx>
            <c:strRef>
              <c:f>'US Average - Population Weight'!$B$9</c:f>
              <c:strCache>
                <c:ptCount val="1"/>
                <c:pt idx="0">
                  <c:v>CO2 Electricity (Electric Resistance)</c:v>
                </c:pt>
              </c:strCache>
            </c:strRef>
          </c:tx>
          <c:spPr>
            <a:solidFill>
              <a:schemeClr val="accent5">
                <a:lumMod val="40000"/>
                <a:lumOff val="6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Weight'!$C$9:$R$9</c15:sqref>
                  </c15:fullRef>
                </c:ext>
              </c:extLst>
              <c:f>('US Average - Population Weight'!$C$9,'US Average - Population Weight'!$F$9,'US Average - Population Weight'!$J$9:$K$9,'US Average - Population Weight'!$N$9,'US Average - Population Weight'!$R$9)</c:f>
              <c:numCache>
                <c:formatCode>0</c:formatCode>
                <c:ptCount val="6"/>
                <c:pt idx="3">
                  <c:v>3458.0025341245882</c:v>
                </c:pt>
                <c:pt idx="4">
                  <c:v>2905.5529981524169</c:v>
                </c:pt>
                <c:pt idx="5">
                  <c:v>2752.6272238808542</c:v>
                </c:pt>
              </c:numCache>
            </c:numRef>
          </c:val>
          <c:extLst>
            <c:ext xmlns:c16="http://schemas.microsoft.com/office/drawing/2014/chart" uri="{C3380CC4-5D6E-409C-BE32-E72D297353CC}">
              <c16:uniqueId val="{00000002-CE4B-4521-A61A-E3D7EB67B1AC}"/>
            </c:ext>
          </c:extLst>
        </c:ser>
        <c:ser>
          <c:idx val="5"/>
          <c:order val="3"/>
          <c:tx>
            <c:strRef>
              <c:f>'US Average - Population Weight'!$B$11</c:f>
              <c:strCache>
                <c:ptCount val="1"/>
                <c:pt idx="0">
                  <c:v>GWP100 Refrigerant Leakage</c:v>
                </c:pt>
              </c:strCache>
            </c:strRef>
          </c:tx>
          <c:spPr>
            <a:solidFill>
              <a:schemeClr val="accent5">
                <a:lumMod val="20000"/>
                <a:lumOff val="8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Weight'!$C$11:$R$11</c15:sqref>
                  </c15:fullRef>
                </c:ext>
              </c:extLst>
              <c:f>('US Average - Population Weight'!$C$11,'US Average - Population Weight'!$F$11,'US Average - Population Weight'!$J$11:$K$11,'US Average - Population Weight'!$N$11,'US Average - Population Weight'!$R$11)</c:f>
              <c:numCache>
                <c:formatCode>0</c:formatCode>
                <c:ptCount val="6"/>
                <c:pt idx="3">
                  <c:v>202.85933408951286</c:v>
                </c:pt>
                <c:pt idx="4">
                  <c:v>38.793800676400359</c:v>
                </c:pt>
                <c:pt idx="5">
                  <c:v>13.167745260282203</c:v>
                </c:pt>
              </c:numCache>
            </c:numRef>
          </c:val>
          <c:extLst>
            <c:ext xmlns:c16="http://schemas.microsoft.com/office/drawing/2014/chart" uri="{C3380CC4-5D6E-409C-BE32-E72D297353CC}">
              <c16:uniqueId val="{00000003-CE4B-4521-A61A-E3D7EB67B1AC}"/>
            </c:ext>
          </c:extLst>
        </c:ser>
        <c:ser>
          <c:idx val="0"/>
          <c:order val="4"/>
          <c:tx>
            <c:strRef>
              <c:f>'US Average - Population Weight'!$B$2</c:f>
              <c:strCache>
                <c:ptCount val="1"/>
                <c:pt idx="0">
                  <c:v>CO2 Natural Gas Combustion</c:v>
                </c:pt>
              </c:strCache>
            </c:strRef>
          </c:tx>
          <c:spPr>
            <a:solidFill>
              <a:schemeClr val="accent2">
                <a:lumMod val="75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Weight'!$C$2:$Q$2</c15:sqref>
                  </c15:fullRef>
                </c:ext>
              </c:extLst>
              <c:f>('US Average - Population Weight'!$C$2,'US Average - Population Weight'!$F$2,'US Average - Population Weight'!$J$2:$K$2,'US Average - Population Weight'!$N$2)</c:f>
              <c:numCache>
                <c:formatCode>0</c:formatCode>
                <c:ptCount val="5"/>
                <c:pt idx="0">
                  <c:v>18708.564446171498</c:v>
                </c:pt>
                <c:pt idx="1">
                  <c:v>18708.564446171498</c:v>
                </c:pt>
                <c:pt idx="2">
                  <c:v>18708.564446171498</c:v>
                </c:pt>
              </c:numCache>
            </c:numRef>
          </c:val>
          <c:extLst>
            <c:ext xmlns:c16="http://schemas.microsoft.com/office/drawing/2014/chart" uri="{C3380CC4-5D6E-409C-BE32-E72D297353CC}">
              <c16:uniqueId val="{00000004-CE4B-4521-A61A-E3D7EB67B1AC}"/>
            </c:ext>
          </c:extLst>
        </c:ser>
        <c:ser>
          <c:idx val="2"/>
          <c:order val="5"/>
          <c:tx>
            <c:strRef>
              <c:f>'US Average - Population Weight'!$B$6</c:f>
              <c:strCache>
                <c:ptCount val="1"/>
                <c:pt idx="0">
                  <c:v>GWP100 Natural Gas Production Lekage</c:v>
                </c:pt>
              </c:strCache>
            </c:strRef>
          </c:tx>
          <c:spPr>
            <a:solidFill>
              <a:schemeClr val="accent2">
                <a:lumMod val="60000"/>
                <a:lumOff val="4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2028 HP</c:v>
                </c:pt>
                <c:pt idx="5">
                  <c:v>2036 HP</c:v>
                </c:pt>
              </c:strCache>
            </c:strRef>
          </c:cat>
          <c:val>
            <c:numRef>
              <c:extLst>
                <c:ext xmlns:c15="http://schemas.microsoft.com/office/drawing/2012/chart" uri="{02D57815-91ED-43cb-92C2-25804820EDAC}">
                  <c15:fullRef>
                    <c15:sqref>'US Average - Population Weight'!$C$6:$R$6</c15:sqref>
                  </c15:fullRef>
                </c:ext>
              </c:extLst>
              <c:f>('US Average - Population Weight'!$C$6,'US Average - Population Weight'!$F$6,'US Average - Population Weight'!$J$6:$K$6,'US Average - Population Weight'!$N$6,'US Average - Population Weight'!$R$6)</c:f>
              <c:numCache>
                <c:formatCode>0</c:formatCode>
                <c:ptCount val="6"/>
                <c:pt idx="0">
                  <c:v>3405.141363014191</c:v>
                </c:pt>
                <c:pt idx="1">
                  <c:v>3402.6606768475031</c:v>
                </c:pt>
                <c:pt idx="2">
                  <c:v>3401.661529400491</c:v>
                </c:pt>
                <c:pt idx="3">
                  <c:v>484.75284808626293</c:v>
                </c:pt>
                <c:pt idx="4">
                  <c:v>369.39559199952896</c:v>
                </c:pt>
                <c:pt idx="5">
                  <c:v>332.8885590172531</c:v>
                </c:pt>
              </c:numCache>
            </c:numRef>
          </c:val>
          <c:extLst>
            <c:ext xmlns:c16="http://schemas.microsoft.com/office/drawing/2014/chart" uri="{C3380CC4-5D6E-409C-BE32-E72D297353CC}">
              <c16:uniqueId val="{00000005-CE4B-4521-A61A-E3D7EB67B1AC}"/>
            </c:ext>
          </c:extLst>
        </c:ser>
        <c:ser>
          <c:idx val="6"/>
          <c:order val="6"/>
          <c:tx>
            <c:strRef>
              <c:f>'US Average - Population Weight'!$B$7</c:f>
              <c:strCache>
                <c:ptCount val="1"/>
                <c:pt idx="0">
                  <c:v>GWP100 Natural Gas BTM Leakage</c:v>
                </c:pt>
              </c:strCache>
            </c:strRef>
          </c:tx>
          <c:spPr>
            <a:solidFill>
              <a:schemeClr val="accent2">
                <a:lumMod val="20000"/>
                <a:lumOff val="80000"/>
              </a:schemeClr>
            </a:solidFill>
            <a:ln>
              <a:solidFill>
                <a:schemeClr val="tx1"/>
              </a:solidFill>
            </a:ln>
            <a:effectLst/>
          </c:spPr>
          <c:invertIfNegative val="0"/>
          <c:cat>
            <c:strRef>
              <c:extLst>
                <c:ext xmlns:c15="http://schemas.microsoft.com/office/drawing/2012/chart" uri="{02D57815-91ED-43cb-92C2-25804820EDAC}">
                  <c15:fullRef>
                    <c15:sqref>'US Average - Population Weight'!$C$1:$R$1</c15:sqref>
                  </c15:fullRef>
                </c:ext>
              </c:extLst>
              <c:f>('US Average - Population Weight'!$C$1,'US Average - Population Weight'!$F$1,'US Average - Population Weight'!$J$1:$K$1,'US Average - Population Weight'!$N$1,'US Average - Population Weight'!$R$1)</c:f>
              <c:strCache>
                <c:ptCount val="6"/>
                <c:pt idx="0">
                  <c:v>2022 GF</c:v>
                </c:pt>
                <c:pt idx="1">
                  <c:v>2028 GF</c:v>
                </c:pt>
                <c:pt idx="2">
                  <c:v>2036 GF</c:v>
                </c:pt>
                <c:pt idx="3">
                  <c:v>2022 HP</c:v>
                </c:pt>
                <c:pt idx="4">
                  <c:v>2024 HP</c:v>
                </c:pt>
                <c:pt idx="5">
                  <c:v>2026 HP</c:v>
                </c:pt>
                <c:pt idx="6">
                  <c:v>2028 HP</c:v>
                </c:pt>
                <c:pt idx="7">
                  <c:v>2030 HP</c:v>
                </c:pt>
                <c:pt idx="8">
                  <c:v>2032 HP</c:v>
                </c:pt>
                <c:pt idx="9">
                  <c:v>2034 HP</c:v>
                </c:pt>
                <c:pt idx="10">
                  <c:v>2036 HP</c:v>
                </c:pt>
              </c:strCache>
            </c:strRef>
          </c:cat>
          <c:val>
            <c:numRef>
              <c:extLst>
                <c:ext xmlns:c15="http://schemas.microsoft.com/office/drawing/2012/chart" uri="{02D57815-91ED-43cb-92C2-25804820EDAC}">
                  <c15:fullRef>
                    <c15:sqref>'US Average - Population Weight'!$C$7:$J$7</c15:sqref>
                  </c15:fullRef>
                </c:ext>
              </c:extLst>
              <c:f>('US Average - Population Weight'!$C$7,'US Average - Population Weight'!$F$7,'US Average - Population Weight'!$J$7)</c:f>
              <c:numCache>
                <c:formatCode>0</c:formatCode>
                <c:ptCount val="3"/>
                <c:pt idx="0">
                  <c:v>1041.411728912326</c:v>
                </c:pt>
                <c:pt idx="1">
                  <c:v>1041.411728912326</c:v>
                </c:pt>
                <c:pt idx="2">
                  <c:v>1041.411728912326</c:v>
                </c:pt>
              </c:numCache>
            </c:numRef>
          </c:val>
          <c:extLst>
            <c:ext xmlns:c16="http://schemas.microsoft.com/office/drawing/2014/chart" uri="{C3380CC4-5D6E-409C-BE32-E72D297353CC}">
              <c16:uniqueId val="{00000006-CE4B-4521-A61A-E3D7EB67B1AC}"/>
            </c:ext>
          </c:extLst>
        </c:ser>
        <c:dLbls>
          <c:showLegendKey val="0"/>
          <c:showVal val="0"/>
          <c:showCatName val="0"/>
          <c:showSerName val="0"/>
          <c:showPercent val="0"/>
          <c:showBubbleSize val="0"/>
        </c:dLbls>
        <c:gapWidth val="100"/>
        <c:overlap val="100"/>
        <c:axId val="1696185231"/>
        <c:axId val="1488634095"/>
      </c:barChart>
      <c:catAx>
        <c:axId val="16961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88634095"/>
        <c:crosses val="autoZero"/>
        <c:auto val="1"/>
        <c:lblAlgn val="ctr"/>
        <c:lblOffset val="100"/>
        <c:noMultiLvlLbl val="0"/>
      </c:catAx>
      <c:valAx>
        <c:axId val="1488634095"/>
        <c:scaling>
          <c:orientation val="minMax"/>
          <c:max val="4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100-Year GWP Equivalent CO2 per Home [kg]</a:t>
                </a:r>
              </a:p>
            </c:rich>
          </c:tx>
          <c:layout>
            <c:manualLayout>
              <c:xMode val="edge"/>
              <c:yMode val="edge"/>
              <c:x val="7.5521042408171436E-3"/>
              <c:y val="0.16150501519260299"/>
            </c:manualLayout>
          </c:layout>
          <c:overlay val="0"/>
          <c:spPr>
            <a:noFill/>
            <a:ln>
              <a:noFill/>
            </a:ln>
            <a:effectLst/>
          </c:spPr>
          <c:txPr>
            <a:bodyPr rot="-5400000" spcFirstLastPara="1" vertOverflow="ellipsis" vert="horz" wrap="square" anchor="ctr" anchorCtr="1"/>
            <a:lstStyle/>
            <a:p>
              <a:pPr algn="ct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96185231"/>
        <c:crosses val="autoZero"/>
        <c:crossBetween val="between"/>
        <c:majorUnit val="10000"/>
      </c:valAx>
      <c:spPr>
        <a:noFill/>
        <a:ln>
          <a:solidFill>
            <a:schemeClr val="tx1"/>
          </a:solidFill>
        </a:ln>
        <a:effectLst/>
      </c:spPr>
    </c:plotArea>
    <c:legend>
      <c:legendPos val="b"/>
      <c:layout>
        <c:manualLayout>
          <c:xMode val="edge"/>
          <c:yMode val="edge"/>
          <c:x val="0.55124709798878169"/>
          <c:y val="5.3434312412193291E-2"/>
          <c:w val="0.40525610176599219"/>
          <c:h val="0.32919563998255652"/>
        </c:manualLayout>
      </c:layout>
      <c:overlay val="0"/>
      <c:spPr>
        <a:solidFill>
          <a:schemeClr val="bg1"/>
        </a:solidFill>
        <a:ln>
          <a:solidFill>
            <a:schemeClr val="tx1"/>
          </a:solidFill>
        </a:ln>
        <a:effectLst/>
      </c:spPr>
      <c:txPr>
        <a:bodyPr rot="0" spcFirstLastPara="1" vertOverflow="ellipsis" vert="horz" wrap="square" anchor="ctr" anchorCtr="1"/>
        <a:lstStyle/>
        <a:p>
          <a:pPr>
            <a:defRPr sz="17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85653676512002"/>
          <c:y val="0.13236025905250443"/>
          <c:w val="0.88102003045101296"/>
          <c:h val="0.56513829587814524"/>
        </c:manualLayout>
      </c:layout>
      <c:barChart>
        <c:barDir val="col"/>
        <c:grouping val="clustered"/>
        <c:varyColors val="0"/>
        <c:ser>
          <c:idx val="0"/>
          <c:order val="0"/>
          <c:tx>
            <c:v>Percent of Heating Energy Provided by Heat Pump</c:v>
          </c:tx>
          <c:spPr>
            <a:solidFill>
              <a:schemeClr val="accent2"/>
            </a:solidFill>
            <a:ln>
              <a:solidFill>
                <a:schemeClr val="tx1"/>
              </a:solidFill>
            </a:ln>
            <a:effectLst/>
          </c:spPr>
          <c:invertIfNegative val="0"/>
          <c:cat>
            <c:strRef>
              <c:f>Analysis!$P$101:$P$107</c:f>
              <c:strCache>
                <c:ptCount val="7"/>
                <c:pt idx="0">
                  <c:v>US</c:v>
                </c:pt>
                <c:pt idx="1">
                  <c:v>Midwest</c:v>
                </c:pt>
                <c:pt idx="2">
                  <c:v>Northeast</c:v>
                </c:pt>
                <c:pt idx="3">
                  <c:v>Pacific</c:v>
                </c:pt>
                <c:pt idx="4">
                  <c:v>Rocky Mountains</c:v>
                </c:pt>
                <c:pt idx="5">
                  <c:v>Southeast</c:v>
                </c:pt>
                <c:pt idx="6">
                  <c:v>Southwest</c:v>
                </c:pt>
              </c:strCache>
            </c:strRef>
          </c:cat>
          <c:val>
            <c:numRef>
              <c:f>Analysis!$BI$101:$BI$107</c:f>
              <c:numCache>
                <c:formatCode>General</c:formatCode>
                <c:ptCount val="7"/>
                <c:pt idx="0">
                  <c:v>0.86593137723095526</c:v>
                </c:pt>
                <c:pt idx="1">
                  <c:v>0.7914683003615649</c:v>
                </c:pt>
                <c:pt idx="2">
                  <c:v>0.86449214324656154</c:v>
                </c:pt>
                <c:pt idx="3">
                  <c:v>0.93828445539049921</c:v>
                </c:pt>
                <c:pt idx="4">
                  <c:v>0.92785218286733229</c:v>
                </c:pt>
                <c:pt idx="5">
                  <c:v>0.95224409271224519</c:v>
                </c:pt>
                <c:pt idx="6">
                  <c:v>0.96875704353475434</c:v>
                </c:pt>
              </c:numCache>
            </c:numRef>
          </c:val>
          <c:extLst>
            <c:ext xmlns:c16="http://schemas.microsoft.com/office/drawing/2014/chart" uri="{C3380CC4-5D6E-409C-BE32-E72D297353CC}">
              <c16:uniqueId val="{00000000-6F07-4368-8A8C-970990714A1D}"/>
            </c:ext>
          </c:extLst>
        </c:ser>
        <c:ser>
          <c:idx val="1"/>
          <c:order val="1"/>
          <c:tx>
            <c:v>Percent of Heating Electricity Consumption by Heat Pump</c:v>
          </c:tx>
          <c:spPr>
            <a:pattFill prst="openDmnd">
              <a:fgClr>
                <a:schemeClr val="accent2"/>
              </a:fgClr>
              <a:bgClr>
                <a:schemeClr val="bg1"/>
              </a:bgClr>
            </a:pattFill>
            <a:ln>
              <a:solidFill>
                <a:schemeClr val="tx1"/>
              </a:solidFill>
            </a:ln>
            <a:effectLst/>
          </c:spPr>
          <c:invertIfNegative val="0"/>
          <c:cat>
            <c:strRef>
              <c:f>Analysis!$P$101:$P$107</c:f>
              <c:strCache>
                <c:ptCount val="7"/>
                <c:pt idx="0">
                  <c:v>US</c:v>
                </c:pt>
                <c:pt idx="1">
                  <c:v>Midwest</c:v>
                </c:pt>
                <c:pt idx="2">
                  <c:v>Northeast</c:v>
                </c:pt>
                <c:pt idx="3">
                  <c:v>Pacific</c:v>
                </c:pt>
                <c:pt idx="4">
                  <c:v>Rocky Mountains</c:v>
                </c:pt>
                <c:pt idx="5">
                  <c:v>Southeast</c:v>
                </c:pt>
                <c:pt idx="6">
                  <c:v>Southwest</c:v>
                </c:pt>
              </c:strCache>
            </c:strRef>
          </c:cat>
          <c:val>
            <c:numRef>
              <c:f>Analysis!$BJ$101:$BJ$107</c:f>
              <c:numCache>
                <c:formatCode>General</c:formatCode>
                <c:ptCount val="7"/>
                <c:pt idx="0">
                  <c:v>0.68269794975870257</c:v>
                </c:pt>
                <c:pt idx="1">
                  <c:v>0.57994749610607343</c:v>
                </c:pt>
                <c:pt idx="2">
                  <c:v>0.68280551123265154</c:v>
                </c:pt>
                <c:pt idx="3">
                  <c:v>0.80438927418328521</c:v>
                </c:pt>
                <c:pt idx="4">
                  <c:v>0.80757918662778616</c:v>
                </c:pt>
                <c:pt idx="5">
                  <c:v>0.85956224007920823</c:v>
                </c:pt>
                <c:pt idx="6">
                  <c:v>0.90496783421741556</c:v>
                </c:pt>
              </c:numCache>
            </c:numRef>
          </c:val>
          <c:extLst>
            <c:ext xmlns:c16="http://schemas.microsoft.com/office/drawing/2014/chart" uri="{C3380CC4-5D6E-409C-BE32-E72D297353CC}">
              <c16:uniqueId val="{00000001-6F07-4368-8A8C-970990714A1D}"/>
            </c:ext>
          </c:extLst>
        </c:ser>
        <c:dLbls>
          <c:showLegendKey val="0"/>
          <c:showVal val="0"/>
          <c:showCatName val="0"/>
          <c:showSerName val="0"/>
          <c:showPercent val="0"/>
          <c:showBubbleSize val="0"/>
        </c:dLbls>
        <c:gapWidth val="219"/>
        <c:overlap val="-27"/>
        <c:axId val="1166396655"/>
        <c:axId val="1048699983"/>
      </c:barChart>
      <c:catAx>
        <c:axId val="116639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48699983"/>
        <c:crosses val="autoZero"/>
        <c:auto val="1"/>
        <c:lblAlgn val="ctr"/>
        <c:lblOffset val="100"/>
        <c:noMultiLvlLbl val="0"/>
      </c:catAx>
      <c:valAx>
        <c:axId val="104869998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66396655"/>
        <c:crosses val="autoZero"/>
        <c:crossBetween val="between"/>
      </c:valAx>
      <c:spPr>
        <a:noFill/>
        <a:ln>
          <a:solidFill>
            <a:schemeClr val="tx2"/>
          </a:solidFill>
        </a:ln>
        <a:effectLst/>
      </c:spPr>
    </c:plotArea>
    <c:legend>
      <c:legendPos val="b"/>
      <c:layout>
        <c:manualLayout>
          <c:xMode val="edge"/>
          <c:yMode val="edge"/>
          <c:x val="5.1923608899170318E-2"/>
          <c:y val="1.6593364533951428E-2"/>
          <c:w val="0.92949177831884189"/>
          <c:h val="0.1007751235672564"/>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2885602268209856"/>
          <c:y val="0.17687385398752878"/>
          <c:w val="0.84329447327856888"/>
          <c:h val="0.70941805977701622"/>
        </c:manualLayout>
      </c:layout>
      <c:barChart>
        <c:barDir val="col"/>
        <c:grouping val="clustered"/>
        <c:varyColors val="0"/>
        <c:ser>
          <c:idx val="0"/>
          <c:order val="0"/>
          <c:tx>
            <c:strRef>
              <c:f>'US Average - Population Weight'!$V$1</c:f>
              <c:strCache>
                <c:ptCount val="1"/>
                <c:pt idx="0">
                  <c:v>2022</c:v>
                </c:pt>
              </c:strCache>
            </c:strRef>
          </c:tx>
          <c:spPr>
            <a:solidFill>
              <a:srgbClr val="FFFFFF"/>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Weight'!$V$2:$V$8</c:f>
              <c:numCache>
                <c:formatCode>0%</c:formatCode>
                <c:ptCount val="7"/>
                <c:pt idx="0">
                  <c:v>0.37741279481693907</c:v>
                </c:pt>
                <c:pt idx="1">
                  <c:v>0.13124967735038631</c:v>
                </c:pt>
                <c:pt idx="2">
                  <c:v>0.63466714979210526</c:v>
                </c:pt>
                <c:pt idx="3">
                  <c:v>0.75744089163993644</c:v>
                </c:pt>
                <c:pt idx="4">
                  <c:v>0.31930851528529941</c:v>
                </c:pt>
                <c:pt idx="5">
                  <c:v>0.41357582642459728</c:v>
                </c:pt>
                <c:pt idx="6">
                  <c:v>0.39431821780948689</c:v>
                </c:pt>
              </c:numCache>
            </c:numRef>
          </c:val>
          <c:extLst>
            <c:ext xmlns:c16="http://schemas.microsoft.com/office/drawing/2014/chart" uri="{C3380CC4-5D6E-409C-BE32-E72D297353CC}">
              <c16:uniqueId val="{00000000-A8A4-4520-AB57-5E232AF69044}"/>
            </c:ext>
          </c:extLst>
        </c:ser>
        <c:ser>
          <c:idx val="1"/>
          <c:order val="1"/>
          <c:tx>
            <c:strRef>
              <c:f>'US Average - Population Weight'!$W$1</c:f>
              <c:strCache>
                <c:ptCount val="1"/>
                <c:pt idx="0">
                  <c:v>2024</c:v>
                </c:pt>
              </c:strCache>
            </c:strRef>
          </c:tx>
          <c:spPr>
            <a:solidFill>
              <a:srgbClr val="CCF0C8"/>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Weight'!$W$2:$W$8</c:f>
              <c:numCache>
                <c:formatCode>0%</c:formatCode>
                <c:ptCount val="7"/>
                <c:pt idx="0">
                  <c:v>0.39265160796767368</c:v>
                </c:pt>
                <c:pt idx="1">
                  <c:v>0.15890223264685643</c:v>
                </c:pt>
                <c:pt idx="2">
                  <c:v>0.62733000974238606</c:v>
                </c:pt>
                <c:pt idx="3">
                  <c:v>0.77739518116323569</c:v>
                </c:pt>
                <c:pt idx="4">
                  <c:v>0.30889627123272656</c:v>
                </c:pt>
                <c:pt idx="5">
                  <c:v>0.42271101485926743</c:v>
                </c:pt>
                <c:pt idx="6">
                  <c:v>0.46106038441066688</c:v>
                </c:pt>
              </c:numCache>
            </c:numRef>
          </c:val>
          <c:extLst>
            <c:ext xmlns:c16="http://schemas.microsoft.com/office/drawing/2014/chart" uri="{C3380CC4-5D6E-409C-BE32-E72D297353CC}">
              <c16:uniqueId val="{00000001-A8A4-4520-AB57-5E232AF69044}"/>
            </c:ext>
          </c:extLst>
        </c:ser>
        <c:ser>
          <c:idx val="2"/>
          <c:order val="2"/>
          <c:tx>
            <c:strRef>
              <c:f>'US Average - Population Weight'!$X$1</c:f>
              <c:strCache>
                <c:ptCount val="1"/>
                <c:pt idx="0">
                  <c:v>2026</c:v>
                </c:pt>
              </c:strCache>
            </c:strRef>
          </c:tx>
          <c:spPr>
            <a:solidFill>
              <a:srgbClr val="A3DB9D"/>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Weight'!$X$2:$X$8</c:f>
              <c:numCache>
                <c:formatCode>0%</c:formatCode>
                <c:ptCount val="7"/>
                <c:pt idx="0">
                  <c:v>0.45476917874213685</c:v>
                </c:pt>
                <c:pt idx="1">
                  <c:v>0.23948765374508726</c:v>
                </c:pt>
                <c:pt idx="2">
                  <c:v>0.67368740542581873</c:v>
                </c:pt>
                <c:pt idx="3">
                  <c:v>0.77688921621322049</c:v>
                </c:pt>
                <c:pt idx="4">
                  <c:v>0.37998119592327972</c:v>
                </c:pt>
                <c:pt idx="5">
                  <c:v>0.48868779279639657</c:v>
                </c:pt>
                <c:pt idx="6">
                  <c:v>0.53308666927678428</c:v>
                </c:pt>
              </c:numCache>
            </c:numRef>
          </c:val>
          <c:extLst>
            <c:ext xmlns:c16="http://schemas.microsoft.com/office/drawing/2014/chart" uri="{C3380CC4-5D6E-409C-BE32-E72D297353CC}">
              <c16:uniqueId val="{00000002-A8A4-4520-AB57-5E232AF69044}"/>
            </c:ext>
          </c:extLst>
        </c:ser>
        <c:ser>
          <c:idx val="3"/>
          <c:order val="3"/>
          <c:tx>
            <c:strRef>
              <c:f>'US Average - Population Weight'!$Y$1</c:f>
              <c:strCache>
                <c:ptCount val="1"/>
                <c:pt idx="0">
                  <c:v>2028</c:v>
                </c:pt>
              </c:strCache>
            </c:strRef>
          </c:tx>
          <c:spPr>
            <a:solidFill>
              <a:srgbClr val="7BBE74"/>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Weight'!$Y$2:$Y$8</c:f>
              <c:numCache>
                <c:formatCode>0%</c:formatCode>
                <c:ptCount val="7"/>
                <c:pt idx="0">
                  <c:v>0.48441253532782336</c:v>
                </c:pt>
                <c:pt idx="1">
                  <c:v>0.27715973760131057</c:v>
                </c:pt>
                <c:pt idx="2">
                  <c:v>0.69444527764629371</c:v>
                </c:pt>
                <c:pt idx="3">
                  <c:v>0.77514953919332152</c:v>
                </c:pt>
                <c:pt idx="4">
                  <c:v>0.39489721136617034</c:v>
                </c:pt>
                <c:pt idx="5">
                  <c:v>0.52912660104206777</c:v>
                </c:pt>
                <c:pt idx="6">
                  <c:v>0.58880040465552208</c:v>
                </c:pt>
              </c:numCache>
            </c:numRef>
          </c:val>
          <c:extLst>
            <c:ext xmlns:c16="http://schemas.microsoft.com/office/drawing/2014/chart" uri="{C3380CC4-5D6E-409C-BE32-E72D297353CC}">
              <c16:uniqueId val="{00000003-A8A4-4520-AB57-5E232AF69044}"/>
            </c:ext>
          </c:extLst>
        </c:ser>
        <c:ser>
          <c:idx val="4"/>
          <c:order val="4"/>
          <c:tx>
            <c:strRef>
              <c:f>'US Average - Population Weight'!$Z$1</c:f>
              <c:strCache>
                <c:ptCount val="1"/>
                <c:pt idx="0">
                  <c:v>2030</c:v>
                </c:pt>
              </c:strCache>
            </c:strRef>
          </c:tx>
          <c:spPr>
            <a:solidFill>
              <a:srgbClr val="5C9F55"/>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Weight'!$Z$2:$Z$8</c:f>
              <c:numCache>
                <c:formatCode>0%</c:formatCode>
                <c:ptCount val="7"/>
                <c:pt idx="0">
                  <c:v>0.48037212691648584</c:v>
                </c:pt>
                <c:pt idx="1">
                  <c:v>0.27171678712587133</c:v>
                </c:pt>
                <c:pt idx="2">
                  <c:v>0.68444880030207489</c:v>
                </c:pt>
                <c:pt idx="3">
                  <c:v>0.78026734271468612</c:v>
                </c:pt>
                <c:pt idx="4">
                  <c:v>0.3986588484358316</c:v>
                </c:pt>
                <c:pt idx="5">
                  <c:v>0.51888307302194103</c:v>
                </c:pt>
                <c:pt idx="6">
                  <c:v>0.60435637001039988</c:v>
                </c:pt>
              </c:numCache>
            </c:numRef>
          </c:val>
          <c:extLst>
            <c:ext xmlns:c16="http://schemas.microsoft.com/office/drawing/2014/chart" uri="{C3380CC4-5D6E-409C-BE32-E72D297353CC}">
              <c16:uniqueId val="{00000004-A8A4-4520-AB57-5E232AF69044}"/>
            </c:ext>
          </c:extLst>
        </c:ser>
        <c:ser>
          <c:idx val="5"/>
          <c:order val="5"/>
          <c:tx>
            <c:strRef>
              <c:f>'US Average - Population Weight'!$AA$1</c:f>
              <c:strCache>
                <c:ptCount val="1"/>
                <c:pt idx="0">
                  <c:v>2032</c:v>
                </c:pt>
              </c:strCache>
            </c:strRef>
          </c:tx>
          <c:spPr>
            <a:solidFill>
              <a:srgbClr val="42853B"/>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Weight'!$AA$2:$AA$8</c:f>
              <c:numCache>
                <c:formatCode>0%</c:formatCode>
                <c:ptCount val="7"/>
                <c:pt idx="0">
                  <c:v>0.49269508507454385</c:v>
                </c:pt>
                <c:pt idx="1">
                  <c:v>0.27252866249065938</c:v>
                </c:pt>
                <c:pt idx="2">
                  <c:v>0.7084353324345315</c:v>
                </c:pt>
                <c:pt idx="3">
                  <c:v>0.79661151219726889</c:v>
                </c:pt>
                <c:pt idx="4">
                  <c:v>0.44173452709052691</c:v>
                </c:pt>
                <c:pt idx="5">
                  <c:v>0.52284719043220695</c:v>
                </c:pt>
                <c:pt idx="6">
                  <c:v>0.60948787404617299</c:v>
                </c:pt>
              </c:numCache>
            </c:numRef>
          </c:val>
          <c:extLst>
            <c:ext xmlns:c16="http://schemas.microsoft.com/office/drawing/2014/chart" uri="{C3380CC4-5D6E-409C-BE32-E72D297353CC}">
              <c16:uniqueId val="{00000005-A8A4-4520-AB57-5E232AF69044}"/>
            </c:ext>
          </c:extLst>
        </c:ser>
        <c:ser>
          <c:idx val="6"/>
          <c:order val="6"/>
          <c:tx>
            <c:strRef>
              <c:f>'US Average - Population Weight'!$AB$1</c:f>
              <c:strCache>
                <c:ptCount val="1"/>
                <c:pt idx="0">
                  <c:v>2034</c:v>
                </c:pt>
              </c:strCache>
            </c:strRef>
          </c:tx>
          <c:spPr>
            <a:solidFill>
              <a:srgbClr val="296722"/>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Weight'!$AB$2:$AB$8</c:f>
              <c:numCache>
                <c:formatCode>0%</c:formatCode>
                <c:ptCount val="7"/>
                <c:pt idx="0">
                  <c:v>0.50556588568665806</c:v>
                </c:pt>
                <c:pt idx="1">
                  <c:v>0.28212655247604862</c:v>
                </c:pt>
                <c:pt idx="2">
                  <c:v>0.72124463776394188</c:v>
                </c:pt>
                <c:pt idx="3">
                  <c:v>0.79723717704461738</c:v>
                </c:pt>
                <c:pt idx="4">
                  <c:v>0.47203951696687735</c:v>
                </c:pt>
                <c:pt idx="5">
                  <c:v>0.53704348982678718</c:v>
                </c:pt>
                <c:pt idx="6">
                  <c:v>0.6311801969811679</c:v>
                </c:pt>
              </c:numCache>
            </c:numRef>
          </c:val>
          <c:extLst>
            <c:ext xmlns:c16="http://schemas.microsoft.com/office/drawing/2014/chart" uri="{C3380CC4-5D6E-409C-BE32-E72D297353CC}">
              <c16:uniqueId val="{00000006-A8A4-4520-AB57-5E232AF69044}"/>
            </c:ext>
          </c:extLst>
        </c:ser>
        <c:ser>
          <c:idx val="7"/>
          <c:order val="7"/>
          <c:tx>
            <c:strRef>
              <c:f>'US Average - Population Weight'!$AC$1</c:f>
              <c:strCache>
                <c:ptCount val="1"/>
                <c:pt idx="0">
                  <c:v>2036</c:v>
                </c:pt>
              </c:strCache>
            </c:strRef>
          </c:tx>
          <c:spPr>
            <a:solidFill>
              <a:srgbClr val="164D11"/>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Weight'!$AC$2:$AC$8</c:f>
              <c:numCache>
                <c:formatCode>0%</c:formatCode>
                <c:ptCount val="7"/>
                <c:pt idx="0">
                  <c:v>0.52644345703540452</c:v>
                </c:pt>
                <c:pt idx="1">
                  <c:v>0.30043712423464419</c:v>
                </c:pt>
                <c:pt idx="2">
                  <c:v>0.74908331233060355</c:v>
                </c:pt>
                <c:pt idx="3">
                  <c:v>0.80222172643824874</c:v>
                </c:pt>
                <c:pt idx="4">
                  <c:v>0.49620352443222393</c:v>
                </c:pt>
                <c:pt idx="5">
                  <c:v>0.5711267120526341</c:v>
                </c:pt>
                <c:pt idx="6">
                  <c:v>0.63224408003973087</c:v>
                </c:pt>
              </c:numCache>
            </c:numRef>
          </c:val>
          <c:extLst>
            <c:ext xmlns:c16="http://schemas.microsoft.com/office/drawing/2014/chart" uri="{C3380CC4-5D6E-409C-BE32-E72D297353CC}">
              <c16:uniqueId val="{00000007-A8A4-4520-AB57-5E232AF69044}"/>
            </c:ext>
          </c:extLst>
        </c:ser>
        <c:dLbls>
          <c:showLegendKey val="0"/>
          <c:showVal val="0"/>
          <c:showCatName val="0"/>
          <c:showSerName val="0"/>
          <c:showPercent val="0"/>
          <c:showBubbleSize val="0"/>
        </c:dLbls>
        <c:gapWidth val="150"/>
        <c:axId val="2003492112"/>
        <c:axId val="1948518720"/>
      </c:barChart>
      <c:catAx>
        <c:axId val="200349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Year of Heat Pump Installation (15-year life)</a:t>
                </a:r>
              </a:p>
            </c:rich>
          </c:tx>
          <c:layout>
            <c:manualLayout>
              <c:xMode val="edge"/>
              <c:yMode val="edge"/>
              <c:x val="0.30838069239205135"/>
              <c:y val="3.8787497568832784E-2"/>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948518720"/>
        <c:crosses val="autoZero"/>
        <c:auto val="1"/>
        <c:lblAlgn val="ctr"/>
        <c:lblOffset val="100"/>
        <c:noMultiLvlLbl val="0"/>
      </c:catAx>
      <c:valAx>
        <c:axId val="194851872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baseline="0"/>
                  <a:t>CO2 </a:t>
                </a:r>
                <a:r>
                  <a:rPr lang="en-US"/>
                  <a:t>Emission Reduction</a:t>
                </a:r>
              </a:p>
            </c:rich>
          </c:tx>
          <c:layout>
            <c:manualLayout>
              <c:xMode val="edge"/>
              <c:yMode val="edge"/>
              <c:x val="1.2808255224066081E-2"/>
              <c:y val="0.33681061034087717"/>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03492112"/>
        <c:crosses val="autoZero"/>
        <c:crossBetween val="between"/>
      </c:valAx>
      <c:spPr>
        <a:noFill/>
        <a:ln>
          <a:noFill/>
        </a:ln>
        <a:effectLst/>
      </c:spPr>
    </c:plotArea>
    <c:legend>
      <c:legendPos val="b"/>
      <c:layout>
        <c:manualLayout>
          <c:xMode val="edge"/>
          <c:yMode val="edge"/>
          <c:x val="0.13938850984222967"/>
          <c:y val="8.3693177794809365E-2"/>
          <c:w val="0.82244476483563567"/>
          <c:h val="5.6366091908257997E-2"/>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885602268209856"/>
          <c:y val="0.17687385398752878"/>
          <c:w val="0.84329447327856888"/>
          <c:h val="0.70941805977701622"/>
        </c:manualLayout>
      </c:layout>
      <c:barChart>
        <c:barDir val="col"/>
        <c:grouping val="clustered"/>
        <c:varyColors val="0"/>
        <c:ser>
          <c:idx val="0"/>
          <c:order val="0"/>
          <c:tx>
            <c:strRef>
              <c:f>'US Average - Population Weight'!$V$1</c:f>
              <c:strCache>
                <c:ptCount val="1"/>
                <c:pt idx="0">
                  <c:v>2022</c:v>
                </c:pt>
              </c:strCache>
            </c:strRef>
          </c:tx>
          <c:spPr>
            <a:solidFill>
              <a:srgbClr val="FFFFFF"/>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Weight'!$V$10:$V$16</c:f>
              <c:numCache>
                <c:formatCode>0%</c:formatCode>
                <c:ptCount val="7"/>
                <c:pt idx="0">
                  <c:v>0.57573070922274117</c:v>
                </c:pt>
                <c:pt idx="1">
                  <c:v>0.4673261514513502</c:v>
                </c:pt>
                <c:pt idx="2">
                  <c:v>0.69727508253240722</c:v>
                </c:pt>
                <c:pt idx="3">
                  <c:v>0.74976983273678832</c:v>
                </c:pt>
                <c:pt idx="4">
                  <c:v>0.57253969983038644</c:v>
                </c:pt>
                <c:pt idx="5">
                  <c:v>0.56592004448769739</c:v>
                </c:pt>
                <c:pt idx="6">
                  <c:v>0.61910995250756107</c:v>
                </c:pt>
              </c:numCache>
            </c:numRef>
          </c:val>
          <c:extLst>
            <c:ext xmlns:c16="http://schemas.microsoft.com/office/drawing/2014/chart" uri="{C3380CC4-5D6E-409C-BE32-E72D297353CC}">
              <c16:uniqueId val="{00000000-A8A4-4520-AB57-5E232AF69044}"/>
            </c:ext>
          </c:extLst>
        </c:ser>
        <c:ser>
          <c:idx val="1"/>
          <c:order val="1"/>
          <c:tx>
            <c:strRef>
              <c:f>'US Average - Population Weight'!$W$1</c:f>
              <c:strCache>
                <c:ptCount val="1"/>
                <c:pt idx="0">
                  <c:v>2024</c:v>
                </c:pt>
              </c:strCache>
            </c:strRef>
          </c:tx>
          <c:spPr>
            <a:solidFill>
              <a:srgbClr val="CCF0C8"/>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Weight'!$W$10:$W$16</c:f>
              <c:numCache>
                <c:formatCode>0%</c:formatCode>
                <c:ptCount val="7"/>
                <c:pt idx="0">
                  <c:v>0.59137533124532182</c:v>
                </c:pt>
                <c:pt idx="1">
                  <c:v>0.4882296504058028</c:v>
                </c:pt>
                <c:pt idx="2">
                  <c:v>0.69764473391949278</c:v>
                </c:pt>
                <c:pt idx="3">
                  <c:v>0.77221186262077335</c:v>
                </c:pt>
                <c:pt idx="4">
                  <c:v>0.57331957939018374</c:v>
                </c:pt>
                <c:pt idx="5">
                  <c:v>0.57662388178566226</c:v>
                </c:pt>
                <c:pt idx="6">
                  <c:v>0.66698513960759875</c:v>
                </c:pt>
              </c:numCache>
            </c:numRef>
          </c:val>
          <c:extLst>
            <c:ext xmlns:c16="http://schemas.microsoft.com/office/drawing/2014/chart" uri="{C3380CC4-5D6E-409C-BE32-E72D297353CC}">
              <c16:uniqueId val="{00000001-A8A4-4520-AB57-5E232AF69044}"/>
            </c:ext>
          </c:extLst>
        </c:ser>
        <c:ser>
          <c:idx val="2"/>
          <c:order val="2"/>
          <c:tx>
            <c:strRef>
              <c:f>'US Average - Population Weight'!$X$1</c:f>
              <c:strCache>
                <c:ptCount val="1"/>
                <c:pt idx="0">
                  <c:v>2026</c:v>
                </c:pt>
              </c:strCache>
            </c:strRef>
          </c:tx>
          <c:spPr>
            <a:solidFill>
              <a:srgbClr val="A3DB9D"/>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Weight'!$X$10:$X$16</c:f>
              <c:numCache>
                <c:formatCode>0%</c:formatCode>
                <c:ptCount val="7"/>
                <c:pt idx="0">
                  <c:v>0.63782974993354269</c:v>
                </c:pt>
                <c:pt idx="1">
                  <c:v>0.53917254773768142</c:v>
                </c:pt>
                <c:pt idx="2">
                  <c:v>0.73430752925680287</c:v>
                </c:pt>
                <c:pt idx="3">
                  <c:v>0.80971199523571247</c:v>
                </c:pt>
                <c:pt idx="4">
                  <c:v>0.6214582729759659</c:v>
                </c:pt>
                <c:pt idx="5">
                  <c:v>0.62552714103950391</c:v>
                </c:pt>
                <c:pt idx="6">
                  <c:v>0.72200494329436338</c:v>
                </c:pt>
              </c:numCache>
            </c:numRef>
          </c:val>
          <c:extLst>
            <c:ext xmlns:c16="http://schemas.microsoft.com/office/drawing/2014/chart" uri="{C3380CC4-5D6E-409C-BE32-E72D297353CC}">
              <c16:uniqueId val="{00000002-A8A4-4520-AB57-5E232AF69044}"/>
            </c:ext>
          </c:extLst>
        </c:ser>
        <c:ser>
          <c:idx val="3"/>
          <c:order val="3"/>
          <c:tx>
            <c:strRef>
              <c:f>'US Average - Population Weight'!$Y$1</c:f>
              <c:strCache>
                <c:ptCount val="1"/>
                <c:pt idx="0">
                  <c:v>2028</c:v>
                </c:pt>
              </c:strCache>
            </c:strRef>
          </c:tx>
          <c:spPr>
            <a:solidFill>
              <a:srgbClr val="7BBE74"/>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Weight'!$Y$10:$Y$16</c:f>
              <c:numCache>
                <c:formatCode>0%</c:formatCode>
                <c:ptCount val="7"/>
                <c:pt idx="0">
                  <c:v>0.6589829368677822</c:v>
                </c:pt>
                <c:pt idx="1">
                  <c:v>0.56298784352671138</c:v>
                </c:pt>
                <c:pt idx="2">
                  <c:v>0.75123570142580531</c:v>
                </c:pt>
                <c:pt idx="3">
                  <c:v>0.81568488687559071</c:v>
                </c:pt>
                <c:pt idx="4">
                  <c:v>0.63425365217146668</c:v>
                </c:pt>
                <c:pt idx="5">
                  <c:v>0.65574276530278608</c:v>
                </c:pt>
                <c:pt idx="6">
                  <c:v>0.75782617422066667</c:v>
                </c:pt>
              </c:numCache>
            </c:numRef>
          </c:val>
          <c:extLst>
            <c:ext xmlns:c16="http://schemas.microsoft.com/office/drawing/2014/chart" uri="{C3380CC4-5D6E-409C-BE32-E72D297353CC}">
              <c16:uniqueId val="{00000003-A8A4-4520-AB57-5E232AF69044}"/>
            </c:ext>
          </c:extLst>
        </c:ser>
        <c:ser>
          <c:idx val="4"/>
          <c:order val="4"/>
          <c:tx>
            <c:strRef>
              <c:f>'US Average - Population Weight'!$Z$1</c:f>
              <c:strCache>
                <c:ptCount val="1"/>
                <c:pt idx="0">
                  <c:v>2030</c:v>
                </c:pt>
              </c:strCache>
            </c:strRef>
          </c:tx>
          <c:spPr>
            <a:solidFill>
              <a:srgbClr val="5C9F55"/>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Weight'!$Z$10:$Z$16</c:f>
              <c:numCache>
                <c:formatCode>0%</c:formatCode>
                <c:ptCount val="7"/>
                <c:pt idx="0">
                  <c:v>0.65958600572311998</c:v>
                </c:pt>
                <c:pt idx="1">
                  <c:v>0.56175582914344269</c:v>
                </c:pt>
                <c:pt idx="2">
                  <c:v>0.74669528938273377</c:v>
                </c:pt>
                <c:pt idx="3">
                  <c:v>0.82460501214256965</c:v>
                </c:pt>
                <c:pt idx="4">
                  <c:v>0.64078054395222794</c:v>
                </c:pt>
                <c:pt idx="5">
                  <c:v>0.65120338125120203</c:v>
                </c:pt>
                <c:pt idx="6">
                  <c:v>0.77188670780043955</c:v>
                </c:pt>
              </c:numCache>
            </c:numRef>
          </c:val>
          <c:extLst>
            <c:ext xmlns:c16="http://schemas.microsoft.com/office/drawing/2014/chart" uri="{C3380CC4-5D6E-409C-BE32-E72D297353CC}">
              <c16:uniqueId val="{00000004-A8A4-4520-AB57-5E232AF69044}"/>
            </c:ext>
          </c:extLst>
        </c:ser>
        <c:ser>
          <c:idx val="5"/>
          <c:order val="5"/>
          <c:tx>
            <c:strRef>
              <c:f>'US Average - Population Weight'!$AA$1</c:f>
              <c:strCache>
                <c:ptCount val="1"/>
                <c:pt idx="0">
                  <c:v>2032</c:v>
                </c:pt>
              </c:strCache>
            </c:strRef>
          </c:tx>
          <c:spPr>
            <a:solidFill>
              <a:srgbClr val="42853B"/>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Weight'!$AA$10:$AA$16</c:f>
              <c:numCache>
                <c:formatCode>0%</c:formatCode>
                <c:ptCount val="7"/>
                <c:pt idx="0">
                  <c:v>0.66839094712089031</c:v>
                </c:pt>
                <c:pt idx="1">
                  <c:v>0.56244677220230788</c:v>
                </c:pt>
                <c:pt idx="2">
                  <c:v>0.76380590148661576</c:v>
                </c:pt>
                <c:pt idx="3">
                  <c:v>0.83871202659589661</c:v>
                </c:pt>
                <c:pt idx="4">
                  <c:v>0.66756726209133621</c:v>
                </c:pt>
                <c:pt idx="5">
                  <c:v>0.65480605514586643</c:v>
                </c:pt>
                <c:pt idx="6">
                  <c:v>0.77873513907644565</c:v>
                </c:pt>
              </c:numCache>
            </c:numRef>
          </c:val>
          <c:extLst>
            <c:ext xmlns:c16="http://schemas.microsoft.com/office/drawing/2014/chart" uri="{C3380CC4-5D6E-409C-BE32-E72D297353CC}">
              <c16:uniqueId val="{00000005-A8A4-4520-AB57-5E232AF69044}"/>
            </c:ext>
          </c:extLst>
        </c:ser>
        <c:ser>
          <c:idx val="6"/>
          <c:order val="6"/>
          <c:tx>
            <c:strRef>
              <c:f>'US Average - Population Weight'!$AB$1</c:f>
              <c:strCache>
                <c:ptCount val="1"/>
                <c:pt idx="0">
                  <c:v>2034</c:v>
                </c:pt>
              </c:strCache>
            </c:strRef>
          </c:tx>
          <c:spPr>
            <a:solidFill>
              <a:srgbClr val="296722"/>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Weight'!$AB$10:$AB$16</c:f>
              <c:numCache>
                <c:formatCode>0%</c:formatCode>
                <c:ptCount val="7"/>
                <c:pt idx="0">
                  <c:v>0.67737152167581827</c:v>
                </c:pt>
                <c:pt idx="1">
                  <c:v>0.5678114312158008</c:v>
                </c:pt>
                <c:pt idx="2">
                  <c:v>0.7728841088051136</c:v>
                </c:pt>
                <c:pt idx="3">
                  <c:v>0.84505214659034522</c:v>
                </c:pt>
                <c:pt idx="4">
                  <c:v>0.68763469313874537</c:v>
                </c:pt>
                <c:pt idx="5">
                  <c:v>0.66482927371142564</c:v>
                </c:pt>
                <c:pt idx="6">
                  <c:v>0.79446440763823845</c:v>
                </c:pt>
              </c:numCache>
            </c:numRef>
          </c:val>
          <c:extLst>
            <c:ext xmlns:c16="http://schemas.microsoft.com/office/drawing/2014/chart" uri="{C3380CC4-5D6E-409C-BE32-E72D297353CC}">
              <c16:uniqueId val="{00000006-A8A4-4520-AB57-5E232AF69044}"/>
            </c:ext>
          </c:extLst>
        </c:ser>
        <c:ser>
          <c:idx val="7"/>
          <c:order val="7"/>
          <c:tx>
            <c:strRef>
              <c:f>'US Average - Population Weight'!$AC$1</c:f>
              <c:strCache>
                <c:ptCount val="1"/>
                <c:pt idx="0">
                  <c:v>2036</c:v>
                </c:pt>
              </c:strCache>
            </c:strRef>
          </c:tx>
          <c:spPr>
            <a:solidFill>
              <a:srgbClr val="164D11"/>
            </a:solidFill>
            <a:ln>
              <a:solidFill>
                <a:schemeClr val="tx1"/>
              </a:solidFill>
            </a:ln>
            <a:effectLst/>
          </c:spPr>
          <c:invertIfNegative val="0"/>
          <c:cat>
            <c:strRef>
              <c:f>'US Average - Population Weight'!$T$10:$T$16</c:f>
              <c:strCache>
                <c:ptCount val="7"/>
                <c:pt idx="0">
                  <c:v>US</c:v>
                </c:pt>
                <c:pt idx="1">
                  <c:v>Midwest</c:v>
                </c:pt>
                <c:pt idx="2">
                  <c:v>Northeast</c:v>
                </c:pt>
                <c:pt idx="3">
                  <c:v>Pacific</c:v>
                </c:pt>
                <c:pt idx="4">
                  <c:v>Rocky Mountains</c:v>
                </c:pt>
                <c:pt idx="5">
                  <c:v>Southeast</c:v>
                </c:pt>
                <c:pt idx="6">
                  <c:v>Southwest</c:v>
                </c:pt>
              </c:strCache>
            </c:strRef>
          </c:cat>
          <c:val>
            <c:numRef>
              <c:f>'US Average - Population Weight'!$AC$10:$AC$16</c:f>
              <c:numCache>
                <c:formatCode>0%</c:formatCode>
                <c:ptCount val="7"/>
                <c:pt idx="0">
                  <c:v>0.6899380351793829</c:v>
                </c:pt>
                <c:pt idx="1">
                  <c:v>0.5766413288683182</c:v>
                </c:pt>
                <c:pt idx="2">
                  <c:v>0.79203373757458106</c:v>
                </c:pt>
                <c:pt idx="3">
                  <c:v>0.8527894340531198</c:v>
                </c:pt>
                <c:pt idx="4">
                  <c:v>0.70370070596917589</c:v>
                </c:pt>
                <c:pt idx="5">
                  <c:v>0.68718234406102385</c:v>
                </c:pt>
                <c:pt idx="6">
                  <c:v>0.79622607778678645</c:v>
                </c:pt>
              </c:numCache>
            </c:numRef>
          </c:val>
          <c:extLst>
            <c:ext xmlns:c16="http://schemas.microsoft.com/office/drawing/2014/chart" uri="{C3380CC4-5D6E-409C-BE32-E72D297353CC}">
              <c16:uniqueId val="{00000007-A8A4-4520-AB57-5E232AF69044}"/>
            </c:ext>
          </c:extLst>
        </c:ser>
        <c:dLbls>
          <c:showLegendKey val="0"/>
          <c:showVal val="0"/>
          <c:showCatName val="0"/>
          <c:showSerName val="0"/>
          <c:showPercent val="0"/>
          <c:showBubbleSize val="0"/>
        </c:dLbls>
        <c:gapWidth val="150"/>
        <c:axId val="2003492112"/>
        <c:axId val="1948518720"/>
      </c:barChart>
      <c:catAx>
        <c:axId val="200349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baseline="0">
                    <a:effectLst/>
                  </a:rPr>
                  <a:t>Year of Heat Pump Installation (15-year life)</a:t>
                </a:r>
                <a:endParaRPr lang="en-US" sz="2000">
                  <a:effectLst/>
                </a:endParaRPr>
              </a:p>
            </c:rich>
          </c:tx>
          <c:layout>
            <c:manualLayout>
              <c:xMode val="edge"/>
              <c:yMode val="edge"/>
              <c:x val="0.30838069239205135"/>
              <c:y val="3.8787497568832784E-2"/>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948518720"/>
        <c:crosses val="autoZero"/>
        <c:auto val="1"/>
        <c:lblAlgn val="ctr"/>
        <c:lblOffset val="100"/>
        <c:noMultiLvlLbl val="0"/>
      </c:catAx>
      <c:valAx>
        <c:axId val="194851872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baseline="0">
                    <a:effectLst/>
                  </a:rPr>
                  <a:t>GWP 20-Year Emission Reduction</a:t>
                </a:r>
                <a:endParaRPr lang="en-US" sz="2000">
                  <a:effectLst/>
                </a:endParaRPr>
              </a:p>
            </c:rich>
          </c:tx>
          <c:layout>
            <c:manualLayout>
              <c:xMode val="edge"/>
              <c:yMode val="edge"/>
              <c:x val="1.2808255224066081E-2"/>
              <c:y val="0.2815750348246440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03492112"/>
        <c:crosses val="autoZero"/>
        <c:crossBetween val="between"/>
      </c:valAx>
      <c:spPr>
        <a:noFill/>
        <a:ln>
          <a:noFill/>
        </a:ln>
        <a:effectLst/>
      </c:spPr>
    </c:plotArea>
    <c:legend>
      <c:legendPos val="b"/>
      <c:layout>
        <c:manualLayout>
          <c:xMode val="edge"/>
          <c:yMode val="edge"/>
          <c:x val="0.13938850984222967"/>
          <c:y val="8.3693177794809365E-2"/>
          <c:w val="0.82244476483563567"/>
          <c:h val="5.6366091908257997E-2"/>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885602268209856"/>
          <c:y val="0.17687385398752878"/>
          <c:w val="0.84329447327856888"/>
          <c:h val="0.70941805977701622"/>
        </c:manualLayout>
      </c:layout>
      <c:barChart>
        <c:barDir val="col"/>
        <c:grouping val="clustered"/>
        <c:varyColors val="0"/>
        <c:ser>
          <c:idx val="0"/>
          <c:order val="0"/>
          <c:tx>
            <c:strRef>
              <c:f>'US Average - Population Weight'!$V$1</c:f>
              <c:strCache>
                <c:ptCount val="1"/>
                <c:pt idx="0">
                  <c:v>2022</c:v>
                </c:pt>
              </c:strCache>
            </c:strRef>
          </c:tx>
          <c:spPr>
            <a:solidFill>
              <a:srgbClr val="FFFFFF"/>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Weight'!$V$18:$V$24</c:f>
              <c:numCache>
                <c:formatCode>0%</c:formatCode>
                <c:ptCount val="7"/>
                <c:pt idx="0">
                  <c:v>0.46638412156318293</c:v>
                </c:pt>
                <c:pt idx="1">
                  <c:v>0.28931856235002329</c:v>
                </c:pt>
                <c:pt idx="2">
                  <c:v>0.66055211981394746</c:v>
                </c:pt>
                <c:pt idx="3">
                  <c:v>0.73982147316862945</c:v>
                </c:pt>
                <c:pt idx="4">
                  <c:v>0.43864375861234151</c:v>
                </c:pt>
                <c:pt idx="5">
                  <c:v>0.47876655924731892</c:v>
                </c:pt>
                <c:pt idx="6">
                  <c:v>0.50058052362103223</c:v>
                </c:pt>
              </c:numCache>
            </c:numRef>
          </c:val>
          <c:extLst>
            <c:ext xmlns:c16="http://schemas.microsoft.com/office/drawing/2014/chart" uri="{C3380CC4-5D6E-409C-BE32-E72D297353CC}">
              <c16:uniqueId val="{00000000-A8A4-4520-AB57-5E232AF69044}"/>
            </c:ext>
          </c:extLst>
        </c:ser>
        <c:ser>
          <c:idx val="1"/>
          <c:order val="1"/>
          <c:tx>
            <c:strRef>
              <c:f>'US Average - Population Weight'!$W$1</c:f>
              <c:strCache>
                <c:ptCount val="1"/>
                <c:pt idx="0">
                  <c:v>2024</c:v>
                </c:pt>
              </c:strCache>
            </c:strRef>
          </c:tx>
          <c:spPr>
            <a:solidFill>
              <a:srgbClr val="CCF0C8"/>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Weight'!$W$18:$W$24</c:f>
              <c:numCache>
                <c:formatCode>0%</c:formatCode>
                <c:ptCount val="7"/>
                <c:pt idx="0">
                  <c:v>0.48219153309994506</c:v>
                </c:pt>
                <c:pt idx="1">
                  <c:v>0.31400729772808833</c:v>
                </c:pt>
                <c:pt idx="2">
                  <c:v>0.65663478052978552</c:v>
                </c:pt>
                <c:pt idx="3">
                  <c:v>0.76260999924244621</c:v>
                </c:pt>
                <c:pt idx="4">
                  <c:v>0.43406557358252901</c:v>
                </c:pt>
                <c:pt idx="5">
                  <c:v>0.48857681512622958</c:v>
                </c:pt>
                <c:pt idx="6">
                  <c:v>0.55897960915888634</c:v>
                </c:pt>
              </c:numCache>
            </c:numRef>
          </c:val>
          <c:extLst>
            <c:ext xmlns:c16="http://schemas.microsoft.com/office/drawing/2014/chart" uri="{C3380CC4-5D6E-409C-BE32-E72D297353CC}">
              <c16:uniqueId val="{00000001-A8A4-4520-AB57-5E232AF69044}"/>
            </c:ext>
          </c:extLst>
        </c:ser>
        <c:ser>
          <c:idx val="2"/>
          <c:order val="2"/>
          <c:tx>
            <c:strRef>
              <c:f>'US Average - Population Weight'!$X$1</c:f>
              <c:strCache>
                <c:ptCount val="1"/>
                <c:pt idx="0">
                  <c:v>2026</c:v>
                </c:pt>
              </c:strCache>
            </c:strRef>
          </c:tx>
          <c:spPr>
            <a:solidFill>
              <a:srgbClr val="A3DB9D"/>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Weight'!$X$18:$X$24</c:f>
              <c:numCache>
                <c:formatCode>0%</c:formatCode>
                <c:ptCount val="7"/>
                <c:pt idx="0">
                  <c:v>0.53942335423876575</c:v>
                </c:pt>
                <c:pt idx="1">
                  <c:v>0.38136074104673556</c:v>
                </c:pt>
                <c:pt idx="2">
                  <c:v>0.69943844574031067</c:v>
                </c:pt>
                <c:pt idx="3">
                  <c:v>0.79586277086062274</c:v>
                </c:pt>
                <c:pt idx="4">
                  <c:v>0.4962054847454519</c:v>
                </c:pt>
                <c:pt idx="5">
                  <c:v>0.54727639357853897</c:v>
                </c:pt>
                <c:pt idx="6">
                  <c:v>0.62724855585127015</c:v>
                </c:pt>
              </c:numCache>
            </c:numRef>
          </c:val>
          <c:extLst>
            <c:ext xmlns:c16="http://schemas.microsoft.com/office/drawing/2014/chart" uri="{C3380CC4-5D6E-409C-BE32-E72D297353CC}">
              <c16:uniqueId val="{00000002-A8A4-4520-AB57-5E232AF69044}"/>
            </c:ext>
          </c:extLst>
        </c:ser>
        <c:ser>
          <c:idx val="3"/>
          <c:order val="3"/>
          <c:tx>
            <c:strRef>
              <c:f>'US Average - Population Weight'!$Y$1</c:f>
              <c:strCache>
                <c:ptCount val="1"/>
                <c:pt idx="0">
                  <c:v>2028</c:v>
                </c:pt>
              </c:strCache>
            </c:strRef>
          </c:tx>
          <c:spPr>
            <a:solidFill>
              <a:srgbClr val="7BBE74"/>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Weight'!$Y$18:$Y$24</c:f>
              <c:numCache>
                <c:formatCode>0%</c:formatCode>
                <c:ptCount val="7"/>
                <c:pt idx="0">
                  <c:v>0.56508640976191471</c:v>
                </c:pt>
                <c:pt idx="1">
                  <c:v>0.41245558161051959</c:v>
                </c:pt>
                <c:pt idx="2">
                  <c:v>0.71854404165440922</c:v>
                </c:pt>
                <c:pt idx="3">
                  <c:v>0.79754183357113007</c:v>
                </c:pt>
                <c:pt idx="4">
                  <c:v>0.51000798784745371</c:v>
                </c:pt>
                <c:pt idx="5">
                  <c:v>0.58334534437532859</c:v>
                </c:pt>
                <c:pt idx="6">
                  <c:v>0.67295349818154071</c:v>
                </c:pt>
              </c:numCache>
            </c:numRef>
          </c:val>
          <c:extLst>
            <c:ext xmlns:c16="http://schemas.microsoft.com/office/drawing/2014/chart" uri="{C3380CC4-5D6E-409C-BE32-E72D297353CC}">
              <c16:uniqueId val="{00000003-A8A4-4520-AB57-5E232AF69044}"/>
            </c:ext>
          </c:extLst>
        </c:ser>
        <c:ser>
          <c:idx val="4"/>
          <c:order val="4"/>
          <c:tx>
            <c:strRef>
              <c:f>'US Average - Population Weight'!$Z$1</c:f>
              <c:strCache>
                <c:ptCount val="1"/>
                <c:pt idx="0">
                  <c:v>2030</c:v>
                </c:pt>
              </c:strCache>
            </c:strRef>
          </c:tx>
          <c:spPr>
            <a:solidFill>
              <a:srgbClr val="5C9F55"/>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Weight'!$Z$18:$Z$24</c:f>
              <c:numCache>
                <c:formatCode>0%</c:formatCode>
                <c:ptCount val="7"/>
                <c:pt idx="0">
                  <c:v>0.56308307802023472</c:v>
                </c:pt>
                <c:pt idx="1">
                  <c:v>0.40892938226877434</c:v>
                </c:pt>
                <c:pt idx="2">
                  <c:v>0.71080332500871313</c:v>
                </c:pt>
                <c:pt idx="3">
                  <c:v>0.80417545730294815</c:v>
                </c:pt>
                <c:pt idx="4">
                  <c:v>0.51497496396678111</c:v>
                </c:pt>
                <c:pt idx="5">
                  <c:v>0.57553833181256786</c:v>
                </c:pt>
                <c:pt idx="6">
                  <c:v>0.68759220124666787</c:v>
                </c:pt>
              </c:numCache>
            </c:numRef>
          </c:val>
          <c:extLst>
            <c:ext xmlns:c16="http://schemas.microsoft.com/office/drawing/2014/chart" uri="{C3380CC4-5D6E-409C-BE32-E72D297353CC}">
              <c16:uniqueId val="{00000004-A8A4-4520-AB57-5E232AF69044}"/>
            </c:ext>
          </c:extLst>
        </c:ser>
        <c:ser>
          <c:idx val="5"/>
          <c:order val="5"/>
          <c:tx>
            <c:strRef>
              <c:f>'US Average - Population Weight'!$AA$1</c:f>
              <c:strCache>
                <c:ptCount val="1"/>
                <c:pt idx="0">
                  <c:v>2032</c:v>
                </c:pt>
              </c:strCache>
            </c:strRef>
          </c:tx>
          <c:spPr>
            <a:solidFill>
              <a:srgbClr val="42853B"/>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Weight'!$AA$18:$AA$24</c:f>
              <c:numCache>
                <c:formatCode>0%</c:formatCode>
                <c:ptCount val="7"/>
                <c:pt idx="0">
                  <c:v>0.57374724425551504</c:v>
                </c:pt>
                <c:pt idx="1">
                  <c:v>0.40968399342761147</c:v>
                </c:pt>
                <c:pt idx="2">
                  <c:v>0.7318803847600126</c:v>
                </c:pt>
                <c:pt idx="3">
                  <c:v>0.8191043350416356</c:v>
                </c:pt>
                <c:pt idx="4">
                  <c:v>0.55021353459966715</c:v>
                </c:pt>
                <c:pt idx="5">
                  <c:v>0.57934807687228407</c:v>
                </c:pt>
                <c:pt idx="6">
                  <c:v>0.69342154108090248</c:v>
                </c:pt>
              </c:numCache>
            </c:numRef>
          </c:val>
          <c:extLst>
            <c:ext xmlns:c16="http://schemas.microsoft.com/office/drawing/2014/chart" uri="{C3380CC4-5D6E-409C-BE32-E72D297353CC}">
              <c16:uniqueId val="{00000005-A8A4-4520-AB57-5E232AF69044}"/>
            </c:ext>
          </c:extLst>
        </c:ser>
        <c:ser>
          <c:idx val="6"/>
          <c:order val="6"/>
          <c:tx>
            <c:strRef>
              <c:f>'US Average - Population Weight'!$AB$1</c:f>
              <c:strCache>
                <c:ptCount val="1"/>
                <c:pt idx="0">
                  <c:v>2034</c:v>
                </c:pt>
              </c:strCache>
            </c:strRef>
          </c:tx>
          <c:spPr>
            <a:solidFill>
              <a:srgbClr val="296722"/>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Weight'!$AB$18:$AB$24</c:f>
              <c:numCache>
                <c:formatCode>0%</c:formatCode>
                <c:ptCount val="7"/>
                <c:pt idx="0">
                  <c:v>0.58477933904382506</c:v>
                </c:pt>
                <c:pt idx="1">
                  <c:v>0.41728390491266837</c:v>
                </c:pt>
                <c:pt idx="2">
                  <c:v>0.7431108303292423</c:v>
                </c:pt>
                <c:pt idx="3">
                  <c:v>0.82222808445607865</c:v>
                </c:pt>
                <c:pt idx="4">
                  <c:v>0.57555055703012792</c:v>
                </c:pt>
                <c:pt idx="5">
                  <c:v>0.59176102138757836</c:v>
                </c:pt>
                <c:pt idx="6">
                  <c:v>0.71192546289784098</c:v>
                </c:pt>
              </c:numCache>
            </c:numRef>
          </c:val>
          <c:extLst>
            <c:ext xmlns:c16="http://schemas.microsoft.com/office/drawing/2014/chart" uri="{C3380CC4-5D6E-409C-BE32-E72D297353CC}">
              <c16:uniqueId val="{00000006-A8A4-4520-AB57-5E232AF69044}"/>
            </c:ext>
          </c:extLst>
        </c:ser>
        <c:ser>
          <c:idx val="7"/>
          <c:order val="7"/>
          <c:tx>
            <c:strRef>
              <c:f>'US Average - Population Weight'!$AC$1</c:f>
              <c:strCache>
                <c:ptCount val="1"/>
                <c:pt idx="0">
                  <c:v>2036</c:v>
                </c:pt>
              </c:strCache>
            </c:strRef>
          </c:tx>
          <c:spPr>
            <a:solidFill>
              <a:srgbClr val="164D11"/>
            </a:solidFill>
            <a:ln>
              <a:solidFill>
                <a:schemeClr val="tx1"/>
              </a:solidFill>
            </a:ln>
            <a:effectLst/>
          </c:spPr>
          <c:invertIfNegative val="0"/>
          <c:cat>
            <c:strRef>
              <c:f>'US Average - Population Weight'!$T$18:$T$24</c:f>
              <c:strCache>
                <c:ptCount val="7"/>
                <c:pt idx="0">
                  <c:v>US</c:v>
                </c:pt>
                <c:pt idx="1">
                  <c:v>Midwest</c:v>
                </c:pt>
                <c:pt idx="2">
                  <c:v>Northeast</c:v>
                </c:pt>
                <c:pt idx="3">
                  <c:v>Pacific</c:v>
                </c:pt>
                <c:pt idx="4">
                  <c:v>Rocky Mountains</c:v>
                </c:pt>
                <c:pt idx="5">
                  <c:v>Southeast</c:v>
                </c:pt>
                <c:pt idx="6">
                  <c:v>Southwest</c:v>
                </c:pt>
              </c:strCache>
            </c:strRef>
          </c:cat>
          <c:val>
            <c:numRef>
              <c:f>'US Average - Population Weight'!$AC$18:$AC$24</c:f>
              <c:numCache>
                <c:formatCode>0%</c:formatCode>
                <c:ptCount val="7"/>
                <c:pt idx="0">
                  <c:v>0.60181553720471981</c:v>
                </c:pt>
                <c:pt idx="1">
                  <c:v>0.43111949925026705</c:v>
                </c:pt>
                <c:pt idx="2">
                  <c:v>0.76727196341195358</c:v>
                </c:pt>
                <c:pt idx="3">
                  <c:v>0.82831714416828384</c:v>
                </c:pt>
                <c:pt idx="4">
                  <c:v>0.59583895488083083</c:v>
                </c:pt>
                <c:pt idx="5">
                  <c:v>0.62082914011232215</c:v>
                </c:pt>
                <c:pt idx="6">
                  <c:v>0.71333367545886162</c:v>
                </c:pt>
              </c:numCache>
            </c:numRef>
          </c:val>
          <c:extLst>
            <c:ext xmlns:c16="http://schemas.microsoft.com/office/drawing/2014/chart" uri="{C3380CC4-5D6E-409C-BE32-E72D297353CC}">
              <c16:uniqueId val="{00000007-A8A4-4520-AB57-5E232AF69044}"/>
            </c:ext>
          </c:extLst>
        </c:ser>
        <c:dLbls>
          <c:showLegendKey val="0"/>
          <c:showVal val="0"/>
          <c:showCatName val="0"/>
          <c:showSerName val="0"/>
          <c:showPercent val="0"/>
          <c:showBubbleSize val="0"/>
        </c:dLbls>
        <c:gapWidth val="150"/>
        <c:axId val="2003492112"/>
        <c:axId val="1948518720"/>
      </c:barChart>
      <c:catAx>
        <c:axId val="200349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baseline="0">
                    <a:effectLst/>
                  </a:rPr>
                  <a:t>Year of Heat Pump Installation (15-year life)</a:t>
                </a:r>
                <a:endParaRPr lang="en-US" sz="2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p>
            </c:rich>
          </c:tx>
          <c:layout>
            <c:manualLayout>
              <c:xMode val="edge"/>
              <c:yMode val="edge"/>
              <c:x val="0.30838069239205135"/>
              <c:y val="3.878749756883278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948518720"/>
        <c:crosses val="autoZero"/>
        <c:auto val="1"/>
        <c:lblAlgn val="ctr"/>
        <c:lblOffset val="100"/>
        <c:noMultiLvlLbl val="0"/>
      </c:catAx>
      <c:valAx>
        <c:axId val="194851872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baseline="0">
                    <a:effectLst/>
                  </a:rPr>
                  <a:t>GWP 100-Year Emission Reduction</a:t>
                </a:r>
                <a:endParaRPr lang="en-US" sz="2000">
                  <a:effectLst/>
                </a:endParaRPr>
              </a:p>
            </c:rich>
          </c:tx>
          <c:layout>
            <c:manualLayout>
              <c:xMode val="edge"/>
              <c:yMode val="edge"/>
              <c:x val="1.0171356672279584E-2"/>
              <c:y val="0.27295041834769679"/>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03492112"/>
        <c:crosses val="autoZero"/>
        <c:crossBetween val="between"/>
      </c:valAx>
      <c:spPr>
        <a:noFill/>
        <a:ln>
          <a:noFill/>
        </a:ln>
        <a:effectLst/>
      </c:spPr>
    </c:plotArea>
    <c:legend>
      <c:legendPos val="b"/>
      <c:layout>
        <c:manualLayout>
          <c:xMode val="edge"/>
          <c:yMode val="edge"/>
          <c:x val="0.13938850984222967"/>
          <c:y val="8.3693177794809365E-2"/>
          <c:w val="0.82244476483563567"/>
          <c:h val="5.6366091908257997E-2"/>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sz="2000">
          <a:solidFill>
            <a:sysClr val="windowText" lastClr="000000"/>
          </a:solidFill>
          <a:latin typeface="Times New Roman" panose="02020603050405020304" pitchFamily="18" charset="0"/>
          <a:cs typeface="Times New Roman" panose="02020603050405020304" pitchFamily="18"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1C4FFF4-5532-49EA-AAF7-665E317186A5}">
  <sheetPr/>
  <sheetViews>
    <sheetView zoomScale="114" workbookViewId="0" zoomToFit="1"/>
  </sheetViews>
  <pageMargins left="0.7" right="0.7" top="0.75" bottom="0.75" header="0.3" footer="0.3"/>
  <pageSetup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0EEC85-2F76-4DBD-B81C-01D4171ABF79}">
  <sheetPr/>
  <sheetViews>
    <sheetView workbookViewId="0"/>
  </sheetViews>
  <pageMargins left="0" right="0" top="0" bottom="0" header="0" footer="0"/>
  <pageSetup orientation="landscape" horizontalDpi="1200" verticalDpi="1200"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95D8D39-C4E9-4519-9446-177172CD16D0}">
  <sheetPr/>
  <sheetViews>
    <sheetView zoomScale="90" workbookViewId="0"/>
  </sheetViews>
  <pageMargins left="0" right="0" top="0" bottom="0" header="0" footer="0"/>
  <pageSetup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2D41A32-AC1F-4AF2-936E-AA9AD08AE58C}">
  <sheetPr/>
  <sheetViews>
    <sheetView zoomScale="90" workbookViewId="0"/>
  </sheetViews>
  <pageMargins left="0" right="0" top="0" bottom="0" header="0" footer="0"/>
  <pageSetup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33E8CE1-03F0-4459-A89A-A1AF24A2FF47}">
  <sheetPr/>
  <sheetViews>
    <sheetView zoomScale="115" workbookViewId="0"/>
  </sheetViews>
  <pageMargins left="0" right="0" top="0" bottom="0" header="0" footer="0"/>
  <pageSetup orientation="landscape" horizontalDpi="1200" verticalDpi="1200"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0E27249-C006-4708-BACC-97E869E3049D}">
  <sheetPr/>
  <sheetViews>
    <sheetView zoomScale="80" workbookViewId="0"/>
  </sheetViews>
  <pageMargins left="0" right="0" top="0" bottom="0" header="0" footer="0"/>
  <pageSetup orientation="landscape" horizontalDpi="1200" verticalDpi="1200"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A328D8A-E711-4D06-AF6D-52DAB0995252}">
  <sheetPr/>
  <sheetViews>
    <sheetView zoomScale="85" workbookViewId="0"/>
  </sheetViews>
  <pageMargins left="0" right="0" top="0" bottom="0" header="0" footer="0"/>
  <pageSetup orientation="landscape" horizontalDpi="1200" verticalDpi="1200"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EEED8E2-CA8D-4639-B374-6832BDFA66FA}">
  <sheetPr/>
  <sheetViews>
    <sheetView zoomScale="85" workbookViewId="0"/>
  </sheetViews>
  <pageMargins left="0" right="0" top="0" bottom="0" header="0" footer="0"/>
  <pageSetup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5FA06A7E-D69B-4606-B4E8-81BF836903B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637059" cy="7362265"/>
    <xdr:graphicFrame macro="">
      <xdr:nvGraphicFramePr>
        <xdr:cNvPr id="2" name="Chart 1">
          <a:extLst>
            <a:ext uri="{FF2B5EF4-FFF2-40B4-BE49-F238E27FC236}">
              <a16:creationId xmlns:a16="http://schemas.microsoft.com/office/drawing/2014/main" id="{22C55D91-BA87-47FE-B089-31D8AD85D0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0.66442</cdr:x>
      <cdr:y>0.77822</cdr:y>
    </cdr:from>
    <cdr:to>
      <cdr:x>0.96528</cdr:x>
      <cdr:y>0.84462</cdr:y>
    </cdr:to>
    <cdr:sp macro="" textlink="">
      <cdr:nvSpPr>
        <cdr:cNvPr id="2" name="Rectangle 1">
          <a:extLst xmlns:a="http://schemas.openxmlformats.org/drawingml/2006/main">
            <a:ext uri="{FF2B5EF4-FFF2-40B4-BE49-F238E27FC236}">
              <a16:creationId xmlns:a16="http://schemas.microsoft.com/office/drawing/2014/main" id="{3F84A53B-F6E9-4B37-A611-83B757BD5707}"/>
            </a:ext>
          </a:extLst>
        </cdr:cNvPr>
        <cdr:cNvSpPr/>
      </cdr:nvSpPr>
      <cdr:spPr>
        <a:xfrm xmlns:a="http://schemas.openxmlformats.org/drawingml/2006/main">
          <a:off x="5756776" y="4896184"/>
          <a:ext cx="2606842" cy="417763"/>
        </a:xfrm>
        <a:prstGeom xmlns:a="http://schemas.openxmlformats.org/drawingml/2006/main" prst="rect">
          <a:avLst/>
        </a:prstGeom>
        <a:ln xmlns:a="http://schemas.openxmlformats.org/drawingml/2006/main">
          <a:headEnd type="none" w="med" len="med"/>
          <a:tailEnd type="none" w="med" len="med"/>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nchorCtr="0"/>
        <a:lstStyle xmlns:a="http://schemas.openxmlformats.org/drawingml/2006/main"/>
        <a:p xmlns:a="http://schemas.openxmlformats.org/drawingml/2006/main">
          <a:pPr algn="ctr"/>
          <a:r>
            <a:rPr lang="en-US"/>
            <a:t>Summer Design Day Conditions</a:t>
          </a:r>
        </a:p>
      </cdr:txBody>
    </cdr:sp>
  </cdr:relSizeAnchor>
  <cdr:relSizeAnchor xmlns:cdr="http://schemas.openxmlformats.org/drawingml/2006/chartDrawing">
    <cdr:from>
      <cdr:x>0.16297</cdr:x>
      <cdr:y>0.77833</cdr:y>
    </cdr:from>
    <cdr:to>
      <cdr:x>0.56509</cdr:x>
      <cdr:y>0.84473</cdr:y>
    </cdr:to>
    <cdr:sp macro="" textlink="">
      <cdr:nvSpPr>
        <cdr:cNvPr id="3" name="Rectangle 2">
          <a:extLst xmlns:a="http://schemas.openxmlformats.org/drawingml/2006/main">
            <a:ext uri="{FF2B5EF4-FFF2-40B4-BE49-F238E27FC236}">
              <a16:creationId xmlns:a16="http://schemas.microsoft.com/office/drawing/2014/main" id="{C54A25E8-199A-4B08-8A4F-D8118DF24EF9}"/>
            </a:ext>
          </a:extLst>
        </cdr:cNvPr>
        <cdr:cNvSpPr/>
      </cdr:nvSpPr>
      <cdr:spPr>
        <a:xfrm xmlns:a="http://schemas.openxmlformats.org/drawingml/2006/main">
          <a:off x="1412039" y="4896853"/>
          <a:ext cx="3484145" cy="417763"/>
        </a:xfrm>
        <a:prstGeom xmlns:a="http://schemas.openxmlformats.org/drawingml/2006/main" prst="rect">
          <a:avLst/>
        </a:prstGeom>
        <a:ln xmlns:a="http://schemas.openxmlformats.org/drawingml/2006/main">
          <a:headEnd type="none" w="med" len="med"/>
          <a:tailEnd type="none" w="med" len="med"/>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nchorCtr="0"/>
        <a:lstStyle xmlns:a="http://schemas.openxmlformats.org/drawingml/2006/main">
          <a:lvl1pPr marL="0" indent="0">
            <a:defRPr sz="1100">
              <a:solidFill>
                <a:schemeClr val="accent1"/>
              </a:solidFill>
              <a:latin typeface="+mn-lt"/>
              <a:ea typeface="+mn-ea"/>
              <a:cs typeface="+mn-cs"/>
            </a:defRPr>
          </a:lvl1pPr>
          <a:lvl2pPr marL="457200" indent="0">
            <a:defRPr sz="1100">
              <a:solidFill>
                <a:schemeClr val="accent1"/>
              </a:solidFill>
              <a:latin typeface="+mn-lt"/>
              <a:ea typeface="+mn-ea"/>
              <a:cs typeface="+mn-cs"/>
            </a:defRPr>
          </a:lvl2pPr>
          <a:lvl3pPr marL="914400" indent="0">
            <a:defRPr sz="1100">
              <a:solidFill>
                <a:schemeClr val="accent1"/>
              </a:solidFill>
              <a:latin typeface="+mn-lt"/>
              <a:ea typeface="+mn-ea"/>
              <a:cs typeface="+mn-cs"/>
            </a:defRPr>
          </a:lvl3pPr>
          <a:lvl4pPr marL="1371600" indent="0">
            <a:defRPr sz="1100">
              <a:solidFill>
                <a:schemeClr val="accent1"/>
              </a:solidFill>
              <a:latin typeface="+mn-lt"/>
              <a:ea typeface="+mn-ea"/>
              <a:cs typeface="+mn-cs"/>
            </a:defRPr>
          </a:lvl4pPr>
          <a:lvl5pPr marL="1828800" indent="0">
            <a:defRPr sz="1100">
              <a:solidFill>
                <a:schemeClr val="accent1"/>
              </a:solidFill>
              <a:latin typeface="+mn-lt"/>
              <a:ea typeface="+mn-ea"/>
              <a:cs typeface="+mn-cs"/>
            </a:defRPr>
          </a:lvl5pPr>
          <a:lvl6pPr marL="2286000" indent="0">
            <a:defRPr sz="1100">
              <a:solidFill>
                <a:schemeClr val="accent1"/>
              </a:solidFill>
              <a:latin typeface="+mn-lt"/>
              <a:ea typeface="+mn-ea"/>
              <a:cs typeface="+mn-cs"/>
            </a:defRPr>
          </a:lvl6pPr>
          <a:lvl7pPr marL="2743200" indent="0">
            <a:defRPr sz="1100">
              <a:solidFill>
                <a:schemeClr val="accent1"/>
              </a:solidFill>
              <a:latin typeface="+mn-lt"/>
              <a:ea typeface="+mn-ea"/>
              <a:cs typeface="+mn-cs"/>
            </a:defRPr>
          </a:lvl7pPr>
          <a:lvl8pPr marL="3200400" indent="0">
            <a:defRPr sz="1100">
              <a:solidFill>
                <a:schemeClr val="accent1"/>
              </a:solidFill>
              <a:latin typeface="+mn-lt"/>
              <a:ea typeface="+mn-ea"/>
              <a:cs typeface="+mn-cs"/>
            </a:defRPr>
          </a:lvl8pPr>
          <a:lvl9pPr marL="3657600" indent="0">
            <a:defRPr sz="1100">
              <a:solidFill>
                <a:schemeClr val="accent1"/>
              </a:solidFill>
              <a:latin typeface="+mn-lt"/>
              <a:ea typeface="+mn-ea"/>
              <a:cs typeface="+mn-cs"/>
            </a:defRPr>
          </a:lvl9pPr>
        </a:lstStyle>
        <a:p xmlns:a="http://schemas.openxmlformats.org/drawingml/2006/main">
          <a:pPr algn="ctr"/>
          <a:r>
            <a:rPr lang="en-US">
              <a:solidFill>
                <a:sysClr val="windowText" lastClr="000000"/>
              </a:solidFill>
            </a:rPr>
            <a:t>Winter Design Day Conditions</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629775" cy="7362825"/>
    <xdr:graphicFrame macro="">
      <xdr:nvGraphicFramePr>
        <xdr:cNvPr id="2" name="Chart 1">
          <a:extLst>
            <a:ext uri="{FF2B5EF4-FFF2-40B4-BE49-F238E27FC236}">
              <a16:creationId xmlns:a16="http://schemas.microsoft.com/office/drawing/2014/main" id="{468C9C9E-0683-48E3-AEB8-D304A4EC35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4</xdr:col>
      <xdr:colOff>476250</xdr:colOff>
      <xdr:row>27</xdr:row>
      <xdr:rowOff>136071</xdr:rowOff>
    </xdr:from>
    <xdr:to>
      <xdr:col>18</xdr:col>
      <xdr:colOff>56131</xdr:colOff>
      <xdr:row>35</xdr:row>
      <xdr:rowOff>17</xdr:rowOff>
    </xdr:to>
    <xdr:pic>
      <xdr:nvPicPr>
        <xdr:cNvPr id="3" name="Picture 2">
          <a:extLst>
            <a:ext uri="{FF2B5EF4-FFF2-40B4-BE49-F238E27FC236}">
              <a16:creationId xmlns:a16="http://schemas.microsoft.com/office/drawing/2014/main" id="{727CF891-AA34-44FC-839B-26ADA0F22B15}"/>
            </a:ext>
          </a:extLst>
        </xdr:cNvPr>
        <xdr:cNvPicPr>
          <a:picLocks noChangeAspect="1"/>
        </xdr:cNvPicPr>
      </xdr:nvPicPr>
      <xdr:blipFill>
        <a:blip xmlns:r="http://schemas.openxmlformats.org/officeDocument/2006/relationships" r:embed="rId1"/>
        <a:stretch>
          <a:fillRect/>
        </a:stretch>
      </xdr:blipFill>
      <xdr:spPr>
        <a:xfrm>
          <a:off x="6055179" y="6026020"/>
          <a:ext cx="8152381" cy="14190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620250" cy="7344833"/>
    <xdr:graphicFrame macro="">
      <xdr:nvGraphicFramePr>
        <xdr:cNvPr id="2" name="Chart 1">
          <a:extLst>
            <a:ext uri="{FF2B5EF4-FFF2-40B4-BE49-F238E27FC236}">
              <a16:creationId xmlns:a16="http://schemas.microsoft.com/office/drawing/2014/main" id="{B84272F1-2F14-4986-80AA-0EA9F0585A1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620250" cy="7344833"/>
    <xdr:graphicFrame macro="">
      <xdr:nvGraphicFramePr>
        <xdr:cNvPr id="2" name="Chart 1">
          <a:extLst>
            <a:ext uri="{FF2B5EF4-FFF2-40B4-BE49-F238E27FC236}">
              <a16:creationId xmlns:a16="http://schemas.microsoft.com/office/drawing/2014/main" id="{C47FF897-8691-434D-9979-B96598E34A2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632674" cy="7354957"/>
    <xdr:graphicFrame macro="">
      <xdr:nvGraphicFramePr>
        <xdr:cNvPr id="2" name="Chart 1">
          <a:extLst>
            <a:ext uri="{FF2B5EF4-FFF2-40B4-BE49-F238E27FC236}">
              <a16:creationId xmlns:a16="http://schemas.microsoft.com/office/drawing/2014/main" id="{75D3AD01-018C-4A3C-99C0-A0FCE1893C5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636125" cy="7366000"/>
    <xdr:graphicFrame macro="">
      <xdr:nvGraphicFramePr>
        <xdr:cNvPr id="2" name="Chart 1">
          <a:extLst>
            <a:ext uri="{FF2B5EF4-FFF2-40B4-BE49-F238E27FC236}">
              <a16:creationId xmlns:a16="http://schemas.microsoft.com/office/drawing/2014/main" id="{885F378D-E610-4D74-8318-58B31118B0D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637059" cy="7362265"/>
    <xdr:graphicFrame macro="">
      <xdr:nvGraphicFramePr>
        <xdr:cNvPr id="2" name="Chart 1">
          <a:extLst>
            <a:ext uri="{FF2B5EF4-FFF2-40B4-BE49-F238E27FC236}">
              <a16:creationId xmlns:a16="http://schemas.microsoft.com/office/drawing/2014/main" id="{452ED67C-40A3-460E-832B-A9916B4CD8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B1EED-4011-4E52-9B8F-6BAFA834628F}" name="Table1" displayName="Table1" ref="A1:D49" totalsRowShown="0" headerRowBorderDxfId="3" tableBorderDxfId="2">
  <tableColumns count="4">
    <tableColumn id="1" xr3:uid="{CD0CF291-B8A9-49AC-B0D2-985CD478F6B9}" name="State" dataDxfId="1"/>
    <tableColumn id="2" xr3:uid="{03D38F29-08F6-4DFB-AB21-307C7253CCBC}" name="Leak Rate (%) Production"/>
    <tableColumn id="3" xr3:uid="{F7E48072-6D4C-46E4-B4B8-8FF15A73D20C}" name="Leak Rate (Downsteam of Meter)"/>
    <tableColumn id="4" xr3:uid="{81038A61-3E7E-484F-9323-B6D266850089}" name="Total Leak Rate" dataDxfId="0">
      <calculatedColumnFormula>SUM(Table1[[#This Row],[Leak Rate (%) Production]:[Leak Rate (Downsteam of Meter)]])</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www.eia.gov/consumption/residential/reports/2009/air-conditioning.php"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100"/>
  <sheetViews>
    <sheetView tabSelected="1" zoomScale="70" zoomScaleNormal="70" workbookViewId="0">
      <selection activeCell="V23" sqref="V23"/>
    </sheetView>
  </sheetViews>
  <sheetFormatPr defaultRowHeight="15" x14ac:dyDescent="0.25"/>
  <cols>
    <col min="1" max="1" width="49.5703125" bestFit="1" customWidth="1"/>
    <col min="2" max="2" width="11.85546875" customWidth="1"/>
    <col min="3" max="3" width="12.7109375" customWidth="1"/>
    <col min="15" max="15" width="11.42578125" customWidth="1"/>
    <col min="16" max="16" width="18.5703125" customWidth="1"/>
    <col min="19" max="19" width="14.28515625" customWidth="1"/>
    <col min="41" max="41" width="9.140625" style="69"/>
    <col min="44" max="44" width="9.140625" style="69"/>
    <col min="96" max="127" width="11.42578125" style="1" customWidth="1"/>
  </cols>
  <sheetData>
    <row r="1" spans="1:127" s="1" customFormat="1" ht="120" x14ac:dyDescent="0.25">
      <c r="A1" s="1" t="s">
        <v>0</v>
      </c>
      <c r="B1" s="1" t="s">
        <v>128</v>
      </c>
      <c r="C1" s="1" t="s">
        <v>129</v>
      </c>
      <c r="D1" s="1" t="s">
        <v>130</v>
      </c>
      <c r="E1" s="1" t="s">
        <v>131</v>
      </c>
      <c r="F1" s="1" t="s">
        <v>132</v>
      </c>
      <c r="G1" s="1" t="s">
        <v>133</v>
      </c>
      <c r="H1" s="1" t="s">
        <v>134</v>
      </c>
      <c r="I1" s="1" t="s">
        <v>135</v>
      </c>
      <c r="J1" s="1" t="s">
        <v>136</v>
      </c>
      <c r="K1" s="1" t="s">
        <v>137</v>
      </c>
      <c r="L1" s="1" t="s">
        <v>138</v>
      </c>
      <c r="M1" s="1" t="s">
        <v>139</v>
      </c>
      <c r="N1" s="1" t="s">
        <v>1</v>
      </c>
      <c r="O1" s="1" t="s">
        <v>3</v>
      </c>
      <c r="P1" s="1" t="s">
        <v>4</v>
      </c>
      <c r="Q1" s="1" t="s">
        <v>2</v>
      </c>
      <c r="R1" s="1" t="s">
        <v>3671</v>
      </c>
      <c r="S1" s="1" t="s">
        <v>140</v>
      </c>
      <c r="T1" s="1" t="s">
        <v>3672</v>
      </c>
      <c r="U1" s="1" t="s">
        <v>3673</v>
      </c>
      <c r="V1" s="1" t="s">
        <v>3674</v>
      </c>
      <c r="W1" s="1" t="s">
        <v>3675</v>
      </c>
      <c r="X1" s="1" t="s">
        <v>3676</v>
      </c>
      <c r="Y1" s="1" t="s">
        <v>3677</v>
      </c>
      <c r="Z1" s="1" t="s">
        <v>3678</v>
      </c>
      <c r="AA1" s="1" t="s">
        <v>3679</v>
      </c>
      <c r="AB1" s="1" t="s">
        <v>3680</v>
      </c>
      <c r="AC1" s="1" t="s">
        <v>3681</v>
      </c>
      <c r="AD1" s="1" t="s">
        <v>3682</v>
      </c>
      <c r="AE1" s="1" t="s">
        <v>3683</v>
      </c>
      <c r="AF1" s="1" t="s">
        <v>3684</v>
      </c>
      <c r="AG1" s="1" t="s">
        <v>3685</v>
      </c>
      <c r="AH1" s="1" t="s">
        <v>3686</v>
      </c>
      <c r="AI1" s="1" t="s">
        <v>3687</v>
      </c>
      <c r="AJ1" s="1" t="s">
        <v>141</v>
      </c>
      <c r="AK1" s="1" t="s">
        <v>142</v>
      </c>
      <c r="AL1" s="1" t="s">
        <v>143</v>
      </c>
      <c r="AM1" s="1" t="s">
        <v>144</v>
      </c>
      <c r="AN1" s="1" t="s">
        <v>5</v>
      </c>
      <c r="AO1" s="68" t="s">
        <v>8</v>
      </c>
      <c r="AP1" s="1" t="s">
        <v>9</v>
      </c>
      <c r="AQ1" s="1" t="s">
        <v>6</v>
      </c>
      <c r="AR1" s="68" t="s">
        <v>10</v>
      </c>
      <c r="AS1" s="1" t="s">
        <v>11</v>
      </c>
      <c r="AT1" s="1" t="s">
        <v>7</v>
      </c>
      <c r="AU1" s="1" t="s">
        <v>3688</v>
      </c>
      <c r="AV1" s="1" t="s">
        <v>145</v>
      </c>
      <c r="AW1" s="1" t="s">
        <v>146</v>
      </c>
      <c r="AX1" s="1" t="s">
        <v>147</v>
      </c>
      <c r="AY1" s="1" t="s">
        <v>148</v>
      </c>
      <c r="AZ1" s="1" t="s">
        <v>149</v>
      </c>
      <c r="BA1" s="1" t="s">
        <v>150</v>
      </c>
      <c r="BB1" s="1" t="s">
        <v>151</v>
      </c>
      <c r="BC1" s="1" t="s">
        <v>152</v>
      </c>
      <c r="BD1" s="1" t="s">
        <v>153</v>
      </c>
      <c r="BE1" s="1" t="s">
        <v>154</v>
      </c>
      <c r="BF1" s="1" t="s">
        <v>155</v>
      </c>
      <c r="BG1" s="1" t="s">
        <v>156</v>
      </c>
      <c r="BH1" s="1" t="s">
        <v>157</v>
      </c>
      <c r="BI1" s="1" t="s">
        <v>158</v>
      </c>
      <c r="BJ1" s="1" t="s">
        <v>159</v>
      </c>
      <c r="BK1" s="1" t="s">
        <v>160</v>
      </c>
      <c r="BL1" s="1" t="s">
        <v>3689</v>
      </c>
      <c r="BM1" s="1" t="s">
        <v>3690</v>
      </c>
      <c r="BN1" s="1" t="s">
        <v>3691</v>
      </c>
      <c r="BO1" s="1" t="s">
        <v>3692</v>
      </c>
      <c r="BP1" s="1" t="s">
        <v>3693</v>
      </c>
      <c r="BQ1" s="1" t="s">
        <v>3694</v>
      </c>
      <c r="BR1" s="1" t="s">
        <v>3695</v>
      </c>
      <c r="BS1" s="1" t="s">
        <v>3696</v>
      </c>
      <c r="BT1" s="1" t="s">
        <v>3697</v>
      </c>
      <c r="BU1" s="1" t="s">
        <v>3698</v>
      </c>
      <c r="BV1" s="1" t="s">
        <v>3699</v>
      </c>
      <c r="BW1" s="1" t="s">
        <v>3700</v>
      </c>
      <c r="BX1" s="1" t="s">
        <v>3701</v>
      </c>
      <c r="BY1" s="1" t="s">
        <v>3702</v>
      </c>
      <c r="BZ1" s="1" t="s">
        <v>3703</v>
      </c>
      <c r="CA1" s="1" t="s">
        <v>3704</v>
      </c>
      <c r="CB1" s="1" t="s">
        <v>161</v>
      </c>
      <c r="CC1" s="1" t="s">
        <v>162</v>
      </c>
      <c r="CD1" s="1" t="s">
        <v>163</v>
      </c>
      <c r="CE1" s="1" t="s">
        <v>164</v>
      </c>
      <c r="CF1" s="1" t="s">
        <v>165</v>
      </c>
      <c r="CG1" s="1" t="s">
        <v>166</v>
      </c>
      <c r="CH1" s="1" t="s">
        <v>167</v>
      </c>
      <c r="CI1" s="1" t="s">
        <v>168</v>
      </c>
      <c r="CJ1" s="1" t="s">
        <v>169</v>
      </c>
      <c r="CK1" s="1" t="s">
        <v>170</v>
      </c>
      <c r="CL1" s="1" t="s">
        <v>171</v>
      </c>
      <c r="CM1" s="1" t="s">
        <v>172</v>
      </c>
      <c r="CN1" s="1" t="s">
        <v>173</v>
      </c>
      <c r="CO1" s="1" t="s">
        <v>174</v>
      </c>
      <c r="CP1" s="1" t="s">
        <v>175</v>
      </c>
      <c r="CQ1" s="1" t="s">
        <v>176</v>
      </c>
      <c r="CR1" s="1" t="s">
        <v>3810</v>
      </c>
      <c r="CS1" s="1" t="s">
        <v>3811</v>
      </c>
      <c r="CT1" s="1" t="s">
        <v>3812</v>
      </c>
      <c r="CU1" s="1" t="s">
        <v>3813</v>
      </c>
      <c r="CV1" s="1" t="s">
        <v>3814</v>
      </c>
      <c r="CW1" s="1" t="s">
        <v>3815</v>
      </c>
      <c r="CX1" s="1" t="s">
        <v>3816</v>
      </c>
      <c r="CY1" s="1" t="s">
        <v>3817</v>
      </c>
      <c r="CZ1" s="1" t="s">
        <v>3818</v>
      </c>
      <c r="DA1" s="1" t="s">
        <v>3819</v>
      </c>
      <c r="DB1" s="1" t="s">
        <v>3820</v>
      </c>
      <c r="DC1" s="1" t="s">
        <v>3821</v>
      </c>
      <c r="DD1" s="1" t="s">
        <v>3822</v>
      </c>
      <c r="DE1" s="1" t="s">
        <v>3823</v>
      </c>
      <c r="DF1" s="1" t="s">
        <v>3824</v>
      </c>
      <c r="DG1" s="1" t="s">
        <v>3825</v>
      </c>
      <c r="DH1" s="1" t="s">
        <v>3826</v>
      </c>
      <c r="DI1" s="1" t="s">
        <v>3827</v>
      </c>
      <c r="DJ1" s="1" t="s">
        <v>3828</v>
      </c>
      <c r="DK1" s="1" t="s">
        <v>3829</v>
      </c>
      <c r="DL1" s="1" t="s">
        <v>3830</v>
      </c>
      <c r="DM1" s="1" t="s">
        <v>3831</v>
      </c>
      <c r="DN1" s="1" t="s">
        <v>3832</v>
      </c>
      <c r="DO1" s="1" t="s">
        <v>3833</v>
      </c>
      <c r="DP1" s="1" t="s">
        <v>3834</v>
      </c>
      <c r="DQ1" s="1" t="s">
        <v>3835</v>
      </c>
      <c r="DR1" s="1" t="s">
        <v>3836</v>
      </c>
      <c r="DS1" s="1" t="s">
        <v>3837</v>
      </c>
      <c r="DT1" s="1" t="s">
        <v>3838</v>
      </c>
      <c r="DU1" s="1" t="s">
        <v>3839</v>
      </c>
      <c r="DV1" s="1" t="s">
        <v>3840</v>
      </c>
      <c r="DW1" s="1" t="s">
        <v>3841</v>
      </c>
    </row>
    <row r="2" spans="1:127" x14ac:dyDescent="0.25">
      <c r="A2" t="s">
        <v>30</v>
      </c>
      <c r="B2">
        <v>33.57</v>
      </c>
      <c r="C2">
        <v>-86.75</v>
      </c>
      <c r="D2">
        <v>-6.4</v>
      </c>
      <c r="E2">
        <v>-4</v>
      </c>
      <c r="F2">
        <v>35.299999999999997</v>
      </c>
      <c r="G2">
        <v>23.9</v>
      </c>
      <c r="H2">
        <v>33.9</v>
      </c>
      <c r="I2">
        <v>23.6</v>
      </c>
      <c r="J2">
        <v>63.166666666666799</v>
      </c>
      <c r="K2">
        <v>0</v>
      </c>
      <c r="L2">
        <v>22146543643.2915</v>
      </c>
      <c r="M2">
        <v>4911373850.9916296</v>
      </c>
      <c r="N2">
        <v>5287.1093499999997</v>
      </c>
      <c r="O2" s="75">
        <v>13352294032.872499</v>
      </c>
      <c r="P2">
        <f>16690367541.0906*(0.8/0.96)</f>
        <v>13908639617.5755</v>
      </c>
      <c r="Q2">
        <v>29308</v>
      </c>
      <c r="R2">
        <v>120281978.58451299</v>
      </c>
      <c r="S2">
        <f>839.541040964597*(0.8/0.96)</f>
        <v>699.61753413716417</v>
      </c>
      <c r="T2">
        <v>21.0412412319453</v>
      </c>
      <c r="U2">
        <v>16.5557222093909</v>
      </c>
      <c r="V2">
        <v>24.093074188997502</v>
      </c>
      <c r="W2">
        <v>16.935846432508001</v>
      </c>
      <c r="X2">
        <v>13.4764102211353</v>
      </c>
      <c r="Y2">
        <v>13.4072788921215</v>
      </c>
      <c r="Z2">
        <v>18.154617712309101</v>
      </c>
      <c r="AA2">
        <v>12.983483261065301</v>
      </c>
      <c r="AB2">
        <v>17.041411873658401</v>
      </c>
      <c r="AC2">
        <v>14.4150711100186</v>
      </c>
      <c r="AD2">
        <v>13.2211446684049</v>
      </c>
      <c r="AE2">
        <v>11.5057194041536</v>
      </c>
      <c r="AF2">
        <v>12.5066593850921</v>
      </c>
      <c r="AG2">
        <v>13.6590564312406</v>
      </c>
      <c r="AH2">
        <v>3.6089532082959002</v>
      </c>
      <c r="AI2">
        <v>3.6089532082959002</v>
      </c>
      <c r="AJ2">
        <v>62.3333333333334</v>
      </c>
      <c r="AK2">
        <v>5.7499999999999902</v>
      </c>
      <c r="AL2">
        <v>22185338943.052502</v>
      </c>
      <c r="AM2">
        <v>3379879472.1771598</v>
      </c>
      <c r="AN2">
        <v>5287.1093499999997</v>
      </c>
      <c r="AO2" s="69">
        <v>12590525287.033001</v>
      </c>
      <c r="AP2">
        <v>3702832468.75316</v>
      </c>
      <c r="AQ2">
        <v>5287.1093499999997</v>
      </c>
      <c r="AR2" s="69">
        <v>254828726.008356</v>
      </c>
      <c r="AS2">
        <v>254828726.008356</v>
      </c>
      <c r="AT2">
        <v>5201.4233800000002</v>
      </c>
      <c r="AU2">
        <v>673104821.40581405</v>
      </c>
      <c r="AV2">
        <v>649.28195367344597</v>
      </c>
      <c r="AW2">
        <v>514.17000513443895</v>
      </c>
      <c r="AX2">
        <v>751.44727549984304</v>
      </c>
      <c r="AY2">
        <v>539.24249564220702</v>
      </c>
      <c r="AZ2">
        <v>424.789196799889</v>
      </c>
      <c r="BA2">
        <v>429.47112443642101</v>
      </c>
      <c r="BB2">
        <v>562.10165940476395</v>
      </c>
      <c r="BC2">
        <v>403.92530060870303</v>
      </c>
      <c r="BD2">
        <v>526.65935187455796</v>
      </c>
      <c r="BE2">
        <v>449.05243019556002</v>
      </c>
      <c r="BF2">
        <v>408.14000386730999</v>
      </c>
      <c r="BG2">
        <v>359.38029203555999</v>
      </c>
      <c r="BH2">
        <v>388.63091229061598</v>
      </c>
      <c r="BI2">
        <v>425.04513561802003</v>
      </c>
      <c r="BJ2">
        <v>111.519115490866</v>
      </c>
      <c r="BK2">
        <v>111.519115490866</v>
      </c>
      <c r="BL2">
        <v>117.797769294593</v>
      </c>
      <c r="BM2">
        <v>92.685433549922095</v>
      </c>
      <c r="BN2">
        <v>134.55014775348499</v>
      </c>
      <c r="BO2">
        <v>94.499923679721306</v>
      </c>
      <c r="BP2">
        <v>75.295273968713005</v>
      </c>
      <c r="BQ2">
        <v>74.601094707562496</v>
      </c>
      <c r="BR2">
        <v>101.631802335939</v>
      </c>
      <c r="BS2">
        <v>72.390835585217104</v>
      </c>
      <c r="BT2">
        <v>95.444796251107107</v>
      </c>
      <c r="BU2">
        <v>80.469014180985297</v>
      </c>
      <c r="BV2">
        <v>74.0303448392348</v>
      </c>
      <c r="BW2">
        <v>64.304774349145802</v>
      </c>
      <c r="BX2">
        <v>69.932016674877005</v>
      </c>
      <c r="BY2">
        <v>76.493037598181601</v>
      </c>
      <c r="BZ2">
        <v>20.214990123598199</v>
      </c>
      <c r="CA2">
        <v>20.214990123598199</v>
      </c>
      <c r="CB2">
        <v>43.776203794646001</v>
      </c>
      <c r="CC2">
        <v>28.729813292572199</v>
      </c>
      <c r="CD2">
        <v>48.559087031077503</v>
      </c>
      <c r="CE2">
        <v>34.4690260660985</v>
      </c>
      <c r="CF2">
        <v>26.695173469209902</v>
      </c>
      <c r="CG2">
        <v>29.529306105620101</v>
      </c>
      <c r="CH2">
        <v>33.1272227545211</v>
      </c>
      <c r="CI2">
        <v>27.671430241190901</v>
      </c>
      <c r="CJ2">
        <v>37.319584611054601</v>
      </c>
      <c r="CK2">
        <v>31.617838164820501</v>
      </c>
      <c r="CL2">
        <v>27.023218881179002</v>
      </c>
      <c r="CM2">
        <v>25.7524000260482</v>
      </c>
      <c r="CN2">
        <v>27.387447056268002</v>
      </c>
      <c r="CO2">
        <v>29.088761622229001</v>
      </c>
      <c r="CP2">
        <v>7.0199677693932099</v>
      </c>
      <c r="CQ2">
        <v>7.0199677693932099</v>
      </c>
      <c r="CR2" s="1">
        <v>105849209.634976</v>
      </c>
      <c r="CS2" s="1">
        <v>99189233.147090197</v>
      </c>
      <c r="CT2" s="1">
        <v>94680059.623462602</v>
      </c>
      <c r="CU2" s="1">
        <v>79382879.1306348</v>
      </c>
      <c r="CV2" s="1">
        <v>59818907.897938497</v>
      </c>
      <c r="CW2" s="1">
        <v>63597150.335472502</v>
      </c>
      <c r="CX2" s="1">
        <v>56360940.522599198</v>
      </c>
      <c r="CY2" s="1">
        <v>44820530.515299603</v>
      </c>
      <c r="CZ2" s="1">
        <v>48808114.8175174</v>
      </c>
      <c r="DA2" s="1">
        <v>36417977.131088696</v>
      </c>
      <c r="DB2" s="1">
        <v>37163503.780997001</v>
      </c>
      <c r="DC2" s="1">
        <v>44673798.140052699</v>
      </c>
      <c r="DD2" s="1">
        <v>52203832.395599</v>
      </c>
      <c r="DE2" s="1">
        <v>65127523.846533999</v>
      </c>
      <c r="DF2" s="1">
        <v>65902900.306979798</v>
      </c>
      <c r="DG2" s="1">
        <v>54433969.622789003</v>
      </c>
      <c r="DH2" s="1">
        <v>4072955834.7179699</v>
      </c>
      <c r="DI2" s="1">
        <v>3821915126.11412</v>
      </c>
      <c r="DJ2" s="1">
        <v>3635183500.1774902</v>
      </c>
      <c r="DK2" s="1">
        <v>3057320433.92978</v>
      </c>
      <c r="DL2" s="1">
        <v>2319182144.8146501</v>
      </c>
      <c r="DM2" s="1">
        <v>2480105115.7601199</v>
      </c>
      <c r="DN2" s="1">
        <v>2196550503.8485599</v>
      </c>
      <c r="DO2" s="1">
        <v>1738164230.79124</v>
      </c>
      <c r="DP2" s="1">
        <v>1896681588.3761401</v>
      </c>
      <c r="DQ2" s="1">
        <v>1433438214.5537701</v>
      </c>
      <c r="DR2" s="1">
        <v>1456204511.13169</v>
      </c>
      <c r="DS2" s="1">
        <v>1730411048.5403299</v>
      </c>
      <c r="DT2" s="1">
        <v>2032369112.2141199</v>
      </c>
      <c r="DU2" s="1">
        <v>2531026732.7449198</v>
      </c>
      <c r="DV2" s="1">
        <v>2587278816.2313299</v>
      </c>
      <c r="DW2" s="1">
        <v>2103928693.59864</v>
      </c>
    </row>
    <row r="3" spans="1:127" x14ac:dyDescent="0.25">
      <c r="A3" t="s">
        <v>31</v>
      </c>
      <c r="B3">
        <v>30.68</v>
      </c>
      <c r="C3">
        <v>-88.25</v>
      </c>
      <c r="D3">
        <v>-2.4</v>
      </c>
      <c r="E3">
        <v>-0.5</v>
      </c>
      <c r="F3">
        <v>34.299999999999997</v>
      </c>
      <c r="G3">
        <v>25</v>
      </c>
      <c r="H3">
        <v>33.299999999999997</v>
      </c>
      <c r="I3">
        <v>24.7</v>
      </c>
      <c r="J3">
        <v>61.916666666666899</v>
      </c>
      <c r="K3">
        <v>0</v>
      </c>
      <c r="L3">
        <v>28829332293.976299</v>
      </c>
      <c r="M3">
        <v>6291152137.9323196</v>
      </c>
      <c r="N3">
        <v>5317.1479099999997</v>
      </c>
      <c r="O3" s="75">
        <v>6559204287.7214298</v>
      </c>
      <c r="P3">
        <f>8199005359.6518*(0.8/0.96)</f>
        <v>6832504466.3765001</v>
      </c>
      <c r="Q3">
        <v>29308</v>
      </c>
      <c r="R3">
        <v>57175554.437766597</v>
      </c>
      <c r="S3">
        <f>412.417610191619*(0.8/0.96)</f>
        <v>343.68134182634918</v>
      </c>
      <c r="T3">
        <v>10.224566098699199</v>
      </c>
      <c r="U3">
        <v>8.1387907539828692</v>
      </c>
      <c r="V3">
        <v>11.1950499751438</v>
      </c>
      <c r="W3">
        <v>8.3229377889044702</v>
      </c>
      <c r="X3">
        <v>6.7476451485491102</v>
      </c>
      <c r="Y3">
        <v>6.2863168946433197</v>
      </c>
      <c r="Z3">
        <v>9.0265179444842492</v>
      </c>
      <c r="AA3">
        <v>6.1434687819067504</v>
      </c>
      <c r="AB3">
        <v>8.7289605275660804</v>
      </c>
      <c r="AC3">
        <v>7.0760170493113996</v>
      </c>
      <c r="AD3">
        <v>6.5448146480066303</v>
      </c>
      <c r="AE3">
        <v>5.2227832942279599</v>
      </c>
      <c r="AF3">
        <v>6.1675813955905996</v>
      </c>
      <c r="AG3">
        <v>6.2750450009743304</v>
      </c>
      <c r="AH3">
        <v>1.72021596704178</v>
      </c>
      <c r="AI3">
        <v>1.72021596704178</v>
      </c>
      <c r="AJ3">
        <v>61.583333333333599</v>
      </c>
      <c r="AK3">
        <v>4</v>
      </c>
      <c r="AL3">
        <v>28875722311.538601</v>
      </c>
      <c r="AM3">
        <v>4273616728.5819502</v>
      </c>
      <c r="AN3">
        <v>5317.1479099999997</v>
      </c>
      <c r="AO3" s="69">
        <v>6234559866.9346104</v>
      </c>
      <c r="AP3">
        <v>1796961316.3685701</v>
      </c>
      <c r="AQ3">
        <v>5317.1479099999997</v>
      </c>
      <c r="AR3" s="69">
        <v>90310196.884300202</v>
      </c>
      <c r="AS3">
        <v>90310196.884300202</v>
      </c>
      <c r="AT3">
        <v>4206.9585299999999</v>
      </c>
      <c r="AU3">
        <v>318875768.02151698</v>
      </c>
      <c r="AV3">
        <v>323.64504235866599</v>
      </c>
      <c r="AW3">
        <v>258.99083605029398</v>
      </c>
      <c r="AX3">
        <v>356.28535184084097</v>
      </c>
      <c r="AY3">
        <v>270.53024481401002</v>
      </c>
      <c r="AZ3">
        <v>217.98298586559201</v>
      </c>
      <c r="BA3">
        <v>204.102196898626</v>
      </c>
      <c r="BB3">
        <v>287.62440295536601</v>
      </c>
      <c r="BC3">
        <v>194.68815632214799</v>
      </c>
      <c r="BD3">
        <v>277.28780726434297</v>
      </c>
      <c r="BE3">
        <v>224.417066895555</v>
      </c>
      <c r="BF3">
        <v>206.894210503755</v>
      </c>
      <c r="BG3">
        <v>165.97623476704399</v>
      </c>
      <c r="BH3">
        <v>195.18800169166201</v>
      </c>
      <c r="BI3">
        <v>199.73550200727499</v>
      </c>
      <c r="BJ3">
        <v>53.440997728231302</v>
      </c>
      <c r="BK3">
        <v>53.440997728231302</v>
      </c>
      <c r="BL3">
        <v>56.8959196158075</v>
      </c>
      <c r="BM3">
        <v>45.411908642976499</v>
      </c>
      <c r="BN3">
        <v>62.357179287438299</v>
      </c>
      <c r="BO3">
        <v>46.254610184860702</v>
      </c>
      <c r="BP3">
        <v>37.537266130852601</v>
      </c>
      <c r="BQ3">
        <v>35.0181019374727</v>
      </c>
      <c r="BR3">
        <v>50.252665694038001</v>
      </c>
      <c r="BS3">
        <v>34.211413861523802</v>
      </c>
      <c r="BT3">
        <v>48.49399386188</v>
      </c>
      <c r="BU3">
        <v>39.438253891393302</v>
      </c>
      <c r="BV3">
        <v>36.462534311871003</v>
      </c>
      <c r="BW3">
        <v>29.143802756628101</v>
      </c>
      <c r="BX3">
        <v>34.328918412960299</v>
      </c>
      <c r="BY3">
        <v>35.019493477357003</v>
      </c>
      <c r="BZ3">
        <v>9.6082792742531407</v>
      </c>
      <c r="CA3">
        <v>9.6082792742531407</v>
      </c>
      <c r="CB3">
        <v>15.745015594359099</v>
      </c>
      <c r="CC3">
        <v>11.4433990324231</v>
      </c>
      <c r="CD3">
        <v>16.093145015935399</v>
      </c>
      <c r="CE3">
        <v>11.394097936278801</v>
      </c>
      <c r="CF3">
        <v>10.6170785393098</v>
      </c>
      <c r="CG3">
        <v>8.5332819922690302</v>
      </c>
      <c r="CH3">
        <v>13.169256059330801</v>
      </c>
      <c r="CI3">
        <v>9.496736407677</v>
      </c>
      <c r="CJ3">
        <v>14.059715785996101</v>
      </c>
      <c r="CK3">
        <v>11.499055535436799</v>
      </c>
      <c r="CL3">
        <v>10.645654542640001</v>
      </c>
      <c r="CM3">
        <v>8.9489131213223896</v>
      </c>
      <c r="CN3">
        <v>9.8909245116621296</v>
      </c>
      <c r="CO3">
        <v>10.6756872547026</v>
      </c>
      <c r="CP3">
        <v>2.2200666926124701</v>
      </c>
      <c r="CQ3">
        <v>2.2200666926124701</v>
      </c>
      <c r="CR3" s="1">
        <v>49802570.043890603</v>
      </c>
      <c r="CS3" s="1">
        <v>46626996.469008498</v>
      </c>
      <c r="CT3" s="1">
        <v>46101888.259285301</v>
      </c>
      <c r="CU3" s="1">
        <v>38992195.411882699</v>
      </c>
      <c r="CV3" s="1">
        <v>30091829.831971802</v>
      </c>
      <c r="CW3" s="1">
        <v>31909037.3017703</v>
      </c>
      <c r="CX3" s="1">
        <v>29390231.7990379</v>
      </c>
      <c r="CY3" s="1">
        <v>24228243.216654699</v>
      </c>
      <c r="CZ3" s="1">
        <v>25975332.7351478</v>
      </c>
      <c r="DA3" s="1">
        <v>20555417.335470598</v>
      </c>
      <c r="DB3" s="1">
        <v>19534557.293171801</v>
      </c>
      <c r="DC3" s="1">
        <v>23252275.799371202</v>
      </c>
      <c r="DD3" s="1">
        <v>26896448.578104299</v>
      </c>
      <c r="DE3" s="1">
        <v>33047617.306332599</v>
      </c>
      <c r="DF3" s="1">
        <v>33113485.392340001</v>
      </c>
      <c r="DG3" s="1">
        <v>28051177.434104402</v>
      </c>
      <c r="DH3" s="1">
        <v>1924196429.2211699</v>
      </c>
      <c r="DI3" s="1">
        <v>1802864167.75388</v>
      </c>
      <c r="DJ3" s="1">
        <v>1786228551.89849</v>
      </c>
      <c r="DK3" s="1">
        <v>1505904416.21134</v>
      </c>
      <c r="DL3" s="1">
        <v>1163873380.3942001</v>
      </c>
      <c r="DM3" s="1">
        <v>1232756211.8796699</v>
      </c>
      <c r="DN3" s="1">
        <v>1130840798.3837199</v>
      </c>
      <c r="DO3" s="1">
        <v>939236994.434533</v>
      </c>
      <c r="DP3" s="1">
        <v>1010742150.39256</v>
      </c>
      <c r="DQ3" s="1">
        <v>797566517.23901904</v>
      </c>
      <c r="DR3" s="1">
        <v>754480096.78610897</v>
      </c>
      <c r="DS3" s="1">
        <v>900268929.67746794</v>
      </c>
      <c r="DT3" s="1">
        <v>1046277054.75265</v>
      </c>
      <c r="DU3" s="1">
        <v>1284396626.30427</v>
      </c>
      <c r="DV3" s="1">
        <v>1289428847.76845</v>
      </c>
      <c r="DW3" s="1">
        <v>1088338925.3262899</v>
      </c>
    </row>
    <row r="4" spans="1:127" x14ac:dyDescent="0.25">
      <c r="A4" t="s">
        <v>33</v>
      </c>
      <c r="B4">
        <v>36</v>
      </c>
      <c r="C4">
        <v>-94.17</v>
      </c>
      <c r="D4">
        <v>-12.2</v>
      </c>
      <c r="E4">
        <v>-8.8000000000000007</v>
      </c>
      <c r="F4">
        <v>35.1</v>
      </c>
      <c r="G4">
        <v>23.9</v>
      </c>
      <c r="H4">
        <v>33.6</v>
      </c>
      <c r="I4">
        <v>23.7</v>
      </c>
      <c r="J4">
        <v>149.75</v>
      </c>
      <c r="K4">
        <v>0</v>
      </c>
      <c r="L4">
        <v>21444499686.2556</v>
      </c>
      <c r="M4">
        <v>4941303512.2702904</v>
      </c>
      <c r="N4">
        <v>5335.4242599999998</v>
      </c>
      <c r="O4" s="75">
        <v>19792661893.265701</v>
      </c>
      <c r="P4">
        <f>24740827366.5821*(0.8/0.96)</f>
        <v>20617356138.818417</v>
      </c>
      <c r="Q4">
        <v>29308</v>
      </c>
      <c r="R4">
        <v>181767062.187235</v>
      </c>
      <c r="S4">
        <f>1244.4866723593*(0.8/0.96)</f>
        <v>1037.0722269660835</v>
      </c>
      <c r="T4">
        <v>20.951055860439499</v>
      </c>
      <c r="U4">
        <v>14.504165139175001</v>
      </c>
      <c r="V4">
        <v>24.292481650650501</v>
      </c>
      <c r="W4">
        <v>21.489626935670199</v>
      </c>
      <c r="X4">
        <v>16.214807354043899</v>
      </c>
      <c r="Y4">
        <v>9.9545807283010994</v>
      </c>
      <c r="Z4">
        <v>13.5884336068357</v>
      </c>
      <c r="AA4">
        <v>9.3728156203288098</v>
      </c>
      <c r="AB4">
        <v>14.501707581878801</v>
      </c>
      <c r="AC4">
        <v>10.631872357498001</v>
      </c>
      <c r="AD4">
        <v>8.8357871767398706</v>
      </c>
      <c r="AE4">
        <v>10.4557133882952</v>
      </c>
      <c r="AF4">
        <v>11.8131104415015</v>
      </c>
      <c r="AG4">
        <v>14.145189771167001</v>
      </c>
      <c r="AH4">
        <v>5.4525659991507398</v>
      </c>
      <c r="AI4">
        <v>5.4525659991507398</v>
      </c>
      <c r="AJ4">
        <v>149.333333333333</v>
      </c>
      <c r="AK4">
        <v>14.4166666666667</v>
      </c>
      <c r="AL4">
        <v>21477868034.8825</v>
      </c>
      <c r="AM4">
        <v>3586450758.8376999</v>
      </c>
      <c r="AN4">
        <v>5335.4242599999998</v>
      </c>
      <c r="AO4" s="69">
        <v>17447883653.724201</v>
      </c>
      <c r="AP4">
        <v>5913889701.1044998</v>
      </c>
      <c r="AQ4">
        <v>5335.4242599999998</v>
      </c>
      <c r="AR4" s="69">
        <v>1592435636.53214</v>
      </c>
      <c r="AS4">
        <v>1592435636.53214</v>
      </c>
      <c r="AT4">
        <v>6643.9912400000003</v>
      </c>
      <c r="AU4">
        <v>1001532649.9736201</v>
      </c>
      <c r="AV4">
        <v>684.38007157273898</v>
      </c>
      <c r="AW4">
        <v>474.33903602499998</v>
      </c>
      <c r="AX4">
        <v>811.88912805489201</v>
      </c>
      <c r="AY4">
        <v>721.26823908070799</v>
      </c>
      <c r="AZ4">
        <v>536.41300029623596</v>
      </c>
      <c r="BA4">
        <v>328.57644817751901</v>
      </c>
      <c r="BB4">
        <v>450.68999060590602</v>
      </c>
      <c r="BC4">
        <v>306.80321964186402</v>
      </c>
      <c r="BD4">
        <v>480.75806342160701</v>
      </c>
      <c r="BE4">
        <v>348.24883269219202</v>
      </c>
      <c r="BF4">
        <v>286.73069523192402</v>
      </c>
      <c r="BG4">
        <v>346.55201513443001</v>
      </c>
      <c r="BH4">
        <v>394.67346847583201</v>
      </c>
      <c r="BI4">
        <v>469.87240971140898</v>
      </c>
      <c r="BJ4">
        <v>178.56806344876401</v>
      </c>
      <c r="BK4">
        <v>178.56806344876401</v>
      </c>
      <c r="BL4">
        <v>114.94676464099599</v>
      </c>
      <c r="BM4">
        <v>79.905618618264995</v>
      </c>
      <c r="BN4">
        <v>132.577006769664</v>
      </c>
      <c r="BO4">
        <v>117.591017231851</v>
      </c>
      <c r="BP4">
        <v>88.990255791226403</v>
      </c>
      <c r="BQ4">
        <v>54.633928322093396</v>
      </c>
      <c r="BR4">
        <v>74.528321939334404</v>
      </c>
      <c r="BS4">
        <v>51.402923691092496</v>
      </c>
      <c r="BT4">
        <v>79.505583268603004</v>
      </c>
      <c r="BU4">
        <v>58.379161132655199</v>
      </c>
      <c r="BV4">
        <v>48.435906940900701</v>
      </c>
      <c r="BW4">
        <v>57.247417835654801</v>
      </c>
      <c r="BX4">
        <v>64.757510539437703</v>
      </c>
      <c r="BY4">
        <v>77.188044894025793</v>
      </c>
      <c r="BZ4">
        <v>29.8670502610086</v>
      </c>
      <c r="CA4">
        <v>29.8670502610086</v>
      </c>
      <c r="CB4">
        <v>193.71894941781301</v>
      </c>
      <c r="CC4">
        <v>124.83635710757299</v>
      </c>
      <c r="CD4">
        <v>245.38315288123499</v>
      </c>
      <c r="CE4">
        <v>197.65716348227301</v>
      </c>
      <c r="CF4">
        <v>160.19279967452101</v>
      </c>
      <c r="CG4">
        <v>96.083466057559207</v>
      </c>
      <c r="CH4">
        <v>133.67120972095299</v>
      </c>
      <c r="CI4">
        <v>74.161469409367299</v>
      </c>
      <c r="CJ4">
        <v>144.184632105444</v>
      </c>
      <c r="CK4">
        <v>102.45260693043301</v>
      </c>
      <c r="CL4">
        <v>84.849213658825903</v>
      </c>
      <c r="CM4">
        <v>100.168213120434</v>
      </c>
      <c r="CN4">
        <v>104.22473282327699</v>
      </c>
      <c r="CO4">
        <v>134.56401062043</v>
      </c>
      <c r="CP4">
        <v>56.310035555663497</v>
      </c>
      <c r="CQ4">
        <v>56.310035555663497</v>
      </c>
      <c r="CR4" s="1">
        <v>171763599.32896599</v>
      </c>
      <c r="CS4" s="1">
        <v>163713678.65462801</v>
      </c>
      <c r="CT4" s="1">
        <v>142831614.58847901</v>
      </c>
      <c r="CU4" s="1">
        <v>93632097.192124099</v>
      </c>
      <c r="CV4" s="1">
        <v>50618219.9749007</v>
      </c>
      <c r="CW4" s="1">
        <v>37641632.678513199</v>
      </c>
      <c r="CX4" s="1">
        <v>31093139.400444001</v>
      </c>
      <c r="CY4" s="1">
        <v>14593678.4313391</v>
      </c>
      <c r="CZ4" s="1">
        <v>10936142.4619302</v>
      </c>
      <c r="DA4" s="1">
        <v>11431405.730882799</v>
      </c>
      <c r="DB4" s="1">
        <v>3118453.3077438599</v>
      </c>
      <c r="DC4" s="1">
        <v>2337755.4078601999</v>
      </c>
      <c r="DD4" s="1">
        <v>264413.14196589199</v>
      </c>
      <c r="DE4" s="1">
        <v>38706.035678030901</v>
      </c>
      <c r="DF4" s="1">
        <v>37261.952636424197</v>
      </c>
      <c r="DG4" s="1">
        <v>73187.9092213884</v>
      </c>
      <c r="DH4" s="1">
        <v>8006668294.9173098</v>
      </c>
      <c r="DI4" s="1">
        <v>7683092420.7347097</v>
      </c>
      <c r="DJ4" s="1">
        <v>6685641552.6900196</v>
      </c>
      <c r="DK4" s="1">
        <v>4367109876.1314497</v>
      </c>
      <c r="DL4" s="1">
        <v>2251360013.2919998</v>
      </c>
      <c r="DM4" s="1">
        <v>1696761086.4188001</v>
      </c>
      <c r="DN4" s="1">
        <v>1411450939.1701</v>
      </c>
      <c r="DO4" s="1">
        <v>661540121.02285802</v>
      </c>
      <c r="DP4" s="1">
        <v>477783835.42171299</v>
      </c>
      <c r="DQ4" s="1">
        <v>512515327.98123401</v>
      </c>
      <c r="DR4" s="1">
        <v>142584158.841245</v>
      </c>
      <c r="DS4" s="1">
        <v>98412481.825092703</v>
      </c>
      <c r="DT4" s="1">
        <v>12414983.4866083</v>
      </c>
      <c r="DU4" s="1">
        <v>1738693.0330656201</v>
      </c>
      <c r="DV4" s="1">
        <v>1673325.55007285</v>
      </c>
      <c r="DW4" s="1">
        <v>3235950.91262944</v>
      </c>
    </row>
    <row r="5" spans="1:127" x14ac:dyDescent="0.25">
      <c r="A5" t="s">
        <v>32</v>
      </c>
      <c r="B5">
        <v>34.92</v>
      </c>
      <c r="C5">
        <v>-92.15</v>
      </c>
      <c r="D5">
        <v>-8</v>
      </c>
      <c r="E5">
        <v>-5.7</v>
      </c>
      <c r="F5">
        <v>37.5</v>
      </c>
      <c r="G5">
        <v>25.2</v>
      </c>
      <c r="H5">
        <v>36</v>
      </c>
      <c r="I5">
        <v>25.3</v>
      </c>
      <c r="J5">
        <v>50.416666666666799</v>
      </c>
      <c r="K5">
        <v>0</v>
      </c>
      <c r="L5">
        <v>26063994975.2132</v>
      </c>
      <c r="M5">
        <v>5927834408.1171799</v>
      </c>
      <c r="N5">
        <v>6185.8288300000004</v>
      </c>
      <c r="O5" s="75">
        <v>20412466533.745701</v>
      </c>
      <c r="P5">
        <f>25515583167.1821*(0.8/0.96)</f>
        <v>21262985972.651749</v>
      </c>
      <c r="Q5">
        <v>29308</v>
      </c>
      <c r="R5">
        <v>208942312.69539499</v>
      </c>
      <c r="S5">
        <f>1283.45761111951*(0.8/0.96)</f>
        <v>1069.5480092662583</v>
      </c>
      <c r="T5">
        <v>23.27426312419</v>
      </c>
      <c r="U5">
        <v>16.850197504859299</v>
      </c>
      <c r="V5">
        <v>27.281898165049899</v>
      </c>
      <c r="W5">
        <v>24.6368700982337</v>
      </c>
      <c r="X5">
        <v>18.261475127596601</v>
      </c>
      <c r="Y5">
        <v>11.370552598585199</v>
      </c>
      <c r="Z5">
        <v>15.5888190320502</v>
      </c>
      <c r="AA5">
        <v>11.2004489811192</v>
      </c>
      <c r="AB5">
        <v>16.477667129338499</v>
      </c>
      <c r="AC5">
        <v>11.602456256486001</v>
      </c>
      <c r="AD5">
        <v>10.320008407936299</v>
      </c>
      <c r="AE5">
        <v>12.0226963809703</v>
      </c>
      <c r="AF5">
        <v>14.095820280093101</v>
      </c>
      <c r="AG5">
        <v>16.136258886696101</v>
      </c>
      <c r="AH5">
        <v>6.2362789409378001</v>
      </c>
      <c r="AI5">
        <v>6.2362789409378001</v>
      </c>
      <c r="AJ5">
        <v>50.0833333333334</v>
      </c>
      <c r="AK5">
        <v>11.9166666666666</v>
      </c>
      <c r="AL5">
        <v>26088983520.499401</v>
      </c>
      <c r="AM5">
        <v>4141754906.0750599</v>
      </c>
      <c r="AN5">
        <v>6185.8288300000004</v>
      </c>
      <c r="AO5" s="69">
        <v>19056003341.643501</v>
      </c>
      <c r="AP5">
        <v>6414544564.9356499</v>
      </c>
      <c r="AQ5">
        <v>6185.8288300000004</v>
      </c>
      <c r="AR5" s="69">
        <v>640606600.97035599</v>
      </c>
      <c r="AS5">
        <v>640606600.97035599</v>
      </c>
      <c r="AT5">
        <v>5736.5947699999997</v>
      </c>
      <c r="AU5">
        <v>1000651854.90175</v>
      </c>
      <c r="AV5">
        <v>713.41631024942001</v>
      </c>
      <c r="AW5">
        <v>522.97106013878999</v>
      </c>
      <c r="AX5">
        <v>857.00707458455395</v>
      </c>
      <c r="AY5">
        <v>777.43776736075495</v>
      </c>
      <c r="AZ5">
        <v>573.32510321838402</v>
      </c>
      <c r="BA5">
        <v>353.49671532428101</v>
      </c>
      <c r="BB5">
        <v>486.74030572062799</v>
      </c>
      <c r="BC5">
        <v>341.17375046408102</v>
      </c>
      <c r="BD5">
        <v>518.18307169568197</v>
      </c>
      <c r="BE5">
        <v>354.35336283704498</v>
      </c>
      <c r="BF5">
        <v>313.30218101114798</v>
      </c>
      <c r="BG5">
        <v>372.379493186638</v>
      </c>
      <c r="BH5">
        <v>435.562698497452</v>
      </c>
      <c r="BI5">
        <v>494.55598423087002</v>
      </c>
      <c r="BJ5">
        <v>190.98041112670799</v>
      </c>
      <c r="BK5">
        <v>190.98041112670799</v>
      </c>
      <c r="BL5">
        <v>111.208591387011</v>
      </c>
      <c r="BM5">
        <v>80.385662158244102</v>
      </c>
      <c r="BN5">
        <v>130.00439955253</v>
      </c>
      <c r="BO5">
        <v>116.96841758209899</v>
      </c>
      <c r="BP5">
        <v>87.082112871124906</v>
      </c>
      <c r="BQ5">
        <v>54.439401057248503</v>
      </c>
      <c r="BR5">
        <v>74.514976232154595</v>
      </c>
      <c r="BS5">
        <v>53.706229584506602</v>
      </c>
      <c r="BT5">
        <v>78.584658951503002</v>
      </c>
      <c r="BU5">
        <v>55.625645384837497</v>
      </c>
      <c r="BV5">
        <v>49.751533222523399</v>
      </c>
      <c r="BW5">
        <v>57.632968108667598</v>
      </c>
      <c r="BX5">
        <v>67.400745860545996</v>
      </c>
      <c r="BY5">
        <v>77.111960631461798</v>
      </c>
      <c r="BZ5">
        <v>29.9948896844862</v>
      </c>
      <c r="CA5">
        <v>29.9948896844862</v>
      </c>
      <c r="CB5">
        <v>67.957951630376201</v>
      </c>
      <c r="CC5">
        <v>51.748421432143999</v>
      </c>
      <c r="CD5">
        <v>92.910600902467905</v>
      </c>
      <c r="CE5">
        <v>78.291769066061605</v>
      </c>
      <c r="CF5">
        <v>62.065552793454003</v>
      </c>
      <c r="CG5">
        <v>37.250602599414201</v>
      </c>
      <c r="CH5">
        <v>52.900096363423799</v>
      </c>
      <c r="CI5">
        <v>32.980526118349097</v>
      </c>
      <c r="CJ5">
        <v>55.126869630007597</v>
      </c>
      <c r="CK5">
        <v>37.626232097278098</v>
      </c>
      <c r="CL5">
        <v>33.705381841672498</v>
      </c>
      <c r="CM5">
        <v>40.935367162724297</v>
      </c>
      <c r="CN5">
        <v>41.184010939318803</v>
      </c>
      <c r="CO5">
        <v>49.3532573788899</v>
      </c>
      <c r="CP5">
        <v>20.973996080229899</v>
      </c>
      <c r="CQ5">
        <v>20.973996080229899</v>
      </c>
      <c r="CR5" s="1">
        <v>200979061.02897599</v>
      </c>
      <c r="CS5" s="1">
        <v>192801797.15531299</v>
      </c>
      <c r="CT5" s="1">
        <v>160666081.88958001</v>
      </c>
      <c r="CU5" s="1">
        <v>110826728.976787</v>
      </c>
      <c r="CV5" s="1">
        <v>61613391.058567598</v>
      </c>
      <c r="CW5" s="1">
        <v>47643665.599163502</v>
      </c>
      <c r="CX5" s="1">
        <v>43604157.403598301</v>
      </c>
      <c r="CY5" s="1">
        <v>17476603.1553015</v>
      </c>
      <c r="CZ5" s="1">
        <v>17160678.782350499</v>
      </c>
      <c r="DA5" s="1">
        <v>15194140.6962428</v>
      </c>
      <c r="DB5" s="1">
        <v>5295281.5407471098</v>
      </c>
      <c r="DC5" s="1">
        <v>3909769.9616022301</v>
      </c>
      <c r="DD5" s="1">
        <v>342281.91297569999</v>
      </c>
      <c r="DE5" s="1">
        <v>220735.34019806699</v>
      </c>
      <c r="DF5" s="1">
        <v>466103.92264569801</v>
      </c>
      <c r="DG5" s="1">
        <v>450457.93816378398</v>
      </c>
      <c r="DH5" s="1">
        <v>7823615349.0921001</v>
      </c>
      <c r="DI5" s="1">
        <v>7439075460.6710501</v>
      </c>
      <c r="DJ5" s="1">
        <v>6211484540.9514198</v>
      </c>
      <c r="DK5" s="1">
        <v>4324512699.5645599</v>
      </c>
      <c r="DL5" s="1">
        <v>2306537057.07235</v>
      </c>
      <c r="DM5" s="1">
        <v>1813818646.8211601</v>
      </c>
      <c r="DN5" s="1">
        <v>1704003537.0393</v>
      </c>
      <c r="DO5" s="1">
        <v>671523937.45325804</v>
      </c>
      <c r="DP5" s="1">
        <v>672091937.03566003</v>
      </c>
      <c r="DQ5" s="1">
        <v>576966626.61315501</v>
      </c>
      <c r="DR5" s="1">
        <v>208134729.11284199</v>
      </c>
      <c r="DS5" s="1">
        <v>149624074.639882</v>
      </c>
      <c r="DT5" s="1">
        <v>12726518.139340401</v>
      </c>
      <c r="DU5" s="1">
        <v>7919770.8561428199</v>
      </c>
      <c r="DV5" s="1">
        <v>19795647.731400501</v>
      </c>
      <c r="DW5" s="1">
        <v>19997669.172563199</v>
      </c>
    </row>
    <row r="6" spans="1:127" x14ac:dyDescent="0.25">
      <c r="A6" t="s">
        <v>36</v>
      </c>
      <c r="B6">
        <v>35.14</v>
      </c>
      <c r="C6">
        <v>-111.67</v>
      </c>
      <c r="D6">
        <v>-15.6</v>
      </c>
      <c r="E6">
        <v>-12.8</v>
      </c>
      <c r="F6">
        <v>30</v>
      </c>
      <c r="G6">
        <v>13.4</v>
      </c>
      <c r="H6">
        <v>28.9</v>
      </c>
      <c r="I6">
        <v>12.8</v>
      </c>
      <c r="J6">
        <v>8.3333333333333301E-2</v>
      </c>
      <c r="K6">
        <v>0</v>
      </c>
      <c r="L6">
        <v>375484076.33426702</v>
      </c>
      <c r="M6">
        <v>91760957.6157244</v>
      </c>
      <c r="N6">
        <v>4149.4032299999999</v>
      </c>
      <c r="O6" s="75">
        <v>45784971061.953903</v>
      </c>
      <c r="P6">
        <f>57231213827.4425*(0.8/0.96)</f>
        <v>47692678189.535416</v>
      </c>
      <c r="Q6">
        <v>29308</v>
      </c>
      <c r="R6">
        <v>415479766.35568702</v>
      </c>
      <c r="S6">
        <f>2878.78338892582*(0.8/0.96)</f>
        <v>2398.9861574381835</v>
      </c>
      <c r="T6">
        <v>86.523003047573795</v>
      </c>
      <c r="U6">
        <v>53.054631860615402</v>
      </c>
      <c r="V6">
        <v>42.1005392472822</v>
      </c>
      <c r="W6">
        <v>33.935326511798799</v>
      </c>
      <c r="X6">
        <v>19.956730580041</v>
      </c>
      <c r="Y6">
        <v>31.667223920050599</v>
      </c>
      <c r="Z6">
        <v>31.771216087429799</v>
      </c>
      <c r="AA6">
        <v>11.497529589369799</v>
      </c>
      <c r="AB6">
        <v>12.9708887871633</v>
      </c>
      <c r="AC6">
        <v>11.0082148299292</v>
      </c>
      <c r="AD6">
        <v>42.254910303262399</v>
      </c>
      <c r="AE6">
        <v>9.5440377237455092</v>
      </c>
      <c r="AF6">
        <v>24.113492117581998</v>
      </c>
      <c r="AG6">
        <v>28.007980991902699</v>
      </c>
      <c r="AH6">
        <v>23.592394405180901</v>
      </c>
      <c r="AI6">
        <v>23.592394405180901</v>
      </c>
      <c r="AJ6">
        <v>8.3333333333333301E-2</v>
      </c>
      <c r="AK6">
        <v>34.916666666666501</v>
      </c>
      <c r="AL6">
        <v>374460636.340801</v>
      </c>
      <c r="AM6">
        <v>57560836.834790997</v>
      </c>
      <c r="AN6">
        <v>4149.4032299999999</v>
      </c>
      <c r="AO6" s="69">
        <v>38399707545.678299</v>
      </c>
      <c r="AP6">
        <v>13192091192.5879</v>
      </c>
      <c r="AQ6">
        <v>4149.4032299999999</v>
      </c>
      <c r="AR6" s="69">
        <v>4976206977.3710203</v>
      </c>
      <c r="AS6">
        <v>4976206977.3710203</v>
      </c>
      <c r="AT6">
        <v>7024.4732999999997</v>
      </c>
      <c r="AU6">
        <v>2947956227.1511998</v>
      </c>
      <c r="AV6">
        <v>2784.8429972090598</v>
      </c>
      <c r="AW6">
        <v>1693.75283401769</v>
      </c>
      <c r="AX6">
        <v>1354.01401349927</v>
      </c>
      <c r="AY6">
        <v>1112.05647227021</v>
      </c>
      <c r="AZ6">
        <v>633.72583961868895</v>
      </c>
      <c r="BA6">
        <v>1018.3255772720501</v>
      </c>
      <c r="BB6">
        <v>1019.84577674457</v>
      </c>
      <c r="BC6">
        <v>354.86718830963702</v>
      </c>
      <c r="BD6">
        <v>414.38070200937801</v>
      </c>
      <c r="BE6">
        <v>344.86724417593098</v>
      </c>
      <c r="BF6">
        <v>1361.1445669841601</v>
      </c>
      <c r="BG6">
        <v>305.23376246898903</v>
      </c>
      <c r="BH6">
        <v>775.44365583616604</v>
      </c>
      <c r="BI6">
        <v>908.71367547765499</v>
      </c>
      <c r="BJ6">
        <v>761.71778470585105</v>
      </c>
      <c r="BK6">
        <v>761.71778470585105</v>
      </c>
      <c r="BL6">
        <v>612.76124363519898</v>
      </c>
      <c r="BM6">
        <v>374.83666553433198</v>
      </c>
      <c r="BN6">
        <v>298.363768233634</v>
      </c>
      <c r="BO6">
        <v>240.49397408797299</v>
      </c>
      <c r="BP6">
        <v>140.996250627731</v>
      </c>
      <c r="BQ6">
        <v>223.67465761868101</v>
      </c>
      <c r="BR6">
        <v>225.77675818283501</v>
      </c>
      <c r="BS6">
        <v>81.574565881349301</v>
      </c>
      <c r="BT6">
        <v>92.348499617849399</v>
      </c>
      <c r="BU6">
        <v>77.558383873524804</v>
      </c>
      <c r="BV6">
        <v>299.52201262763401</v>
      </c>
      <c r="BW6">
        <v>67.314866982780998</v>
      </c>
      <c r="BX6">
        <v>170.76579324046401</v>
      </c>
      <c r="BY6">
        <v>197.51000561989699</v>
      </c>
      <c r="BZ6">
        <v>167.80442322761201</v>
      </c>
      <c r="CA6">
        <v>167.80442322761201</v>
      </c>
      <c r="CB6">
        <v>1160.52209389738</v>
      </c>
      <c r="CC6">
        <v>685.28595350318506</v>
      </c>
      <c r="CD6">
        <v>490.96180334390999</v>
      </c>
      <c r="CE6">
        <v>467.370609040018</v>
      </c>
      <c r="CF6">
        <v>262.00979039773699</v>
      </c>
      <c r="CG6">
        <v>434.84354240326297</v>
      </c>
      <c r="CH6">
        <v>366.25530474308499</v>
      </c>
      <c r="CI6">
        <v>114.021974273309</v>
      </c>
      <c r="CJ6">
        <v>156.533760423731</v>
      </c>
      <c r="CK6">
        <v>137.902655677323</v>
      </c>
      <c r="CL6">
        <v>548.42564229112202</v>
      </c>
      <c r="CM6">
        <v>124.011209417552</v>
      </c>
      <c r="CN6">
        <v>295.11215478220601</v>
      </c>
      <c r="CO6">
        <v>400.643536525027</v>
      </c>
      <c r="CP6">
        <v>289.475291284099</v>
      </c>
      <c r="CQ6">
        <v>289.475291284099</v>
      </c>
      <c r="CR6" s="1">
        <v>148081970.479065</v>
      </c>
      <c r="CS6" s="1">
        <v>104085833.78327</v>
      </c>
      <c r="CT6" s="1">
        <v>76961248.841213107</v>
      </c>
      <c r="CU6" s="1">
        <v>78391815.658390298</v>
      </c>
      <c r="CV6" s="1">
        <v>47156816.230279997</v>
      </c>
      <c r="CW6" s="1">
        <v>37230564.362406902</v>
      </c>
      <c r="CX6" s="1">
        <v>30921397.496530902</v>
      </c>
      <c r="CY6" s="1">
        <v>31332940.274421498</v>
      </c>
      <c r="CZ6" s="1">
        <v>20549620.4833344</v>
      </c>
      <c r="DA6" s="1">
        <v>12641108.750636701</v>
      </c>
      <c r="DB6" s="1">
        <v>8923801.0376189593</v>
      </c>
      <c r="DC6" s="1">
        <v>9960699.9587662704</v>
      </c>
      <c r="DD6" s="1">
        <v>7892905.48567844</v>
      </c>
      <c r="DE6" s="1">
        <v>9749101.1620949898</v>
      </c>
      <c r="DF6" s="1">
        <v>11439349.0409538</v>
      </c>
      <c r="DG6" s="1">
        <v>8721274.1242108606</v>
      </c>
      <c r="DH6" s="1">
        <v>7532878579.80791</v>
      </c>
      <c r="DI6" s="1">
        <v>5254643591.3330803</v>
      </c>
      <c r="DJ6" s="1">
        <v>4026408997.9251199</v>
      </c>
      <c r="DK6" s="1">
        <v>4103810559.8793201</v>
      </c>
      <c r="DL6" s="1">
        <v>2433208484.4998298</v>
      </c>
      <c r="DM6" s="1">
        <v>1927536645.5306001</v>
      </c>
      <c r="DN6" s="1">
        <v>1598191129.83026</v>
      </c>
      <c r="DO6" s="1">
        <v>1669136063.53371</v>
      </c>
      <c r="DP6" s="1">
        <v>1081504986.31686</v>
      </c>
      <c r="DQ6" s="1">
        <v>670793650.01914597</v>
      </c>
      <c r="DR6" s="1">
        <v>448056695.32249099</v>
      </c>
      <c r="DS6" s="1">
        <v>526338013.34955198</v>
      </c>
      <c r="DT6" s="1">
        <v>415490965.39124</v>
      </c>
      <c r="DU6" s="1">
        <v>488995043.26623398</v>
      </c>
      <c r="DV6" s="1">
        <v>612190810.01918805</v>
      </c>
      <c r="DW6" s="1">
        <v>443746309.23948002</v>
      </c>
    </row>
    <row r="7" spans="1:127" x14ac:dyDescent="0.25">
      <c r="A7" t="s">
        <v>3776</v>
      </c>
      <c r="B7">
        <v>35.270000000000003</v>
      </c>
      <c r="C7">
        <v>-113.95</v>
      </c>
      <c r="D7">
        <v>-4</v>
      </c>
      <c r="E7">
        <v>-2.6</v>
      </c>
      <c r="F7">
        <v>38.6</v>
      </c>
      <c r="G7">
        <v>18.100000000000001</v>
      </c>
      <c r="H7">
        <v>37.4</v>
      </c>
      <c r="I7">
        <v>17.5</v>
      </c>
      <c r="J7">
        <v>282.416666666666</v>
      </c>
      <c r="K7">
        <v>0</v>
      </c>
      <c r="L7">
        <v>28209514994.055099</v>
      </c>
      <c r="M7">
        <v>7532565800.7456198</v>
      </c>
      <c r="N7">
        <v>5441.8352000000004</v>
      </c>
      <c r="O7" s="75">
        <v>10457010020.058701</v>
      </c>
      <c r="P7">
        <f>13071262525.0734*(0.8/0.96)</f>
        <v>10892718770.894501</v>
      </c>
      <c r="Q7">
        <v>29308</v>
      </c>
      <c r="R7">
        <v>121338751.48356999</v>
      </c>
      <c r="S7">
        <f>657.4966860379*(0.8/0.96)</f>
        <v>547.91390503158334</v>
      </c>
      <c r="T7">
        <v>27.4839361479868</v>
      </c>
      <c r="U7">
        <v>16.1419617223711</v>
      </c>
      <c r="V7">
        <v>12.0327075688392</v>
      </c>
      <c r="W7">
        <v>10.7512852208353</v>
      </c>
      <c r="X7">
        <v>5.8742651353288897</v>
      </c>
      <c r="Y7">
        <v>9.82810456178251</v>
      </c>
      <c r="Z7">
        <v>8.9493421159023008</v>
      </c>
      <c r="AA7">
        <v>2.7172935703846401</v>
      </c>
      <c r="AB7">
        <v>3.83849014040304</v>
      </c>
      <c r="AC7">
        <v>3.1215266772389101</v>
      </c>
      <c r="AD7">
        <v>12.805482146438001</v>
      </c>
      <c r="AE7">
        <v>2.9333481230696599</v>
      </c>
      <c r="AF7">
        <v>6.8794265137086299</v>
      </c>
      <c r="AG7">
        <v>8.6622264133702593</v>
      </c>
      <c r="AH7">
        <v>7.0169602374566997</v>
      </c>
      <c r="AI7">
        <v>7.0169602374566997</v>
      </c>
      <c r="AJ7">
        <v>282.416666666666</v>
      </c>
      <c r="AK7">
        <v>10.5</v>
      </c>
      <c r="AL7">
        <v>28154066069.4772</v>
      </c>
      <c r="AM7">
        <v>5943072464.0012302</v>
      </c>
      <c r="AN7">
        <v>5441.8352000000004</v>
      </c>
      <c r="AO7" s="69">
        <v>9821754271.1628094</v>
      </c>
      <c r="AP7">
        <v>2892863397.9410901</v>
      </c>
      <c r="AQ7">
        <v>5441.8352000000004</v>
      </c>
      <c r="AR7" s="69">
        <v>156938791.979846</v>
      </c>
      <c r="AS7">
        <v>156938791.979846</v>
      </c>
      <c r="AT7">
        <v>4178.2020899999998</v>
      </c>
      <c r="AU7">
        <v>657727617.61028504</v>
      </c>
      <c r="AV7">
        <v>663.85144835847802</v>
      </c>
      <c r="AW7">
        <v>392.025776235813</v>
      </c>
      <c r="AX7">
        <v>290.82820450310697</v>
      </c>
      <c r="AY7">
        <v>268.679051888598</v>
      </c>
      <c r="AZ7">
        <v>141.53178580546299</v>
      </c>
      <c r="BA7">
        <v>240.21758762109599</v>
      </c>
      <c r="BB7">
        <v>215.26972806030801</v>
      </c>
      <c r="BC7">
        <v>64.204177268431295</v>
      </c>
      <c r="BD7">
        <v>91.7661764510881</v>
      </c>
      <c r="BE7">
        <v>75.283363253015906</v>
      </c>
      <c r="BF7">
        <v>308.63804201120701</v>
      </c>
      <c r="BG7">
        <v>72.223269658899198</v>
      </c>
      <c r="BH7">
        <v>166.019981158018</v>
      </c>
      <c r="BI7">
        <v>214.77307329682401</v>
      </c>
      <c r="BJ7">
        <v>171.57466863467801</v>
      </c>
      <c r="BK7">
        <v>171.57466863467801</v>
      </c>
      <c r="BL7">
        <v>148.721131465529</v>
      </c>
      <c r="BM7">
        <v>87.199050911814496</v>
      </c>
      <c r="BN7">
        <v>65.284851799884507</v>
      </c>
      <c r="BO7">
        <v>57.921610147989902</v>
      </c>
      <c r="BP7">
        <v>31.738001821313901</v>
      </c>
      <c r="BQ7">
        <v>53.078456749264099</v>
      </c>
      <c r="BR7">
        <v>48.632197331159901</v>
      </c>
      <c r="BS7">
        <v>14.713752686295299</v>
      </c>
      <c r="BT7">
        <v>20.798863896058101</v>
      </c>
      <c r="BU7">
        <v>16.881414580810301</v>
      </c>
      <c r="BV7">
        <v>69.221742741096904</v>
      </c>
      <c r="BW7">
        <v>15.95057079989</v>
      </c>
      <c r="BX7">
        <v>37.273471569193397</v>
      </c>
      <c r="BY7">
        <v>46.739710461691701</v>
      </c>
      <c r="BZ7">
        <v>38.1208836172231</v>
      </c>
      <c r="CA7">
        <v>38.1208836172231</v>
      </c>
      <c r="CB7">
        <v>35.153013377923301</v>
      </c>
      <c r="CC7">
        <v>20.9031585683787</v>
      </c>
      <c r="CD7">
        <v>16.6329532369795</v>
      </c>
      <c r="CE7">
        <v>13.7696866924123</v>
      </c>
      <c r="CF7">
        <v>8.0860817015378306</v>
      </c>
      <c r="CG7">
        <v>12.576390809267799</v>
      </c>
      <c r="CH7">
        <v>12.2684231350364</v>
      </c>
      <c r="CI7">
        <v>3.57384809458024</v>
      </c>
      <c r="CJ7">
        <v>5.0159452644908198</v>
      </c>
      <c r="CK7">
        <v>4.0957735633363601</v>
      </c>
      <c r="CL7">
        <v>17.7233175313456</v>
      </c>
      <c r="CM7">
        <v>4.0052653174983996</v>
      </c>
      <c r="CN7">
        <v>9.5989206690740598</v>
      </c>
      <c r="CO7">
        <v>12.1264708909343</v>
      </c>
      <c r="CP7">
        <v>10.6153103448527</v>
      </c>
      <c r="CQ7">
        <v>10.6153103448527</v>
      </c>
      <c r="CR7" s="1">
        <v>42224415.9584345</v>
      </c>
      <c r="CS7" s="1">
        <v>28385409.267561302</v>
      </c>
      <c r="CT7" s="1">
        <v>21097964.248639099</v>
      </c>
      <c r="CU7" s="1">
        <v>21811265.8603171</v>
      </c>
      <c r="CV7" s="1">
        <v>13242930.684340499</v>
      </c>
      <c r="CW7" s="1">
        <v>9499903.2203359902</v>
      </c>
      <c r="CX7" s="1">
        <v>8295005.2982366802</v>
      </c>
      <c r="CY7" s="1">
        <v>8503604.1738794297</v>
      </c>
      <c r="CZ7" s="1">
        <v>5294346.8850769196</v>
      </c>
      <c r="DA7" s="1">
        <v>2976788.1883967998</v>
      </c>
      <c r="DB7" s="1">
        <v>2315315.2536033499</v>
      </c>
      <c r="DC7" s="1">
        <v>2202091.77779917</v>
      </c>
      <c r="DD7" s="1">
        <v>1935395.0876462599</v>
      </c>
      <c r="DE7" s="1">
        <v>1858709.5480587201</v>
      </c>
      <c r="DF7" s="1">
        <v>2987576.4002846899</v>
      </c>
      <c r="DG7" s="1">
        <v>1843752.19243553</v>
      </c>
      <c r="DH7" s="1">
        <v>1311846284.27932</v>
      </c>
      <c r="DI7" s="1">
        <v>886008808.78099597</v>
      </c>
      <c r="DJ7" s="1">
        <v>669108907.98133898</v>
      </c>
      <c r="DK7" s="1">
        <v>687107372.96617603</v>
      </c>
      <c r="DL7" s="1">
        <v>420787844.402583</v>
      </c>
      <c r="DM7" s="1">
        <v>304558865.25560403</v>
      </c>
      <c r="DN7" s="1">
        <v>266215387.463613</v>
      </c>
      <c r="DO7" s="1">
        <v>273889031.92299402</v>
      </c>
      <c r="DP7" s="1">
        <v>168892700.61355799</v>
      </c>
      <c r="DQ7" s="1">
        <v>95482704.679147497</v>
      </c>
      <c r="DR7" s="1">
        <v>75453747.592958495</v>
      </c>
      <c r="DS7" s="1">
        <v>69673127.667981297</v>
      </c>
      <c r="DT7" s="1">
        <v>63801184.987593301</v>
      </c>
      <c r="DU7" s="1">
        <v>57636349.401434802</v>
      </c>
      <c r="DV7" s="1">
        <v>95707591.208245501</v>
      </c>
      <c r="DW7" s="1">
        <v>58747290.991444699</v>
      </c>
    </row>
    <row r="8" spans="1:127" x14ac:dyDescent="0.25">
      <c r="A8" t="s">
        <v>34</v>
      </c>
      <c r="B8">
        <v>33.450000000000003</v>
      </c>
      <c r="C8">
        <v>-111.98</v>
      </c>
      <c r="D8">
        <v>3.7</v>
      </c>
      <c r="E8">
        <v>5.3</v>
      </c>
      <c r="F8">
        <v>43.5</v>
      </c>
      <c r="G8">
        <v>20.9</v>
      </c>
      <c r="H8">
        <v>42.4</v>
      </c>
      <c r="I8">
        <v>20.8</v>
      </c>
      <c r="J8">
        <v>245.5</v>
      </c>
      <c r="K8">
        <v>0</v>
      </c>
      <c r="L8">
        <v>55607581435.024803</v>
      </c>
      <c r="M8">
        <v>16166771103.129499</v>
      </c>
      <c r="N8">
        <v>7591.4790000000003</v>
      </c>
      <c r="O8" s="75">
        <v>1395805529.8261299</v>
      </c>
      <c r="P8">
        <f>1744756912.28266*(0.8/0.96)</f>
        <v>1453964093.5688834</v>
      </c>
      <c r="Q8">
        <v>29308</v>
      </c>
      <c r="R8">
        <v>20088450.618271802</v>
      </c>
      <c r="S8">
        <f>87.7628986157274*(0.8/0.96)</f>
        <v>73.135748846439498</v>
      </c>
      <c r="T8">
        <v>4.8118015167747998</v>
      </c>
      <c r="U8">
        <v>2.67094055914664</v>
      </c>
      <c r="V8">
        <v>1.7628598201582799</v>
      </c>
      <c r="W8">
        <v>1.63611357397269</v>
      </c>
      <c r="X8">
        <v>1.0237974594609001</v>
      </c>
      <c r="Y8">
        <v>1.5713504867949</v>
      </c>
      <c r="Z8">
        <v>1.4352972374022299</v>
      </c>
      <c r="AA8">
        <v>0.42252575430367201</v>
      </c>
      <c r="AB8">
        <v>0.55085159691930297</v>
      </c>
      <c r="AC8">
        <v>0.53939835765104405</v>
      </c>
      <c r="AD8">
        <v>2.1124094997853802</v>
      </c>
      <c r="AE8">
        <v>0.51979394373107501</v>
      </c>
      <c r="AF8">
        <v>1.21419236215766</v>
      </c>
      <c r="AG8">
        <v>1.48560403959764</v>
      </c>
      <c r="AH8">
        <v>1.1409863180070201</v>
      </c>
      <c r="AI8">
        <v>1.1409863180070201</v>
      </c>
      <c r="AJ8" s="119">
        <v>245.416666666667</v>
      </c>
      <c r="AK8" s="119">
        <v>2.2499999999999898</v>
      </c>
      <c r="AL8" s="119">
        <v>55497166873.461403</v>
      </c>
      <c r="AM8" s="119">
        <v>13627525092.377501</v>
      </c>
      <c r="AN8" s="119">
        <v>7591.4790000000003</v>
      </c>
      <c r="AO8" s="120">
        <v>1305115873.7883999</v>
      </c>
      <c r="AP8" s="119">
        <v>337901454.62901402</v>
      </c>
      <c r="AQ8" s="119">
        <v>7591.4790000000003</v>
      </c>
      <c r="AR8" s="120">
        <v>20363324.780639701</v>
      </c>
      <c r="AS8" s="119">
        <v>20363324.780639701</v>
      </c>
      <c r="AT8" s="119">
        <v>2811.1936500000002</v>
      </c>
      <c r="AU8">
        <v>82685713.814672306</v>
      </c>
      <c r="AV8">
        <v>81.486211668221699</v>
      </c>
      <c r="AW8">
        <v>45.0611997983249</v>
      </c>
      <c r="AX8">
        <v>29.9553984997351</v>
      </c>
      <c r="AY8">
        <v>28.010990715815201</v>
      </c>
      <c r="AZ8">
        <v>17.407103604454299</v>
      </c>
      <c r="BA8">
        <v>26.783725059131601</v>
      </c>
      <c r="BB8">
        <v>24.290449642674599</v>
      </c>
      <c r="BC8">
        <v>7.0598503623270501</v>
      </c>
      <c r="BD8">
        <v>9.3101493857618607</v>
      </c>
      <c r="BE8">
        <v>9.0670367451878509</v>
      </c>
      <c r="BF8">
        <v>35.706283497780703</v>
      </c>
      <c r="BG8">
        <v>8.8335673422713494</v>
      </c>
      <c r="BH8">
        <v>20.585156370055099</v>
      </c>
      <c r="BI8">
        <v>25.3557028360791</v>
      </c>
      <c r="BJ8">
        <v>19.371329928646201</v>
      </c>
      <c r="BK8">
        <v>19.371329928646201</v>
      </c>
      <c r="BL8">
        <v>19.8622086697324</v>
      </c>
      <c r="BM8">
        <v>10.9916582401121</v>
      </c>
      <c r="BN8">
        <v>7.2745303704456497</v>
      </c>
      <c r="BO8">
        <v>6.7524397826741298</v>
      </c>
      <c r="BP8">
        <v>4.2335617794171299</v>
      </c>
      <c r="BQ8">
        <v>6.5151086849343702</v>
      </c>
      <c r="BR8">
        <v>5.91055462884162</v>
      </c>
      <c r="BS8">
        <v>1.7333943464144701</v>
      </c>
      <c r="BT8">
        <v>2.27121637325773</v>
      </c>
      <c r="BU8">
        <v>2.21882023856866</v>
      </c>
      <c r="BV8">
        <v>8.6876334970514293</v>
      </c>
      <c r="BW8">
        <v>2.1496979303972301</v>
      </c>
      <c r="BX8">
        <v>5.0027205261512702</v>
      </c>
      <c r="BY8">
        <v>6.1381334668239296</v>
      </c>
      <c r="BZ8">
        <v>4.6959824059976301</v>
      </c>
      <c r="CA8">
        <v>4.6959824059976301</v>
      </c>
      <c r="CB8">
        <v>5.02596348910361</v>
      </c>
      <c r="CC8">
        <v>2.85445484020117</v>
      </c>
      <c r="CD8">
        <v>1.97350732594719</v>
      </c>
      <c r="CE8">
        <v>1.9563243307315701</v>
      </c>
      <c r="CF8">
        <v>1.17161811526083</v>
      </c>
      <c r="CG8">
        <v>1.7253241960286201</v>
      </c>
      <c r="CH8">
        <v>1.6471609739937101</v>
      </c>
      <c r="CI8">
        <v>0.46433718863462597</v>
      </c>
      <c r="CJ8">
        <v>0.54852439178326595</v>
      </c>
      <c r="CK8">
        <v>0.56343082825502999</v>
      </c>
      <c r="CL8">
        <v>2.3249929969804102</v>
      </c>
      <c r="CM8">
        <v>0.58965460913935597</v>
      </c>
      <c r="CN8">
        <v>1.3116671971549601</v>
      </c>
      <c r="CO8">
        <v>1.7388983969093701</v>
      </c>
      <c r="CP8">
        <v>1.37170121745125</v>
      </c>
      <c r="CQ8">
        <v>1.37170121745125</v>
      </c>
      <c r="CR8" s="1">
        <v>7206312.69651761</v>
      </c>
      <c r="CS8" s="1">
        <v>4978087.2889729301</v>
      </c>
      <c r="CT8" s="1">
        <v>4157550.6923841201</v>
      </c>
      <c r="CU8" s="1">
        <v>3801456.8913934799</v>
      </c>
      <c r="CV8" s="1">
        <v>2403433.7539889398</v>
      </c>
      <c r="CW8" s="1">
        <v>1683904.4625464701</v>
      </c>
      <c r="CX8" s="1">
        <v>1420530.4765536301</v>
      </c>
      <c r="CY8" s="1">
        <v>1581118.0093652401</v>
      </c>
      <c r="CZ8" s="1">
        <v>910853.47698993504</v>
      </c>
      <c r="DA8" s="1">
        <v>441963.84692846303</v>
      </c>
      <c r="DB8" s="1">
        <v>465286.56201947201</v>
      </c>
      <c r="DC8" s="1">
        <v>225107.94116497599</v>
      </c>
      <c r="DD8" s="1">
        <v>420774.534736606</v>
      </c>
      <c r="DE8" s="1">
        <v>296760.034918488</v>
      </c>
      <c r="DF8" s="1">
        <v>472521.031866659</v>
      </c>
      <c r="DG8" s="1">
        <v>234035.87331771699</v>
      </c>
      <c r="DH8" s="1">
        <v>159729760.73482299</v>
      </c>
      <c r="DI8" s="1">
        <v>111026515.171821</v>
      </c>
      <c r="DJ8" s="1">
        <v>93087526.295616403</v>
      </c>
      <c r="DK8" s="1">
        <v>85612391.642984197</v>
      </c>
      <c r="DL8" s="1">
        <v>54538864.0161217</v>
      </c>
      <c r="DM8" s="1">
        <v>38103198.253847301</v>
      </c>
      <c r="DN8" s="1">
        <v>31893908.538369201</v>
      </c>
      <c r="DO8" s="1">
        <v>35977096.000493601</v>
      </c>
      <c r="DP8" s="1">
        <v>20677589.106996998</v>
      </c>
      <c r="DQ8" s="1">
        <v>10176546.4560153</v>
      </c>
      <c r="DR8" s="1">
        <v>10534310.9085867</v>
      </c>
      <c r="DS8" s="1">
        <v>4942941.87909004</v>
      </c>
      <c r="DT8" s="1">
        <v>9699954.4200776406</v>
      </c>
      <c r="DU8" s="1">
        <v>6849206.6358439801</v>
      </c>
      <c r="DV8" s="1">
        <v>10528554.379944701</v>
      </c>
      <c r="DW8" s="1">
        <v>5258384.9513389496</v>
      </c>
    </row>
    <row r="9" spans="1:127" x14ac:dyDescent="0.25">
      <c r="A9" t="s">
        <v>35</v>
      </c>
      <c r="B9">
        <v>34.65</v>
      </c>
      <c r="C9">
        <v>-112.42</v>
      </c>
      <c r="D9">
        <v>-8</v>
      </c>
      <c r="E9">
        <v>-6.3</v>
      </c>
      <c r="F9">
        <v>34.700000000000003</v>
      </c>
      <c r="G9">
        <v>16</v>
      </c>
      <c r="H9">
        <v>33.1</v>
      </c>
      <c r="I9">
        <v>15.7</v>
      </c>
      <c r="J9">
        <v>66.9166666666667</v>
      </c>
      <c r="K9">
        <v>0</v>
      </c>
      <c r="L9">
        <v>13546456685.5331</v>
      </c>
      <c r="M9">
        <v>3201563092.2097998</v>
      </c>
      <c r="N9">
        <v>4643.4975100000001</v>
      </c>
      <c r="O9" s="75">
        <v>24283554710.166901</v>
      </c>
      <c r="P9">
        <f>30354443387.7086*(0.8/0.96)</f>
        <v>25295369489.757168</v>
      </c>
      <c r="Q9">
        <v>29308</v>
      </c>
      <c r="R9">
        <v>246603236.43497699</v>
      </c>
      <c r="S9">
        <f>1526.85678951516*(0.8/0.96)</f>
        <v>1272.3806579293</v>
      </c>
      <c r="T9">
        <v>53.361556281416902</v>
      </c>
      <c r="U9">
        <v>32.411238816686399</v>
      </c>
      <c r="V9">
        <v>24.342501109486399</v>
      </c>
      <c r="W9">
        <v>21.388811452744001</v>
      </c>
      <c r="X9">
        <v>11.236122876157699</v>
      </c>
      <c r="Y9">
        <v>18.813827968983599</v>
      </c>
      <c r="Z9">
        <v>18.601802835455501</v>
      </c>
      <c r="AA9">
        <v>5.8293066651983301</v>
      </c>
      <c r="AB9">
        <v>7.6150718261241597</v>
      </c>
      <c r="AC9">
        <v>6.0656835494227304</v>
      </c>
      <c r="AD9">
        <v>26.337776008401001</v>
      </c>
      <c r="AE9">
        <v>5.69675938710773</v>
      </c>
      <c r="AF9">
        <v>14.456023811683499</v>
      </c>
      <c r="AG9">
        <v>17.100998882179098</v>
      </c>
      <c r="AH9">
        <v>14.5495067880027</v>
      </c>
      <c r="AI9">
        <v>14.5495067880027</v>
      </c>
      <c r="AJ9" s="119">
        <v>66.5833333333333</v>
      </c>
      <c r="AK9" s="119">
        <v>14.8333333333333</v>
      </c>
      <c r="AL9" s="119">
        <v>13550806591.4023</v>
      </c>
      <c r="AM9" s="119">
        <v>2179036570.28198</v>
      </c>
      <c r="AN9" s="119">
        <v>4643.4975100000001</v>
      </c>
      <c r="AO9" s="120">
        <v>22361421526.738602</v>
      </c>
      <c r="AP9" s="119">
        <v>6711526471.9656801</v>
      </c>
      <c r="AQ9" s="119">
        <v>4643.4975100000001</v>
      </c>
      <c r="AR9" s="120">
        <v>722309505.78623199</v>
      </c>
      <c r="AS9" s="119">
        <v>722309505.78623199</v>
      </c>
      <c r="AT9" s="119">
        <v>5347.3536100000001</v>
      </c>
      <c r="AU9">
        <v>1582957745.37147</v>
      </c>
      <c r="AV9">
        <v>1475.5639954685601</v>
      </c>
      <c r="AW9">
        <v>893.73492057081899</v>
      </c>
      <c r="AX9">
        <v>664.737284250833</v>
      </c>
      <c r="AY9">
        <v>607.23323109204296</v>
      </c>
      <c r="AZ9">
        <v>307.92209022591902</v>
      </c>
      <c r="BA9">
        <v>518.98330772620898</v>
      </c>
      <c r="BB9">
        <v>509.77459482475501</v>
      </c>
      <c r="BC9">
        <v>156.610364746964</v>
      </c>
      <c r="BD9">
        <v>208.10400823301799</v>
      </c>
      <c r="BE9">
        <v>164.49616403387299</v>
      </c>
      <c r="BF9">
        <v>729.43372116753699</v>
      </c>
      <c r="BG9">
        <v>154.57536368482201</v>
      </c>
      <c r="BH9">
        <v>400.45408053535698</v>
      </c>
      <c r="BI9">
        <v>480.62269271607698</v>
      </c>
      <c r="BJ9">
        <v>401.19529790138199</v>
      </c>
      <c r="BK9">
        <v>401.19529790138199</v>
      </c>
      <c r="BL9">
        <v>342.58911323535898</v>
      </c>
      <c r="BM9">
        <v>207.70798424185</v>
      </c>
      <c r="BN9">
        <v>155.31760755409701</v>
      </c>
      <c r="BO9">
        <v>136.99988559213</v>
      </c>
      <c r="BP9">
        <v>72.184587760708297</v>
      </c>
      <c r="BQ9">
        <v>120.395390409028</v>
      </c>
      <c r="BR9">
        <v>119.210099197305</v>
      </c>
      <c r="BS9">
        <v>37.499601781624101</v>
      </c>
      <c r="BT9">
        <v>48.769055153980403</v>
      </c>
      <c r="BU9">
        <v>38.885786539556001</v>
      </c>
      <c r="BV9">
        <v>169.43334104232099</v>
      </c>
      <c r="BW9">
        <v>35.992095980870097</v>
      </c>
      <c r="BX9">
        <v>92.686746403747094</v>
      </c>
      <c r="BY9">
        <v>109.39383869111801</v>
      </c>
      <c r="BZ9">
        <v>93.000239516234302</v>
      </c>
      <c r="CA9">
        <v>93.000239516234302</v>
      </c>
      <c r="CB9">
        <v>163.377074070986</v>
      </c>
      <c r="CC9">
        <v>101.574511993632</v>
      </c>
      <c r="CD9">
        <v>68.129713066859097</v>
      </c>
      <c r="CE9">
        <v>68.915020769716705</v>
      </c>
      <c r="CF9">
        <v>33.643400822239798</v>
      </c>
      <c r="CG9">
        <v>52.726854883886098</v>
      </c>
      <c r="CH9">
        <v>54.738859369988198</v>
      </c>
      <c r="CI9">
        <v>15.3393143655044</v>
      </c>
      <c r="CJ9">
        <v>20.918045632203199</v>
      </c>
      <c r="CK9">
        <v>19.422151298281101</v>
      </c>
      <c r="CL9">
        <v>82.960243811396197</v>
      </c>
      <c r="CM9">
        <v>16.341114262947301</v>
      </c>
      <c r="CN9">
        <v>45.974508293332903</v>
      </c>
      <c r="CO9">
        <v>54.348076553162002</v>
      </c>
      <c r="CP9">
        <v>47.586479936609997</v>
      </c>
      <c r="CQ9">
        <v>47.586479936609997</v>
      </c>
      <c r="CR9" s="1">
        <v>85951216.731507495</v>
      </c>
      <c r="CS9" s="1">
        <v>58541995.861253999</v>
      </c>
      <c r="CT9" s="1">
        <v>42736628.220497802</v>
      </c>
      <c r="CU9" s="1">
        <v>43572084.396782503</v>
      </c>
      <c r="CV9" s="1">
        <v>27071527.640321199</v>
      </c>
      <c r="CW9" s="1">
        <v>20148156.229485799</v>
      </c>
      <c r="CX9" s="1">
        <v>15555920.6289944</v>
      </c>
      <c r="CY9" s="1">
        <v>17548781.4468376</v>
      </c>
      <c r="CZ9" s="1">
        <v>10410799.787314201</v>
      </c>
      <c r="DA9" s="1">
        <v>5561979.6566920197</v>
      </c>
      <c r="DB9" s="1">
        <v>4016907.9300969299</v>
      </c>
      <c r="DC9" s="1">
        <v>4401400.8585788198</v>
      </c>
      <c r="DD9" s="1">
        <v>3063480.51893336</v>
      </c>
      <c r="DE9" s="1">
        <v>4443107.6792829596</v>
      </c>
      <c r="DF9" s="1">
        <v>5588577.4342726599</v>
      </c>
      <c r="DG9" s="1">
        <v>3949580.5256395601</v>
      </c>
      <c r="DH9" s="1">
        <v>3199901134.0763202</v>
      </c>
      <c r="DI9" s="1">
        <v>2194047877.8008599</v>
      </c>
      <c r="DJ9" s="1">
        <v>1668351466.8972299</v>
      </c>
      <c r="DK9" s="1">
        <v>1692707493.89887</v>
      </c>
      <c r="DL9" s="1">
        <v>1057784616.90114</v>
      </c>
      <c r="DM9" s="1">
        <v>775522343.38639998</v>
      </c>
      <c r="DN9" s="1">
        <v>603934798.71292102</v>
      </c>
      <c r="DO9" s="1">
        <v>677175609.45025098</v>
      </c>
      <c r="DP9" s="1">
        <v>406752650.46501899</v>
      </c>
      <c r="DQ9" s="1">
        <v>212864520.34144199</v>
      </c>
      <c r="DR9" s="1">
        <v>159536447.570227</v>
      </c>
      <c r="DS9" s="1">
        <v>174525430.320088</v>
      </c>
      <c r="DT9" s="1">
        <v>122206052.788311</v>
      </c>
      <c r="DU9" s="1">
        <v>177398738.61685199</v>
      </c>
      <c r="DV9" s="1">
        <v>225197882.529192</v>
      </c>
      <c r="DW9" s="1">
        <v>156198836.842996</v>
      </c>
    </row>
    <row r="10" spans="1:127" x14ac:dyDescent="0.25">
      <c r="A10" t="s">
        <v>41</v>
      </c>
      <c r="B10">
        <v>37.369999999999997</v>
      </c>
      <c r="C10">
        <v>-118.35</v>
      </c>
      <c r="D10">
        <v>-9.5</v>
      </c>
      <c r="E10">
        <v>-7.5</v>
      </c>
      <c r="F10">
        <v>38.299999999999997</v>
      </c>
      <c r="G10">
        <v>17.2</v>
      </c>
      <c r="H10">
        <v>37.200000000000003</v>
      </c>
      <c r="I10">
        <v>16.5</v>
      </c>
      <c r="J10">
        <v>216.916666666667</v>
      </c>
      <c r="K10">
        <v>0</v>
      </c>
      <c r="L10">
        <v>14134047795.4991</v>
      </c>
      <c r="M10">
        <v>3754994682.9388099</v>
      </c>
      <c r="N10">
        <v>4380.27693</v>
      </c>
      <c r="O10" s="75">
        <v>14451723961.368099</v>
      </c>
      <c r="P10">
        <f>18064654951.7102*(0.8/0.96)</f>
        <v>15053879126.425169</v>
      </c>
      <c r="Q10">
        <v>29308</v>
      </c>
      <c r="R10">
        <v>138440296.308366</v>
      </c>
      <c r="S10">
        <f>908.668978408488*(0.8/0.96)</f>
        <v>757.22414867374005</v>
      </c>
      <c r="T10">
        <v>7.6370309121867699</v>
      </c>
      <c r="U10">
        <v>2.1482402774437399</v>
      </c>
      <c r="V10">
        <v>4.2809417557862099</v>
      </c>
      <c r="W10">
        <v>3.4846946859611898</v>
      </c>
      <c r="X10">
        <v>3.9683846498131401</v>
      </c>
      <c r="Y10">
        <v>6.2152531650804601</v>
      </c>
      <c r="Z10">
        <v>3.9197075369010599</v>
      </c>
      <c r="AA10">
        <v>2.3093700625900899</v>
      </c>
      <c r="AB10">
        <v>1.32019832622453</v>
      </c>
      <c r="AC10">
        <v>1.90294457838211</v>
      </c>
      <c r="AD10">
        <v>3.1613289646067502</v>
      </c>
      <c r="AE10">
        <v>1.70542856103275</v>
      </c>
      <c r="AF10">
        <v>2.4832082296734601</v>
      </c>
      <c r="AG10">
        <v>3.4579228067441998</v>
      </c>
      <c r="AH10">
        <v>2.0987472788199102</v>
      </c>
      <c r="AI10">
        <v>2.0987472788199102</v>
      </c>
      <c r="AJ10" s="119">
        <v>217</v>
      </c>
      <c r="AK10" s="119">
        <v>10.1666666666666</v>
      </c>
      <c r="AL10" s="119">
        <v>14108567456.0828</v>
      </c>
      <c r="AM10" s="119">
        <v>2974840763.5481601</v>
      </c>
      <c r="AN10" s="119">
        <v>4380.27693</v>
      </c>
      <c r="AO10" s="120">
        <v>13415075994.757</v>
      </c>
      <c r="AP10" s="119">
        <v>4270499598.8805799</v>
      </c>
      <c r="AQ10" s="119">
        <v>4380.27693</v>
      </c>
      <c r="AR10" s="120">
        <v>364968177.862387</v>
      </c>
      <c r="AS10" s="119">
        <v>364968177.862387</v>
      </c>
      <c r="AT10" s="119">
        <v>5239.9376400000001</v>
      </c>
      <c r="AU10">
        <v>898359981.02551794</v>
      </c>
      <c r="AV10">
        <v>251.673747925751</v>
      </c>
      <c r="AW10">
        <v>68.377391463224896</v>
      </c>
      <c r="AX10">
        <v>143.404178148169</v>
      </c>
      <c r="AY10">
        <v>116.031345805309</v>
      </c>
      <c r="AZ10">
        <v>131.48251983966901</v>
      </c>
      <c r="BA10">
        <v>202.11405191972099</v>
      </c>
      <c r="BB10">
        <v>128.213294285665</v>
      </c>
      <c r="BC10">
        <v>74.074747819170994</v>
      </c>
      <c r="BD10">
        <v>43.263347652828401</v>
      </c>
      <c r="BE10">
        <v>61.547040242209199</v>
      </c>
      <c r="BF10">
        <v>101.130700839328</v>
      </c>
      <c r="BG10">
        <v>54.854524635833499</v>
      </c>
      <c r="BH10">
        <v>79.411561565866606</v>
      </c>
      <c r="BI10">
        <v>111.559119289454</v>
      </c>
      <c r="BJ10">
        <v>67.154474811109097</v>
      </c>
      <c r="BK10">
        <v>67.154474811109097</v>
      </c>
      <c r="BL10">
        <v>48.476006314371801</v>
      </c>
      <c r="BM10">
        <v>13.861344996355299</v>
      </c>
      <c r="BN10">
        <v>26.951762188594</v>
      </c>
      <c r="BO10">
        <v>22.007315902030001</v>
      </c>
      <c r="BP10">
        <v>25.120846708984399</v>
      </c>
      <c r="BQ10">
        <v>39.767469343246603</v>
      </c>
      <c r="BR10">
        <v>25.006481689147801</v>
      </c>
      <c r="BS10">
        <v>14.8506957131906</v>
      </c>
      <c r="BT10">
        <v>8.4143723820739496</v>
      </c>
      <c r="BU10">
        <v>12.239118776997399</v>
      </c>
      <c r="BV10">
        <v>20.303201316316901</v>
      </c>
      <c r="BW10">
        <v>10.967328591628</v>
      </c>
      <c r="BX10">
        <v>15.9530877233966</v>
      </c>
      <c r="BY10">
        <v>22.2929457521385</v>
      </c>
      <c r="BZ10">
        <v>13.4916369789615</v>
      </c>
      <c r="CA10">
        <v>13.4916369789615</v>
      </c>
      <c r="CB10">
        <v>15.2349476408963</v>
      </c>
      <c r="CC10">
        <v>5.3064676365208703</v>
      </c>
      <c r="CD10">
        <v>8.6571489046920806</v>
      </c>
      <c r="CE10">
        <v>6.8225964446819702</v>
      </c>
      <c r="CF10">
        <v>7.8958616244841302</v>
      </c>
      <c r="CG10">
        <v>15.210952021686399</v>
      </c>
      <c r="CH10">
        <v>9.1707761645231702</v>
      </c>
      <c r="CI10">
        <v>5.5464734270299996</v>
      </c>
      <c r="CJ10">
        <v>3.9723587319643698</v>
      </c>
      <c r="CK10">
        <v>5.0652943550588798</v>
      </c>
      <c r="CL10">
        <v>9.0308153392008101</v>
      </c>
      <c r="CM10">
        <v>4.2867527274415202</v>
      </c>
      <c r="CN10">
        <v>6.6425817191721999</v>
      </c>
      <c r="CO10">
        <v>8.4471343199582307</v>
      </c>
      <c r="CP10">
        <v>6.0709053787150902</v>
      </c>
      <c r="CQ10">
        <v>6.0709053787150902</v>
      </c>
      <c r="CR10" s="1">
        <v>132846229.38666999</v>
      </c>
      <c r="CS10" s="1">
        <v>130185812.56514101</v>
      </c>
      <c r="CT10" s="1">
        <v>122299923.071648</v>
      </c>
      <c r="CU10" s="1">
        <v>117349680.409033</v>
      </c>
      <c r="CV10" s="1">
        <v>108728259.614749</v>
      </c>
      <c r="CW10" s="1">
        <v>101698569.567617</v>
      </c>
      <c r="CX10" s="1">
        <v>102503905.750232</v>
      </c>
      <c r="CY10" s="1">
        <v>97577358.031338707</v>
      </c>
      <c r="CZ10" s="1">
        <v>88858229.566051394</v>
      </c>
      <c r="DA10" s="1">
        <v>78532548.454159304</v>
      </c>
      <c r="DB10" s="1">
        <v>70933628.733806998</v>
      </c>
      <c r="DC10" s="1">
        <v>64602172.3117956</v>
      </c>
      <c r="DD10" s="1">
        <v>55670262.921467602</v>
      </c>
      <c r="DE10" s="1">
        <v>51630427.479968399</v>
      </c>
      <c r="DF10" s="1">
        <v>51233512.261789702</v>
      </c>
      <c r="DG10" s="1">
        <v>46915146.4741861</v>
      </c>
      <c r="DH10" s="1">
        <v>5414567472.7195997</v>
      </c>
      <c r="DI10" s="1">
        <v>5322512128.02777</v>
      </c>
      <c r="DJ10" s="1">
        <v>5004655420.6243696</v>
      </c>
      <c r="DK10" s="1">
        <v>4837841821.1451702</v>
      </c>
      <c r="DL10" s="1">
        <v>4505769130.8126802</v>
      </c>
      <c r="DM10" s="1">
        <v>4228842120.00352</v>
      </c>
      <c r="DN10" s="1">
        <v>4268680696.32932</v>
      </c>
      <c r="DO10" s="1">
        <v>4076165267.07656</v>
      </c>
      <c r="DP10" s="1">
        <v>3706172981.3438401</v>
      </c>
      <c r="DQ10" s="1">
        <v>3289305064.0188799</v>
      </c>
      <c r="DR10" s="1">
        <v>2972640364.07019</v>
      </c>
      <c r="DS10" s="1">
        <v>2707669019.2350998</v>
      </c>
      <c r="DT10" s="1">
        <v>2341253625.93467</v>
      </c>
      <c r="DU10" s="1">
        <v>2173734730.9953699</v>
      </c>
      <c r="DV10" s="1">
        <v>2154176942.03016</v>
      </c>
      <c r="DW10" s="1">
        <v>1976729068.5288799</v>
      </c>
    </row>
    <row r="11" spans="1:127" x14ac:dyDescent="0.25">
      <c r="A11" t="s">
        <v>40</v>
      </c>
      <c r="B11">
        <v>41.78</v>
      </c>
      <c r="C11">
        <v>-124.23</v>
      </c>
      <c r="D11">
        <v>1.9</v>
      </c>
      <c r="E11">
        <v>2.6</v>
      </c>
      <c r="F11">
        <v>19.8</v>
      </c>
      <c r="G11">
        <v>14.7</v>
      </c>
      <c r="H11">
        <v>18.399999999999999</v>
      </c>
      <c r="I11">
        <v>14.7</v>
      </c>
      <c r="J11">
        <v>0</v>
      </c>
      <c r="K11">
        <v>0</v>
      </c>
      <c r="L11">
        <v>0</v>
      </c>
      <c r="M11">
        <v>0</v>
      </c>
      <c r="N11">
        <v>1679.3195000000001</v>
      </c>
      <c r="O11" s="75">
        <v>17469160259.0313</v>
      </c>
      <c r="P11">
        <f>21836450323.7891*(0.8/0.96)</f>
        <v>18197041936.490917</v>
      </c>
      <c r="Q11">
        <v>29308</v>
      </c>
      <c r="R11">
        <v>60288871.002579696</v>
      </c>
      <c r="S11">
        <f>1098.39380053626*(0.8/0.96)</f>
        <v>915.32816711354997</v>
      </c>
      <c r="T11">
        <v>2.8027057128990398</v>
      </c>
      <c r="U11">
        <v>0.87807883188656999</v>
      </c>
      <c r="V11">
        <v>1.4501110347962101</v>
      </c>
      <c r="W11">
        <v>1.16276292689998</v>
      </c>
      <c r="X11">
        <v>1.4223211024656199</v>
      </c>
      <c r="Y11">
        <v>2.2978859825515099</v>
      </c>
      <c r="Z11">
        <v>1.3735536304154099</v>
      </c>
      <c r="AA11">
        <v>0.90906965744360801</v>
      </c>
      <c r="AB11">
        <v>0.46378517294434801</v>
      </c>
      <c r="AC11">
        <v>0.74551905957932796</v>
      </c>
      <c r="AD11">
        <v>1.23939821239451</v>
      </c>
      <c r="AE11">
        <v>0.65136120328843805</v>
      </c>
      <c r="AF11">
        <v>1.00219221626121</v>
      </c>
      <c r="AG11">
        <v>1.25476989086333</v>
      </c>
      <c r="AH11">
        <v>0.88180035994217398</v>
      </c>
      <c r="AI11">
        <v>0.88180035994217398</v>
      </c>
      <c r="AJ11" s="119">
        <v>0</v>
      </c>
      <c r="AK11" s="119">
        <v>50.3333333333333</v>
      </c>
      <c r="AL11" s="119">
        <v>0</v>
      </c>
      <c r="AM11" s="119">
        <v>0</v>
      </c>
      <c r="AN11" s="119">
        <v>1679.3195000000001</v>
      </c>
      <c r="AO11" s="120">
        <v>15273482994.1987</v>
      </c>
      <c r="AP11" s="119">
        <v>3615878752.9827499</v>
      </c>
      <c r="AQ11" s="119">
        <v>1679.3195000000001</v>
      </c>
      <c r="AR11" s="120">
        <v>1362454585.9551499</v>
      </c>
      <c r="AS11" s="119">
        <v>1362454585.9551499</v>
      </c>
      <c r="AT11" s="119">
        <v>3454.16561</v>
      </c>
      <c r="AU11">
        <v>904343425.03312695</v>
      </c>
      <c r="AV11">
        <v>172.687528923695</v>
      </c>
      <c r="AW11">
        <v>53.050887921760499</v>
      </c>
      <c r="AX11">
        <v>90.025827215687798</v>
      </c>
      <c r="AY11">
        <v>72.125905211065401</v>
      </c>
      <c r="AZ11">
        <v>87.808137288347396</v>
      </c>
      <c r="BA11">
        <v>140.61262362628599</v>
      </c>
      <c r="BB11">
        <v>84.453944093899096</v>
      </c>
      <c r="BC11">
        <v>55.442848569863102</v>
      </c>
      <c r="BD11">
        <v>28.200775289401498</v>
      </c>
      <c r="BE11">
        <v>45.536240809524003</v>
      </c>
      <c r="BF11">
        <v>74.800133545905098</v>
      </c>
      <c r="BG11">
        <v>39.825128951518799</v>
      </c>
      <c r="BH11">
        <v>60.830677189324398</v>
      </c>
      <c r="BI11">
        <v>76.8007041101162</v>
      </c>
      <c r="BJ11">
        <v>53.244827399262</v>
      </c>
      <c r="BK11">
        <v>53.244827399262</v>
      </c>
      <c r="BL11">
        <v>43.707859660960096</v>
      </c>
      <c r="BM11">
        <v>13.4368414080392</v>
      </c>
      <c r="BN11">
        <v>22.834447714225298</v>
      </c>
      <c r="BO11">
        <v>18.280532839649599</v>
      </c>
      <c r="BP11">
        <v>22.248922668406799</v>
      </c>
      <c r="BQ11">
        <v>35.244427951655702</v>
      </c>
      <c r="BR11">
        <v>21.230681590072599</v>
      </c>
      <c r="BS11">
        <v>13.995655584239399</v>
      </c>
      <c r="BT11">
        <v>7.0875339111630398</v>
      </c>
      <c r="BU11">
        <v>11.403917708442799</v>
      </c>
      <c r="BV11">
        <v>18.8027216750504</v>
      </c>
      <c r="BW11">
        <v>9.8927400987865202</v>
      </c>
      <c r="BX11">
        <v>15.2227783130103</v>
      </c>
      <c r="BY11">
        <v>19.204580447795198</v>
      </c>
      <c r="BZ11">
        <v>13.2796669495911</v>
      </c>
      <c r="CA11">
        <v>13.2796669495911</v>
      </c>
      <c r="CB11">
        <v>53.874157671678397</v>
      </c>
      <c r="CC11">
        <v>18.160595910434999</v>
      </c>
      <c r="CD11">
        <v>26.7102472505923</v>
      </c>
      <c r="CE11">
        <v>21.7995684350293</v>
      </c>
      <c r="CF11">
        <v>26.198349944617</v>
      </c>
      <c r="CG11">
        <v>50.6297304450162</v>
      </c>
      <c r="CH11">
        <v>28.9395511609439</v>
      </c>
      <c r="CI11">
        <v>18.2107203016581</v>
      </c>
      <c r="CJ11">
        <v>10.9934267034029</v>
      </c>
      <c r="CK11">
        <v>16.022937618229701</v>
      </c>
      <c r="CL11">
        <v>27.5287348340214</v>
      </c>
      <c r="CM11">
        <v>14.673917885797501</v>
      </c>
      <c r="CN11">
        <v>21.432682805116102</v>
      </c>
      <c r="CO11">
        <v>27.466410986881701</v>
      </c>
      <c r="CP11">
        <v>20.236922766065799</v>
      </c>
      <c r="CQ11">
        <v>20.236922766065799</v>
      </c>
      <c r="CR11" s="1">
        <v>52015852.331388399</v>
      </c>
      <c r="CS11" s="1">
        <v>50419316.566708401</v>
      </c>
      <c r="CT11" s="1">
        <v>47069948.363691598</v>
      </c>
      <c r="CU11" s="1">
        <v>43746825.179145999</v>
      </c>
      <c r="CV11" s="1">
        <v>39432773.685120299</v>
      </c>
      <c r="CW11" s="1">
        <v>36623947.279204503</v>
      </c>
      <c r="CX11" s="1">
        <v>36669526.937542103</v>
      </c>
      <c r="CY11" s="1">
        <v>34641428.003605098</v>
      </c>
      <c r="CZ11" s="1">
        <v>31309585.956935901</v>
      </c>
      <c r="DA11" s="1">
        <v>27245324.043185201</v>
      </c>
      <c r="DB11" s="1">
        <v>24676220.241804302</v>
      </c>
      <c r="DC11" s="1">
        <v>22532620.8142852</v>
      </c>
      <c r="DD11" s="1">
        <v>19560892.9844556</v>
      </c>
      <c r="DE11" s="1">
        <v>18299961.694590401</v>
      </c>
      <c r="DF11" s="1">
        <v>18010278.732918601</v>
      </c>
      <c r="DG11" s="1">
        <v>16599546.437105101</v>
      </c>
      <c r="DH11" s="1">
        <v>5128559338.5838604</v>
      </c>
      <c r="DI11" s="1">
        <v>4974103711.0144701</v>
      </c>
      <c r="DJ11" s="1">
        <v>4644494900.5906801</v>
      </c>
      <c r="DK11" s="1">
        <v>4334936476.4349003</v>
      </c>
      <c r="DL11" s="1">
        <v>3910165758.4124498</v>
      </c>
      <c r="DM11" s="1">
        <v>3636239138.7217202</v>
      </c>
      <c r="DN11" s="1">
        <v>3653649760.9214301</v>
      </c>
      <c r="DO11" s="1">
        <v>3458624559.0216198</v>
      </c>
      <c r="DP11" s="1">
        <v>3133407752.8915501</v>
      </c>
      <c r="DQ11" s="1">
        <v>2746425521.7202802</v>
      </c>
      <c r="DR11" s="1">
        <v>2492996514.4507198</v>
      </c>
      <c r="DS11" s="1">
        <v>2281194643.4980798</v>
      </c>
      <c r="DT11" s="1">
        <v>1985848517.9920001</v>
      </c>
      <c r="DU11" s="1">
        <v>1863854116.29476</v>
      </c>
      <c r="DV11" s="1">
        <v>1836933721.49822</v>
      </c>
      <c r="DW11" s="1">
        <v>1699245216.2447901</v>
      </c>
    </row>
    <row r="12" spans="1:127" x14ac:dyDescent="0.25">
      <c r="A12" t="s">
        <v>38</v>
      </c>
      <c r="B12">
        <v>32.83</v>
      </c>
      <c r="C12">
        <v>-115.58</v>
      </c>
      <c r="D12">
        <v>2.1</v>
      </c>
      <c r="E12">
        <v>3</v>
      </c>
      <c r="F12">
        <v>44</v>
      </c>
      <c r="G12">
        <v>22.7</v>
      </c>
      <c r="H12">
        <v>42.8</v>
      </c>
      <c r="I12">
        <v>22.6</v>
      </c>
      <c r="J12">
        <v>226.166666666667</v>
      </c>
      <c r="K12">
        <v>0</v>
      </c>
      <c r="L12">
        <v>52887829081.590897</v>
      </c>
      <c r="M12">
        <v>14865681405.514999</v>
      </c>
      <c r="N12">
        <v>7579.0248899999997</v>
      </c>
      <c r="O12" s="75">
        <v>558434216.64900601</v>
      </c>
      <c r="P12">
        <f>698042770.811257*(0.8/0.96)</f>
        <v>581702309.00938082</v>
      </c>
      <c r="Q12">
        <v>29308</v>
      </c>
      <c r="R12">
        <v>7529905.9058903595</v>
      </c>
      <c r="S12">
        <f>35.1122018734405*(0.8/0.96)</f>
        <v>29.260168227867084</v>
      </c>
      <c r="T12">
        <v>0.45057583462901202</v>
      </c>
      <c r="U12">
        <v>0.12869302221057799</v>
      </c>
      <c r="V12">
        <v>0.23549824875443701</v>
      </c>
      <c r="W12">
        <v>0.19418605640095701</v>
      </c>
      <c r="X12">
        <v>0.209922327762186</v>
      </c>
      <c r="Y12">
        <v>0.391207427287041</v>
      </c>
      <c r="Z12">
        <v>0.23519943986438199</v>
      </c>
      <c r="AA12">
        <v>0.12701440688422699</v>
      </c>
      <c r="AB12">
        <v>9.7644097942913205E-2</v>
      </c>
      <c r="AC12">
        <v>0.13490335149368199</v>
      </c>
      <c r="AD12">
        <v>0.20214707299251999</v>
      </c>
      <c r="AE12">
        <v>0.122741418153089</v>
      </c>
      <c r="AF12">
        <v>0.16946940905510299</v>
      </c>
      <c r="AG12">
        <v>0.235503197010895</v>
      </c>
      <c r="AH12">
        <v>0.14694906998387799</v>
      </c>
      <c r="AI12">
        <v>0.14694906998387799</v>
      </c>
      <c r="AJ12" s="119">
        <v>226.75</v>
      </c>
      <c r="AK12" s="119">
        <v>1</v>
      </c>
      <c r="AL12" s="119">
        <v>52831466906.688103</v>
      </c>
      <c r="AM12" s="119">
        <v>12224592861.201799</v>
      </c>
      <c r="AN12" s="119">
        <v>7579.0248899999997</v>
      </c>
      <c r="AO12" s="120">
        <v>499004996.12361902</v>
      </c>
      <c r="AP12" s="119">
        <v>132521699.92696799</v>
      </c>
      <c r="AQ12" s="119">
        <v>7579.0248899999997</v>
      </c>
      <c r="AR12" s="120">
        <v>19374036.230874401</v>
      </c>
      <c r="AS12" s="119">
        <v>19374036.230874401</v>
      </c>
      <c r="AT12" s="119">
        <v>3164.3407699999998</v>
      </c>
      <c r="AU12">
        <v>29031294.409091599</v>
      </c>
      <c r="AV12">
        <v>8.3420446266544701</v>
      </c>
      <c r="AW12">
        <v>2.31487413819195</v>
      </c>
      <c r="AX12">
        <v>4.3461651391406804</v>
      </c>
      <c r="AY12">
        <v>3.5863228038350199</v>
      </c>
      <c r="AZ12">
        <v>3.8646741307507102</v>
      </c>
      <c r="BA12">
        <v>7.0683469534017602</v>
      </c>
      <c r="BB12">
        <v>4.2375446739847797</v>
      </c>
      <c r="BC12">
        <v>2.3026665425866599</v>
      </c>
      <c r="BD12">
        <v>1.7377458494735201</v>
      </c>
      <c r="BE12">
        <v>2.43083523915602</v>
      </c>
      <c r="BF12">
        <v>3.58647780963874</v>
      </c>
      <c r="BG12">
        <v>2.1904215866828598</v>
      </c>
      <c r="BH12">
        <v>3.02786859624675</v>
      </c>
      <c r="BI12">
        <v>4.2186937712141104</v>
      </c>
      <c r="BJ12">
        <v>2.5959231335962598</v>
      </c>
      <c r="BK12">
        <v>2.5959231335962598</v>
      </c>
      <c r="BL12">
        <v>1.7748454634147599</v>
      </c>
      <c r="BM12">
        <v>0.49860829687129898</v>
      </c>
      <c r="BN12">
        <v>0.92138513520378595</v>
      </c>
      <c r="BO12">
        <v>0.76089766876472698</v>
      </c>
      <c r="BP12">
        <v>0.82511723185945696</v>
      </c>
      <c r="BQ12">
        <v>1.52042202819952</v>
      </c>
      <c r="BR12">
        <v>0.91108599228364895</v>
      </c>
      <c r="BS12">
        <v>0.49597623314886502</v>
      </c>
      <c r="BT12">
        <v>0.374086396609775</v>
      </c>
      <c r="BU12">
        <v>0.52367672150101696</v>
      </c>
      <c r="BV12">
        <v>0.77706235827784997</v>
      </c>
      <c r="BW12">
        <v>0.47364343048274199</v>
      </c>
      <c r="BX12">
        <v>0.65650913424221902</v>
      </c>
      <c r="BY12">
        <v>0.90933947527276804</v>
      </c>
      <c r="BZ12">
        <v>0.56798504337442701</v>
      </c>
      <c r="CA12">
        <v>0.56798504337442701</v>
      </c>
      <c r="CB12">
        <v>1.0164381878837501</v>
      </c>
      <c r="CC12">
        <v>0.32607680051980498</v>
      </c>
      <c r="CD12">
        <v>0.57613791468164199</v>
      </c>
      <c r="CE12">
        <v>0.46765095478987301</v>
      </c>
      <c r="CF12">
        <v>0.47724701847651502</v>
      </c>
      <c r="CG12">
        <v>0.976815974913122</v>
      </c>
      <c r="CH12">
        <v>0.61571238271373396</v>
      </c>
      <c r="CI12">
        <v>0.29592856654399302</v>
      </c>
      <c r="CJ12">
        <v>0.27738978736691999</v>
      </c>
      <c r="CK12">
        <v>0.34004635699264901</v>
      </c>
      <c r="CL12">
        <v>0.54778510244882495</v>
      </c>
      <c r="CM12">
        <v>0.32265395236433497</v>
      </c>
      <c r="CN12">
        <v>0.43018484118418998</v>
      </c>
      <c r="CO12">
        <v>0.61727884255808396</v>
      </c>
      <c r="CP12">
        <v>0.376359050606492</v>
      </c>
      <c r="CQ12">
        <v>0.376359050606492</v>
      </c>
      <c r="CR12" s="1">
        <v>7956656.7124027004</v>
      </c>
      <c r="CS12" s="1">
        <v>7944398.91564852</v>
      </c>
      <c r="CT12" s="1">
        <v>7642531.9978676401</v>
      </c>
      <c r="CU12" s="1">
        <v>7569454.7182776202</v>
      </c>
      <c r="CV12" s="1">
        <v>7199126.9154371796</v>
      </c>
      <c r="CW12" s="1">
        <v>6932208.0041724704</v>
      </c>
      <c r="CX12" s="1">
        <v>6997704.3379965099</v>
      </c>
      <c r="CY12" s="1">
        <v>6842777.4898169199</v>
      </c>
      <c r="CZ12" s="1">
        <v>6371130.7982655996</v>
      </c>
      <c r="DA12" s="1">
        <v>5937117.9615711104</v>
      </c>
      <c r="DB12" s="1">
        <v>5593199.4390206896</v>
      </c>
      <c r="DC12" s="1">
        <v>5153568.95785964</v>
      </c>
      <c r="DD12" s="1">
        <v>4817608.5620763199</v>
      </c>
      <c r="DE12" s="1">
        <v>4535056.1758962097</v>
      </c>
      <c r="DF12" s="1">
        <v>4582715.2092448296</v>
      </c>
      <c r="DG12" s="1">
        <v>4281620.2321587196</v>
      </c>
      <c r="DH12" s="1">
        <v>192869907.12843901</v>
      </c>
      <c r="DI12" s="1">
        <v>192814475.85569501</v>
      </c>
      <c r="DJ12" s="1">
        <v>185691778.46456099</v>
      </c>
      <c r="DK12" s="1">
        <v>184643657.15067801</v>
      </c>
      <c r="DL12" s="1">
        <v>175886485.28772101</v>
      </c>
      <c r="DM12" s="1">
        <v>169710408.10670599</v>
      </c>
      <c r="DN12" s="1">
        <v>171343202.28628001</v>
      </c>
      <c r="DO12" s="1">
        <v>167765081.22996601</v>
      </c>
      <c r="DP12" s="1">
        <v>156451858.32749599</v>
      </c>
      <c r="DQ12" s="1">
        <v>146060738.788288</v>
      </c>
      <c r="DR12" s="1">
        <v>137902230.020298</v>
      </c>
      <c r="DS12" s="1">
        <v>127046397.14685801</v>
      </c>
      <c r="DT12" s="1">
        <v>119135517.510346</v>
      </c>
      <c r="DU12" s="1">
        <v>112023680.055254</v>
      </c>
      <c r="DV12" s="1">
        <v>113475865.91268501</v>
      </c>
      <c r="DW12" s="1">
        <v>105984635.140233</v>
      </c>
    </row>
    <row r="13" spans="1:127" x14ac:dyDescent="0.25">
      <c r="A13" t="s">
        <v>39</v>
      </c>
      <c r="B13">
        <v>33.93</v>
      </c>
      <c r="C13">
        <v>-118.4</v>
      </c>
      <c r="D13">
        <v>7</v>
      </c>
      <c r="E13">
        <v>8</v>
      </c>
      <c r="F13">
        <v>28.7</v>
      </c>
      <c r="G13">
        <v>17.399999999999999</v>
      </c>
      <c r="H13">
        <v>26.9</v>
      </c>
      <c r="I13">
        <v>17.5</v>
      </c>
      <c r="J13">
        <v>12.25</v>
      </c>
      <c r="K13">
        <v>0</v>
      </c>
      <c r="L13">
        <v>3612541631.9381199</v>
      </c>
      <c r="M13">
        <v>662243930.66929102</v>
      </c>
      <c r="N13">
        <v>3089.9308900000001</v>
      </c>
      <c r="O13" s="75">
        <v>1576761920.9147999</v>
      </c>
      <c r="P13">
        <f>1970952401.14349*(0.8/0.96)</f>
        <v>1642460334.2862418</v>
      </c>
      <c r="Q13">
        <v>29308</v>
      </c>
      <c r="R13">
        <v>9969159.7374396697</v>
      </c>
      <c r="S13">
        <f>99.1407424955697*(0.8/0.96)</f>
        <v>82.617285412974752</v>
      </c>
      <c r="T13">
        <v>0.47828564631774201</v>
      </c>
      <c r="U13">
        <v>0.15243659474618301</v>
      </c>
      <c r="V13">
        <v>0.242280005809513</v>
      </c>
      <c r="W13">
        <v>0.21822903046998299</v>
      </c>
      <c r="X13">
        <v>0.23054936119762501</v>
      </c>
      <c r="Y13">
        <v>0.448829697241516</v>
      </c>
      <c r="Z13">
        <v>0.27198416071696502</v>
      </c>
      <c r="AA13">
        <v>0.160799181684943</v>
      </c>
      <c r="AB13">
        <v>0.108872746433527</v>
      </c>
      <c r="AC13">
        <v>0.152505303258719</v>
      </c>
      <c r="AD13">
        <v>0.24635496895797099</v>
      </c>
      <c r="AE13">
        <v>0.141749895880421</v>
      </c>
      <c r="AF13">
        <v>0.211300509385424</v>
      </c>
      <c r="AG13">
        <v>0.27170709822789901</v>
      </c>
      <c r="AH13">
        <v>0.190631105519212</v>
      </c>
      <c r="AI13">
        <v>0.190631105519212</v>
      </c>
      <c r="AJ13" s="119">
        <v>12.0833333333333</v>
      </c>
      <c r="AK13" s="119">
        <v>4.5</v>
      </c>
      <c r="AL13" s="119">
        <v>3642810324.8020501</v>
      </c>
      <c r="AM13" s="119">
        <v>281320738.03702998</v>
      </c>
      <c r="AN13" s="119">
        <v>3089.9308900000001</v>
      </c>
      <c r="AO13" s="120">
        <v>1420899584.6575201</v>
      </c>
      <c r="AP13" s="119">
        <v>291039195.37774301</v>
      </c>
      <c r="AQ13" s="119">
        <v>3089.9308900000001</v>
      </c>
      <c r="AR13" s="120">
        <v>59187559.231788203</v>
      </c>
      <c r="AS13" s="119">
        <v>59187559.231788203</v>
      </c>
      <c r="AT13" s="119">
        <v>2126.1419999999998</v>
      </c>
      <c r="AU13">
        <v>86995685.799334407</v>
      </c>
      <c r="AV13">
        <v>14.267994344887899</v>
      </c>
      <c r="AW13">
        <v>4.4795906779719799</v>
      </c>
      <c r="AX13">
        <v>7.2774539009149999</v>
      </c>
      <c r="AY13">
        <v>6.5404584128941003</v>
      </c>
      <c r="AZ13">
        <v>6.9433412833376504</v>
      </c>
      <c r="BA13">
        <v>13.19709325589</v>
      </c>
      <c r="BB13">
        <v>8.0361875881317602</v>
      </c>
      <c r="BC13">
        <v>4.7345085447555997</v>
      </c>
      <c r="BD13">
        <v>3.2089066216695499</v>
      </c>
      <c r="BE13">
        <v>4.4788684836648498</v>
      </c>
      <c r="BF13">
        <v>7.1933067938069897</v>
      </c>
      <c r="BG13">
        <v>4.1541487572821598</v>
      </c>
      <c r="BH13">
        <v>6.1940305305166801</v>
      </c>
      <c r="BI13">
        <v>7.9805796279454801</v>
      </c>
      <c r="BJ13">
        <v>5.5668157115924597</v>
      </c>
      <c r="BK13">
        <v>5.5668157115924597</v>
      </c>
      <c r="BL13">
        <v>4.2489230191568996</v>
      </c>
      <c r="BM13">
        <v>1.3357777168282401</v>
      </c>
      <c r="BN13">
        <v>2.1497121320716901</v>
      </c>
      <c r="BO13">
        <v>1.9362155592149199</v>
      </c>
      <c r="BP13">
        <v>2.0621497733648599</v>
      </c>
      <c r="BQ13">
        <v>3.9248975984082399</v>
      </c>
      <c r="BR13">
        <v>2.3843558644801099</v>
      </c>
      <c r="BS13">
        <v>1.41528768028537</v>
      </c>
      <c r="BT13">
        <v>0.94719422485246996</v>
      </c>
      <c r="BU13">
        <v>1.3311234831429399</v>
      </c>
      <c r="BV13">
        <v>2.1329807502041702</v>
      </c>
      <c r="BW13">
        <v>1.24025624631159</v>
      </c>
      <c r="BX13">
        <v>1.8492607924327</v>
      </c>
      <c r="BY13">
        <v>2.3753604539799702</v>
      </c>
      <c r="BZ13">
        <v>1.6656540598477301</v>
      </c>
      <c r="CA13">
        <v>1.6656540598477301</v>
      </c>
      <c r="CB13">
        <v>2.72216783407245</v>
      </c>
      <c r="CC13">
        <v>0.917784239980867</v>
      </c>
      <c r="CD13">
        <v>1.46367706702099</v>
      </c>
      <c r="CE13">
        <v>1.2897615584452899</v>
      </c>
      <c r="CF13">
        <v>1.1779464100594601</v>
      </c>
      <c r="CG13">
        <v>2.85068506226333</v>
      </c>
      <c r="CH13">
        <v>1.7101462141956401</v>
      </c>
      <c r="CI13">
        <v>0.91307838918156303</v>
      </c>
      <c r="CJ13">
        <v>0.73538930804603198</v>
      </c>
      <c r="CK13">
        <v>0.97616293361645901</v>
      </c>
      <c r="CL13">
        <v>1.65357191253455</v>
      </c>
      <c r="CM13">
        <v>0.86094074665051701</v>
      </c>
      <c r="CN13">
        <v>1.2308129403092201</v>
      </c>
      <c r="CO13">
        <v>1.72169441403243</v>
      </c>
      <c r="CP13">
        <v>1.0880324139998301</v>
      </c>
      <c r="CQ13">
        <v>1.0880324139998301</v>
      </c>
      <c r="CR13" s="1">
        <v>9570174.4750205893</v>
      </c>
      <c r="CS13" s="1">
        <v>9482916.2977822497</v>
      </c>
      <c r="CT13" s="1">
        <v>8940270.7499406599</v>
      </c>
      <c r="CU13" s="1">
        <v>8643009.1487750802</v>
      </c>
      <c r="CV13" s="1">
        <v>8042015.7816423103</v>
      </c>
      <c r="CW13" s="1">
        <v>7555837.5900147296</v>
      </c>
      <c r="CX13" s="1">
        <v>7627329.0746781304</v>
      </c>
      <c r="CY13" s="1">
        <v>7348332.2372329999</v>
      </c>
      <c r="CZ13" s="1">
        <v>6789767.1868183296</v>
      </c>
      <c r="DA13" s="1">
        <v>6242136.2227769503</v>
      </c>
      <c r="DB13" s="1">
        <v>5773504.1111237202</v>
      </c>
      <c r="DC13" s="1">
        <v>5325192.5333512602</v>
      </c>
      <c r="DD13" s="1">
        <v>4899283.8717449</v>
      </c>
      <c r="DE13" s="1">
        <v>4632132.9742593002</v>
      </c>
      <c r="DF13" s="1">
        <v>4600377.8530475497</v>
      </c>
      <c r="DG13" s="1">
        <v>4270977.4205396902</v>
      </c>
      <c r="DH13" s="1">
        <v>422956263.61909199</v>
      </c>
      <c r="DI13" s="1">
        <v>419298846.96677202</v>
      </c>
      <c r="DJ13" s="1">
        <v>395714222.48265898</v>
      </c>
      <c r="DK13" s="1">
        <v>383830123.62229699</v>
      </c>
      <c r="DL13" s="1">
        <v>358092545.90994</v>
      </c>
      <c r="DM13" s="1">
        <v>336568323.65826201</v>
      </c>
      <c r="DN13" s="1">
        <v>340246374.79042298</v>
      </c>
      <c r="DO13" s="1">
        <v>328229763.171812</v>
      </c>
      <c r="DP13" s="1">
        <v>302674214.44142401</v>
      </c>
      <c r="DQ13" s="1">
        <v>278460037.24205899</v>
      </c>
      <c r="DR13" s="1">
        <v>257451955.13999999</v>
      </c>
      <c r="DS13" s="1">
        <v>237463341.392167</v>
      </c>
      <c r="DT13" s="1">
        <v>218229047.84577501</v>
      </c>
      <c r="DU13" s="1">
        <v>206239677.26019499</v>
      </c>
      <c r="DV13" s="1">
        <v>204960513.20761001</v>
      </c>
      <c r="DW13" s="1">
        <v>189946511.95540601</v>
      </c>
    </row>
    <row r="14" spans="1:127" x14ac:dyDescent="0.25">
      <c r="A14" t="s">
        <v>42</v>
      </c>
      <c r="B14">
        <v>38.700000000000003</v>
      </c>
      <c r="C14">
        <v>-121.58</v>
      </c>
      <c r="D14">
        <v>-0.9</v>
      </c>
      <c r="E14">
        <v>0.9</v>
      </c>
      <c r="F14">
        <v>38</v>
      </c>
      <c r="G14">
        <v>21.4</v>
      </c>
      <c r="H14">
        <v>36.799999999999997</v>
      </c>
      <c r="I14">
        <v>20.9</v>
      </c>
      <c r="J14">
        <v>81.583333333333201</v>
      </c>
      <c r="K14">
        <v>0</v>
      </c>
      <c r="L14">
        <v>14762843064.2481</v>
      </c>
      <c r="M14">
        <v>3626679453.2858</v>
      </c>
      <c r="N14">
        <v>5077.7157900000002</v>
      </c>
      <c r="O14" s="75">
        <v>9934932919.7145596</v>
      </c>
      <c r="P14">
        <f>12418666149.6431*(0.8/0.96)</f>
        <v>10348888458.035917</v>
      </c>
      <c r="Q14">
        <v>29308</v>
      </c>
      <c r="R14">
        <v>94551967.783817098</v>
      </c>
      <c r="S14">
        <f>624.670480203334*(0.8/0.96)</f>
        <v>520.55873350277841</v>
      </c>
      <c r="T14">
        <v>4.5317131062532603</v>
      </c>
      <c r="U14">
        <v>1.4379305177104</v>
      </c>
      <c r="V14">
        <v>2.4509496289005801</v>
      </c>
      <c r="W14">
        <v>2.0499575291368801</v>
      </c>
      <c r="X14">
        <v>2.39638288569755</v>
      </c>
      <c r="Y14">
        <v>3.9031766170667401</v>
      </c>
      <c r="Z14">
        <v>2.43990319397472</v>
      </c>
      <c r="AA14">
        <v>1.41637670612964</v>
      </c>
      <c r="AB14">
        <v>0.87471253240583902</v>
      </c>
      <c r="AC14">
        <v>1.2714950753665499</v>
      </c>
      <c r="AD14">
        <v>2.1475404600412702</v>
      </c>
      <c r="AE14">
        <v>1.2637068445500099</v>
      </c>
      <c r="AF14">
        <v>1.77995351649689</v>
      </c>
      <c r="AG14">
        <v>2.4520712904573698</v>
      </c>
      <c r="AH14">
        <v>1.50675207325819</v>
      </c>
      <c r="AI14">
        <v>1.50675207325819</v>
      </c>
      <c r="AJ14" s="119">
        <v>81.499999999999901</v>
      </c>
      <c r="AK14" s="119">
        <v>5.6666666666666599</v>
      </c>
      <c r="AL14" s="119">
        <v>14798799816.2477</v>
      </c>
      <c r="AM14" s="119">
        <v>2653589091.50596</v>
      </c>
      <c r="AN14" s="119">
        <v>5077.7157900000002</v>
      </c>
      <c r="AO14" s="120">
        <v>9339276969.3894196</v>
      </c>
      <c r="AP14" s="119">
        <v>2389049057.1908598</v>
      </c>
      <c r="AQ14" s="119">
        <v>5077.7157900000002</v>
      </c>
      <c r="AR14" s="120">
        <v>159430720.734552</v>
      </c>
      <c r="AS14" s="119">
        <v>159430720.734552</v>
      </c>
      <c r="AT14" s="119">
        <v>3764.5523600000001</v>
      </c>
      <c r="AU14">
        <v>577523532.63271105</v>
      </c>
      <c r="AV14">
        <v>120.13303453658401</v>
      </c>
      <c r="AW14">
        <v>37.140126914353502</v>
      </c>
      <c r="AX14">
        <v>65.849024819813494</v>
      </c>
      <c r="AY14">
        <v>54.9731713936931</v>
      </c>
      <c r="AZ14">
        <v>63.703901695385099</v>
      </c>
      <c r="BA14">
        <v>102.168873650322</v>
      </c>
      <c r="BB14">
        <v>64.092455651881195</v>
      </c>
      <c r="BC14">
        <v>36.549929376846798</v>
      </c>
      <c r="BD14">
        <v>23.148118484014201</v>
      </c>
      <c r="BE14">
        <v>33.1083784729054</v>
      </c>
      <c r="BF14">
        <v>55.701124540584303</v>
      </c>
      <c r="BG14">
        <v>32.807820058187197</v>
      </c>
      <c r="BH14">
        <v>46.0744486286616</v>
      </c>
      <c r="BI14">
        <v>64.1275936357315</v>
      </c>
      <c r="BJ14">
        <v>38.883275388907499</v>
      </c>
      <c r="BK14">
        <v>38.883275388907499</v>
      </c>
      <c r="BL14">
        <v>28.247388427691401</v>
      </c>
      <c r="BM14">
        <v>8.8463920591685703</v>
      </c>
      <c r="BN14">
        <v>15.363914888348299</v>
      </c>
      <c r="BO14">
        <v>12.820865730527499</v>
      </c>
      <c r="BP14">
        <v>14.9562001984466</v>
      </c>
      <c r="BQ14">
        <v>24.1646882133718</v>
      </c>
      <c r="BR14">
        <v>15.138232832116501</v>
      </c>
      <c r="BS14">
        <v>8.7302685925828296</v>
      </c>
      <c r="BT14">
        <v>5.4123278916649902</v>
      </c>
      <c r="BU14">
        <v>7.8636628913307698</v>
      </c>
      <c r="BV14">
        <v>13.2100119751561</v>
      </c>
      <c r="BW14">
        <v>7.8034842151104096</v>
      </c>
      <c r="BX14">
        <v>10.958384180381501</v>
      </c>
      <c r="BY14">
        <v>15.1683977583009</v>
      </c>
      <c r="BZ14">
        <v>9.2681501523974994</v>
      </c>
      <c r="CA14">
        <v>9.2681501523974994</v>
      </c>
      <c r="CB14">
        <v>6.4346028112962497</v>
      </c>
      <c r="CC14">
        <v>2.40942976110885</v>
      </c>
      <c r="CD14">
        <v>3.5730718717299501</v>
      </c>
      <c r="CE14">
        <v>2.7953296907372498</v>
      </c>
      <c r="CF14">
        <v>3.3546372191410598</v>
      </c>
      <c r="CG14">
        <v>6.6412176540330901</v>
      </c>
      <c r="CH14">
        <v>3.8380513457149799</v>
      </c>
      <c r="CI14">
        <v>2.4256604458844899</v>
      </c>
      <c r="CJ14">
        <v>1.7260153040886901</v>
      </c>
      <c r="CK14">
        <v>2.2588931538922501</v>
      </c>
      <c r="CL14">
        <v>4.1395501690459398</v>
      </c>
      <c r="CM14">
        <v>2.0193701058720901</v>
      </c>
      <c r="CN14">
        <v>2.9803264579043098</v>
      </c>
      <c r="CO14">
        <v>4.0000004074812097</v>
      </c>
      <c r="CP14">
        <v>2.6857529119999799</v>
      </c>
      <c r="CQ14">
        <v>2.6857529119999799</v>
      </c>
      <c r="CR14" s="1">
        <v>89039100.637591198</v>
      </c>
      <c r="CS14" s="1">
        <v>86840621.443639994</v>
      </c>
      <c r="CT14" s="1">
        <v>81818704.5654286</v>
      </c>
      <c r="CU14" s="1">
        <v>77999913.011616305</v>
      </c>
      <c r="CV14" s="1">
        <v>71904509.758969307</v>
      </c>
      <c r="CW14" s="1">
        <v>67652792.329021096</v>
      </c>
      <c r="CX14" s="1">
        <v>67632645.708204493</v>
      </c>
      <c r="CY14" s="1">
        <v>64947338.073404297</v>
      </c>
      <c r="CZ14" s="1">
        <v>59421053.627662897</v>
      </c>
      <c r="DA14" s="1">
        <v>52976851.519490004</v>
      </c>
      <c r="DB14" s="1">
        <v>49133742.2988282</v>
      </c>
      <c r="DC14" s="1">
        <v>45103924.130142197</v>
      </c>
      <c r="DD14" s="1">
        <v>40270234.4938301</v>
      </c>
      <c r="DE14" s="1">
        <v>37683334.127346203</v>
      </c>
      <c r="DF14" s="1">
        <v>37481468.3990172</v>
      </c>
      <c r="DG14" s="1">
        <v>34460396.681318</v>
      </c>
      <c r="DH14" s="1">
        <v>2993870282.6991801</v>
      </c>
      <c r="DI14" s="1">
        <v>2924077075.0615101</v>
      </c>
      <c r="DJ14" s="1">
        <v>2762733704.6291699</v>
      </c>
      <c r="DK14" s="1">
        <v>2650521882.6065202</v>
      </c>
      <c r="DL14" s="1">
        <v>2455240793.18571</v>
      </c>
      <c r="DM14" s="1">
        <v>2317796584.8078399</v>
      </c>
      <c r="DN14" s="1">
        <v>2317294776.4158201</v>
      </c>
      <c r="DO14" s="1">
        <v>2232751162.6268001</v>
      </c>
      <c r="DP14" s="1">
        <v>2044197010.2753501</v>
      </c>
      <c r="DQ14" s="1">
        <v>1830471808.3394001</v>
      </c>
      <c r="DR14" s="1">
        <v>1698102377.97598</v>
      </c>
      <c r="DS14" s="1">
        <v>1559832760.65539</v>
      </c>
      <c r="DT14" s="1">
        <v>1397313773.6199701</v>
      </c>
      <c r="DU14" s="1">
        <v>1308600925.98208</v>
      </c>
      <c r="DV14" s="1">
        <v>1299037676.35673</v>
      </c>
      <c r="DW14" s="1">
        <v>1198482016.1547999</v>
      </c>
    </row>
    <row r="15" spans="1:127" x14ac:dyDescent="0.25">
      <c r="A15" t="s">
        <v>3705</v>
      </c>
      <c r="B15">
        <v>37.369999999999997</v>
      </c>
      <c r="C15">
        <v>-121.93</v>
      </c>
      <c r="D15">
        <v>2.1</v>
      </c>
      <c r="E15">
        <v>3.2</v>
      </c>
      <c r="F15">
        <v>33.1</v>
      </c>
      <c r="G15">
        <v>18.899999999999999</v>
      </c>
      <c r="H15">
        <v>31.2</v>
      </c>
      <c r="I15">
        <v>18.7</v>
      </c>
      <c r="J15">
        <v>9.8333333333333304</v>
      </c>
      <c r="K15">
        <v>0</v>
      </c>
      <c r="L15">
        <v>5277001388.9403801</v>
      </c>
      <c r="M15">
        <v>1097038492.39731</v>
      </c>
      <c r="N15">
        <v>3908.6552900000002</v>
      </c>
      <c r="O15" s="75">
        <v>6223451269.5298204</v>
      </c>
      <c r="P15">
        <f>7779314086.9123*(0.8/0.96)</f>
        <v>6482761739.0935841</v>
      </c>
      <c r="Q15">
        <v>29308</v>
      </c>
      <c r="R15">
        <v>48338537.024607502</v>
      </c>
      <c r="S15">
        <f>391.306748065184*(0.8/0.96)</f>
        <v>326.08895672098669</v>
      </c>
      <c r="T15">
        <v>2.3008810753677502</v>
      </c>
      <c r="U15">
        <v>0.73127660198531796</v>
      </c>
      <c r="V15">
        <v>1.2737873898229399</v>
      </c>
      <c r="W15">
        <v>1.0425217031882501</v>
      </c>
      <c r="X15">
        <v>1.2355237496301801</v>
      </c>
      <c r="Y15">
        <v>2.0263747981394902</v>
      </c>
      <c r="Z15">
        <v>1.25243674718917</v>
      </c>
      <c r="AA15">
        <v>0.71410018588373003</v>
      </c>
      <c r="AB15">
        <v>0.45547243746534499</v>
      </c>
      <c r="AC15">
        <v>0.66966670253091598</v>
      </c>
      <c r="AD15">
        <v>1.1107737716196699</v>
      </c>
      <c r="AE15">
        <v>0.66681792724687705</v>
      </c>
      <c r="AF15">
        <v>0.90791848730538005</v>
      </c>
      <c r="AG15">
        <v>1.26815396738438</v>
      </c>
      <c r="AH15">
        <v>0.78462878066534503</v>
      </c>
      <c r="AI15">
        <v>0.78462878066534503</v>
      </c>
      <c r="AJ15">
        <v>9.6666666666666607</v>
      </c>
      <c r="AK15">
        <v>6.7499999999999902</v>
      </c>
      <c r="AL15">
        <v>5311188189.8626003</v>
      </c>
      <c r="AM15">
        <v>591593643.12667</v>
      </c>
      <c r="AN15">
        <v>3908.6552900000002</v>
      </c>
      <c r="AO15" s="69">
        <v>5763728225.1888103</v>
      </c>
      <c r="AP15">
        <v>1385147777.4235699</v>
      </c>
      <c r="AQ15">
        <v>3908.6552900000002</v>
      </c>
      <c r="AR15" s="69">
        <v>149102801.00455499</v>
      </c>
      <c r="AS15">
        <v>149102801.00455499</v>
      </c>
      <c r="AT15">
        <v>3279.0628999999999</v>
      </c>
      <c r="AU15">
        <v>367786547.99199498</v>
      </c>
      <c r="AV15">
        <v>69.084473168838201</v>
      </c>
      <c r="AW15">
        <v>21.379239368637599</v>
      </c>
      <c r="AX15">
        <v>38.870339276384101</v>
      </c>
      <c r="AY15">
        <v>31.650218886984401</v>
      </c>
      <c r="AZ15">
        <v>37.250721665050598</v>
      </c>
      <c r="BA15">
        <v>60.198448249516296</v>
      </c>
      <c r="BB15">
        <v>37.321097058346901</v>
      </c>
      <c r="BC15">
        <v>20.9599838506387</v>
      </c>
      <c r="BD15">
        <v>13.5433317071501</v>
      </c>
      <c r="BE15">
        <v>19.884945113095998</v>
      </c>
      <c r="BF15">
        <v>32.474682865392403</v>
      </c>
      <c r="BG15">
        <v>19.652357251340401</v>
      </c>
      <c r="BH15">
        <v>26.458832340219299</v>
      </c>
      <c r="BI15">
        <v>37.518075669525899</v>
      </c>
      <c r="BJ15">
        <v>22.9226163843812</v>
      </c>
      <c r="BK15">
        <v>22.9226163843812</v>
      </c>
      <c r="BL15">
        <v>17.932246841164702</v>
      </c>
      <c r="BM15">
        <v>5.6209503541362098</v>
      </c>
      <c r="BN15">
        <v>10.012148126802201</v>
      </c>
      <c r="BO15">
        <v>8.1849075565286906</v>
      </c>
      <c r="BP15">
        <v>9.6606531502205897</v>
      </c>
      <c r="BQ15">
        <v>15.6492354210753</v>
      </c>
      <c r="BR15">
        <v>9.7091925160899208</v>
      </c>
      <c r="BS15">
        <v>5.4857280217533599</v>
      </c>
      <c r="BT15">
        <v>3.5197351739539702</v>
      </c>
      <c r="BU15">
        <v>5.1586824179978299</v>
      </c>
      <c r="BV15">
        <v>8.5085758742709192</v>
      </c>
      <c r="BW15">
        <v>5.1438261517639896</v>
      </c>
      <c r="BX15">
        <v>6.9677520164546802</v>
      </c>
      <c r="BY15">
        <v>9.7956226969273992</v>
      </c>
      <c r="BZ15">
        <v>6.0121674919146297</v>
      </c>
      <c r="CA15">
        <v>6.0121674919146297</v>
      </c>
      <c r="CB15">
        <v>6.1373546136294799</v>
      </c>
      <c r="CC15">
        <v>2.2478236362590298</v>
      </c>
      <c r="CD15">
        <v>3.4413069611167901</v>
      </c>
      <c r="CE15">
        <v>2.6794905277676002</v>
      </c>
      <c r="CF15">
        <v>3.13097691680098</v>
      </c>
      <c r="CG15">
        <v>6.3734594086358296</v>
      </c>
      <c r="CH15">
        <v>3.6792598478796101</v>
      </c>
      <c r="CI15">
        <v>2.2291019986438401</v>
      </c>
      <c r="CJ15">
        <v>1.62280202166235</v>
      </c>
      <c r="CK15">
        <v>2.14708269024751</v>
      </c>
      <c r="CL15">
        <v>3.8171944011578498</v>
      </c>
      <c r="CM15">
        <v>1.9698608162992499</v>
      </c>
      <c r="CN15">
        <v>2.7464547171339802</v>
      </c>
      <c r="CO15">
        <v>3.85500207813035</v>
      </c>
      <c r="CP15">
        <v>2.50436928040499</v>
      </c>
      <c r="CQ15">
        <v>2.50436928040499</v>
      </c>
      <c r="CR15" s="1">
        <v>45989992.244248502</v>
      </c>
      <c r="CS15" s="1">
        <v>45225087.293591402</v>
      </c>
      <c r="CT15" s="1">
        <v>42332569.818376802</v>
      </c>
      <c r="CU15" s="1">
        <v>40896626.1298296</v>
      </c>
      <c r="CV15" s="1">
        <v>37678504.319216602</v>
      </c>
      <c r="CW15" s="1">
        <v>35584377.783086099</v>
      </c>
      <c r="CX15" s="1">
        <v>35813617.147480801</v>
      </c>
      <c r="CY15" s="1">
        <v>34287297.976679303</v>
      </c>
      <c r="CZ15" s="1">
        <v>31333101.805723399</v>
      </c>
      <c r="DA15" s="1">
        <v>27924034.113578599</v>
      </c>
      <c r="DB15" s="1">
        <v>25876104.819816299</v>
      </c>
      <c r="DC15" s="1">
        <v>23658356.736393798</v>
      </c>
      <c r="DD15" s="1">
        <v>20958759.945526902</v>
      </c>
      <c r="DE15" s="1">
        <v>19579337.3011318</v>
      </c>
      <c r="DF15" s="1">
        <v>19385434.410753701</v>
      </c>
      <c r="DG15" s="1">
        <v>17568802.6512799</v>
      </c>
      <c r="DH15" s="1">
        <v>1836730576.3568101</v>
      </c>
      <c r="DI15" s="1">
        <v>1810913361.97803</v>
      </c>
      <c r="DJ15" s="1">
        <v>1694422929.4131801</v>
      </c>
      <c r="DK15" s="1">
        <v>1648257003.7786701</v>
      </c>
      <c r="DL15" s="1">
        <v>1525314167.3740101</v>
      </c>
      <c r="DM15" s="1">
        <v>1439975382.50318</v>
      </c>
      <c r="DN15" s="1">
        <v>1452931141.08617</v>
      </c>
      <c r="DO15" s="1">
        <v>1392164770.6507699</v>
      </c>
      <c r="DP15" s="1">
        <v>1271428775.0955999</v>
      </c>
      <c r="DQ15" s="1">
        <v>1136105891.89835</v>
      </c>
      <c r="DR15" s="1">
        <v>1052347977.00954</v>
      </c>
      <c r="DS15" s="1">
        <v>961095239.42521906</v>
      </c>
      <c r="DT15" s="1">
        <v>848359737.59253395</v>
      </c>
      <c r="DU15" s="1">
        <v>792034671.17469597</v>
      </c>
      <c r="DV15" s="1">
        <v>784337660.47414804</v>
      </c>
      <c r="DW15" s="1">
        <v>709691342.98786294</v>
      </c>
    </row>
    <row r="16" spans="1:127" x14ac:dyDescent="0.25">
      <c r="A16" t="s">
        <v>45</v>
      </c>
      <c r="B16">
        <v>37.43</v>
      </c>
      <c r="C16">
        <v>-105.87</v>
      </c>
      <c r="D16">
        <v>-26.3</v>
      </c>
      <c r="E16">
        <v>-23.1</v>
      </c>
      <c r="F16">
        <v>29.7</v>
      </c>
      <c r="G16">
        <v>13</v>
      </c>
      <c r="H16">
        <v>28.4</v>
      </c>
      <c r="I16">
        <v>12.7</v>
      </c>
      <c r="J16">
        <v>0</v>
      </c>
      <c r="K16">
        <v>0</v>
      </c>
      <c r="L16">
        <v>1983174252.19979</v>
      </c>
      <c r="M16">
        <v>448564425.23872</v>
      </c>
      <c r="N16">
        <v>5891.3159900000001</v>
      </c>
      <c r="O16" s="75">
        <v>58965576479.5933</v>
      </c>
      <c r="P16">
        <f>73706970599.4917*(0.8/0.96)</f>
        <v>61422475499.576416</v>
      </c>
      <c r="Q16">
        <v>29308</v>
      </c>
      <c r="R16">
        <v>759717551.50727701</v>
      </c>
      <c r="S16">
        <f>3707.52930821322*(0.8/0.96)</f>
        <v>3089.6077568443498</v>
      </c>
      <c r="T16">
        <v>158.626763693204</v>
      </c>
      <c r="U16">
        <v>97.544597465549998</v>
      </c>
      <c r="V16">
        <v>129.511060566341</v>
      </c>
      <c r="W16">
        <v>104.550562494536</v>
      </c>
      <c r="X16">
        <v>31.768691616455101</v>
      </c>
      <c r="Y16">
        <v>66.422628947386102</v>
      </c>
      <c r="Z16">
        <v>29.774510110873099</v>
      </c>
      <c r="AA16">
        <v>31.3992741654674</v>
      </c>
      <c r="AB16">
        <v>88.742799627285606</v>
      </c>
      <c r="AC16">
        <v>126.28378917804299</v>
      </c>
      <c r="AD16">
        <v>44.226163434846598</v>
      </c>
      <c r="AE16">
        <v>97.539653028638199</v>
      </c>
      <c r="AF16">
        <v>21.514503612762802</v>
      </c>
      <c r="AG16">
        <v>29.7220707870779</v>
      </c>
      <c r="AH16">
        <v>113.399913006963</v>
      </c>
      <c r="AI16">
        <v>113.399913006963</v>
      </c>
      <c r="AJ16">
        <v>0</v>
      </c>
      <c r="AK16">
        <v>23.9166666666666</v>
      </c>
      <c r="AL16">
        <v>1988804721.4442201</v>
      </c>
      <c r="AM16">
        <v>229577358.84518</v>
      </c>
      <c r="AN16">
        <v>5891.3159900000001</v>
      </c>
      <c r="AO16" s="69">
        <v>42923495400.841797</v>
      </c>
      <c r="AP16">
        <v>17531955286.6119</v>
      </c>
      <c r="AQ16">
        <v>5891.3159900000001</v>
      </c>
      <c r="AR16" s="69">
        <v>13141394666.523399</v>
      </c>
      <c r="AS16">
        <v>13141394666.523399</v>
      </c>
      <c r="AT16">
        <v>9771.7191000000003</v>
      </c>
      <c r="AU16">
        <v>3789211532.6004701</v>
      </c>
      <c r="AV16">
        <v>3637.4012500932799</v>
      </c>
      <c r="AW16">
        <v>2268.0718293678001</v>
      </c>
      <c r="AX16">
        <v>2986.2099202648501</v>
      </c>
      <c r="AY16">
        <v>2405.9799803019901</v>
      </c>
      <c r="AZ16">
        <v>747.09477602018603</v>
      </c>
      <c r="BA16">
        <v>1527.8574343416501</v>
      </c>
      <c r="BB16">
        <v>695.63135587962404</v>
      </c>
      <c r="BC16">
        <v>740.85481728095601</v>
      </c>
      <c r="BD16">
        <v>2032.66301540002</v>
      </c>
      <c r="BE16">
        <v>2899.3478271773001</v>
      </c>
      <c r="BF16">
        <v>1035.53324234808</v>
      </c>
      <c r="BG16">
        <v>2252.2057588919301</v>
      </c>
      <c r="BH16">
        <v>502.50310216799397</v>
      </c>
      <c r="BI16">
        <v>701.41895590217996</v>
      </c>
      <c r="BJ16">
        <v>2612.43078859563</v>
      </c>
      <c r="BK16">
        <v>2612.43078859563</v>
      </c>
      <c r="BL16">
        <v>790.91766128766801</v>
      </c>
      <c r="BM16">
        <v>486.328118521134</v>
      </c>
      <c r="BN16">
        <v>645.47871466183506</v>
      </c>
      <c r="BO16">
        <v>520.36404672421304</v>
      </c>
      <c r="BP16">
        <v>158.79372502795499</v>
      </c>
      <c r="BQ16">
        <v>331.50642614630499</v>
      </c>
      <c r="BR16">
        <v>149.24197913399499</v>
      </c>
      <c r="BS16">
        <v>157.500067054158</v>
      </c>
      <c r="BT16">
        <v>443.36203228929099</v>
      </c>
      <c r="BU16">
        <v>630.17341989831903</v>
      </c>
      <c r="BV16">
        <v>220.95766930868999</v>
      </c>
      <c r="BW16">
        <v>486.62143296028398</v>
      </c>
      <c r="BX16">
        <v>107.848968411591</v>
      </c>
      <c r="BY16">
        <v>149.03933509893099</v>
      </c>
      <c r="BZ16">
        <v>566.23734984184898</v>
      </c>
      <c r="CA16">
        <v>566.23734984184898</v>
      </c>
      <c r="CB16">
        <v>2862.40651295723</v>
      </c>
      <c r="CC16">
        <v>1683.0400974111701</v>
      </c>
      <c r="CD16">
        <v>2390.4543996576399</v>
      </c>
      <c r="CE16">
        <v>2181.4115342852601</v>
      </c>
      <c r="CF16">
        <v>550.18754567201495</v>
      </c>
      <c r="CG16">
        <v>1353.61061986657</v>
      </c>
      <c r="CH16">
        <v>558.60657683747195</v>
      </c>
      <c r="CI16">
        <v>529.13159768687103</v>
      </c>
      <c r="CJ16">
        <v>1771.1697159713699</v>
      </c>
      <c r="CK16">
        <v>2416.5908545450102</v>
      </c>
      <c r="CL16">
        <v>737.91489727248404</v>
      </c>
      <c r="CM16">
        <v>1919.7735394824899</v>
      </c>
      <c r="CN16">
        <v>411.06172527374702</v>
      </c>
      <c r="CO16">
        <v>507.978591766622</v>
      </c>
      <c r="CP16">
        <v>2232.32625242219</v>
      </c>
      <c r="CQ16">
        <v>2232.32625242219</v>
      </c>
      <c r="CR16" s="1">
        <v>430095144.74356002</v>
      </c>
      <c r="CS16" s="1">
        <v>235672332.847462</v>
      </c>
      <c r="CT16" s="1">
        <v>160354052.81604499</v>
      </c>
      <c r="CU16" s="1">
        <v>124529409.637987</v>
      </c>
      <c r="CV16" s="1">
        <v>88378746.187107995</v>
      </c>
      <c r="CW16" s="1">
        <v>53879096.912973799</v>
      </c>
      <c r="CX16" s="1">
        <v>54268808.143927902</v>
      </c>
      <c r="CY16" s="1">
        <v>24591042.910618201</v>
      </c>
      <c r="CZ16" s="1">
        <v>18154505.758378599</v>
      </c>
      <c r="DA16" s="1">
        <v>17569115.060078599</v>
      </c>
      <c r="DB16" s="1">
        <v>22145910.122744501</v>
      </c>
      <c r="DC16" s="1">
        <v>21704502.509606201</v>
      </c>
      <c r="DD16" s="1">
        <v>34341336.166929998</v>
      </c>
      <c r="DE16" s="1">
        <v>23431565.443400402</v>
      </c>
      <c r="DF16" s="1">
        <v>11625099.6767928</v>
      </c>
      <c r="DG16" s="1">
        <v>18324528.086135399</v>
      </c>
      <c r="DH16" s="1">
        <v>19650213119.919701</v>
      </c>
      <c r="DI16" s="1">
        <v>10543507575.452</v>
      </c>
      <c r="DJ16" s="1">
        <v>7295898910.3384399</v>
      </c>
      <c r="DK16" s="1">
        <v>5828695950.2663898</v>
      </c>
      <c r="DL16" s="1">
        <v>4278550076.3835101</v>
      </c>
      <c r="DM16" s="1">
        <v>2562894245.2287002</v>
      </c>
      <c r="DN16" s="1">
        <v>2604350569.2908502</v>
      </c>
      <c r="DO16" s="1">
        <v>1172194291.3357699</v>
      </c>
      <c r="DP16" s="1">
        <v>875480949.53748596</v>
      </c>
      <c r="DQ16" s="1">
        <v>860132064.49475098</v>
      </c>
      <c r="DR16" s="1">
        <v>1043694791.81517</v>
      </c>
      <c r="DS16" s="1">
        <v>1039239520.09949</v>
      </c>
      <c r="DT16" s="1">
        <v>1628449127.9535401</v>
      </c>
      <c r="DU16" s="1">
        <v>1119792603.15871</v>
      </c>
      <c r="DV16" s="1">
        <v>559102689.55776894</v>
      </c>
      <c r="DW16" s="1">
        <v>892194728.03582895</v>
      </c>
    </row>
    <row r="17" spans="1:127" x14ac:dyDescent="0.25">
      <c r="A17" t="s">
        <v>46</v>
      </c>
      <c r="B17">
        <v>39.22</v>
      </c>
      <c r="C17">
        <v>-106.87</v>
      </c>
      <c r="D17">
        <v>-20.100000000000001</v>
      </c>
      <c r="E17">
        <v>-17.5</v>
      </c>
      <c r="F17">
        <v>28.8</v>
      </c>
      <c r="G17">
        <v>12.6</v>
      </c>
      <c r="H17">
        <v>27.6</v>
      </c>
      <c r="I17">
        <v>12</v>
      </c>
      <c r="J17">
        <v>0</v>
      </c>
      <c r="K17">
        <v>0</v>
      </c>
      <c r="L17">
        <v>1093825747.4291999</v>
      </c>
      <c r="M17">
        <v>253816767.44247901</v>
      </c>
      <c r="N17">
        <v>4809.3618100000003</v>
      </c>
      <c r="O17" s="75">
        <v>48490688304.900803</v>
      </c>
      <c r="P17">
        <f>60613360381.1257*(0.8/0.96)</f>
        <v>50511133650.938087</v>
      </c>
      <c r="Q17">
        <v>29308</v>
      </c>
      <c r="R17">
        <v>510019866.69455498</v>
      </c>
      <c r="S17">
        <f>3048.90851237702*(0.8/0.96)</f>
        <v>2540.7570936475167</v>
      </c>
      <c r="T17">
        <v>105.727849862662</v>
      </c>
      <c r="U17">
        <v>65.653433576230498</v>
      </c>
      <c r="V17">
        <v>85.614484936979196</v>
      </c>
      <c r="W17">
        <v>67.610986320469195</v>
      </c>
      <c r="X17">
        <v>21.553957642836</v>
      </c>
      <c r="Y17">
        <v>43.255120691018</v>
      </c>
      <c r="Z17">
        <v>19.455194832393701</v>
      </c>
      <c r="AA17">
        <v>21.310383603673099</v>
      </c>
      <c r="AB17">
        <v>57.346853482005002</v>
      </c>
      <c r="AC17">
        <v>82.686950868467605</v>
      </c>
      <c r="AD17">
        <v>30.295374046100701</v>
      </c>
      <c r="AE17">
        <v>63.349770577590299</v>
      </c>
      <c r="AF17">
        <v>13.9805734765617</v>
      </c>
      <c r="AG17">
        <v>19.944045140424301</v>
      </c>
      <c r="AH17">
        <v>73.080882203427294</v>
      </c>
      <c r="AI17">
        <v>73.080882203427294</v>
      </c>
      <c r="AJ17">
        <v>0</v>
      </c>
      <c r="AK17">
        <v>27.9166666666666</v>
      </c>
      <c r="AL17">
        <v>1093496429.4191799</v>
      </c>
      <c r="AM17">
        <v>139869220.20043001</v>
      </c>
      <c r="AN17">
        <v>4809.3618100000003</v>
      </c>
      <c r="AO17" s="69">
        <v>39958326800.825203</v>
      </c>
      <c r="AP17">
        <v>15550744886.377501</v>
      </c>
      <c r="AQ17">
        <v>4809.3618100000003</v>
      </c>
      <c r="AR17" s="69">
        <v>6050377939.7766199</v>
      </c>
      <c r="AS17">
        <v>6050377939.7766199</v>
      </c>
      <c r="AT17">
        <v>7830.42821</v>
      </c>
      <c r="AU17">
        <v>3134679724.2605</v>
      </c>
      <c r="AV17">
        <v>3234.5216556652899</v>
      </c>
      <c r="AW17">
        <v>2004.2933177956099</v>
      </c>
      <c r="AX17">
        <v>2636.4444254604</v>
      </c>
      <c r="AY17">
        <v>2103.60417640888</v>
      </c>
      <c r="AZ17">
        <v>662.555469815121</v>
      </c>
      <c r="BA17">
        <v>1337.1080257194001</v>
      </c>
      <c r="BB17">
        <v>600.6377563922</v>
      </c>
      <c r="BC17">
        <v>654.40768162306097</v>
      </c>
      <c r="BD17">
        <v>1776.05444090063</v>
      </c>
      <c r="BE17">
        <v>2549.0101203259101</v>
      </c>
      <c r="BF17">
        <v>927.70660937018602</v>
      </c>
      <c r="BG17">
        <v>1968.05123763248</v>
      </c>
      <c r="BH17">
        <v>432.714956212115</v>
      </c>
      <c r="BI17">
        <v>611.99446525855205</v>
      </c>
      <c r="BJ17">
        <v>2268.4583984096198</v>
      </c>
      <c r="BK17">
        <v>2268.4583984096198</v>
      </c>
      <c r="BL17">
        <v>649.93046221271095</v>
      </c>
      <c r="BM17">
        <v>403.54196495819201</v>
      </c>
      <c r="BN17">
        <v>526.70959399937601</v>
      </c>
      <c r="BO17">
        <v>413.80116142692901</v>
      </c>
      <c r="BP17">
        <v>132.37678075043101</v>
      </c>
      <c r="BQ17">
        <v>264.77938580237998</v>
      </c>
      <c r="BR17">
        <v>119.13968399895199</v>
      </c>
      <c r="BS17">
        <v>130.686047694884</v>
      </c>
      <c r="BT17">
        <v>352.18823043017602</v>
      </c>
      <c r="BU17">
        <v>507.414426387731</v>
      </c>
      <c r="BV17">
        <v>185.99171111793899</v>
      </c>
      <c r="BW17">
        <v>388.54868020969201</v>
      </c>
      <c r="BX17">
        <v>85.452089081729497</v>
      </c>
      <c r="BY17">
        <v>121.89287561899</v>
      </c>
      <c r="BZ17">
        <v>447.71189894959298</v>
      </c>
      <c r="CA17">
        <v>447.71189894959298</v>
      </c>
      <c r="CB17">
        <v>1257.0606882832701</v>
      </c>
      <c r="CC17">
        <v>786.54496831611903</v>
      </c>
      <c r="CD17">
        <v>1024.20580613947</v>
      </c>
      <c r="CE17">
        <v>932.25325529204201</v>
      </c>
      <c r="CF17">
        <v>251.088873677706</v>
      </c>
      <c r="CG17">
        <v>591.77491994206298</v>
      </c>
      <c r="CH17">
        <v>256.78501440968398</v>
      </c>
      <c r="CI17">
        <v>260.68157309731203</v>
      </c>
      <c r="CJ17">
        <v>746.86447315253304</v>
      </c>
      <c r="CK17">
        <v>1068.29236521286</v>
      </c>
      <c r="CL17">
        <v>352.665462646869</v>
      </c>
      <c r="CM17">
        <v>810.97095806022298</v>
      </c>
      <c r="CN17">
        <v>188.39802950588299</v>
      </c>
      <c r="CO17">
        <v>253.666834386391</v>
      </c>
      <c r="CP17">
        <v>971.20217358785499</v>
      </c>
      <c r="CQ17">
        <v>971.20217358785499</v>
      </c>
      <c r="CR17" s="1">
        <v>286610498.04800802</v>
      </c>
      <c r="CS17" s="1">
        <v>159764227.38812101</v>
      </c>
      <c r="CT17" s="1">
        <v>108222558.26981901</v>
      </c>
      <c r="CU17" s="1">
        <v>83352066.650414601</v>
      </c>
      <c r="CV17" s="1">
        <v>58626256.468992501</v>
      </c>
      <c r="CW17" s="1">
        <v>37351609.973543599</v>
      </c>
      <c r="CX17" s="1">
        <v>36277718.2841786</v>
      </c>
      <c r="CY17" s="1">
        <v>16884343.46125</v>
      </c>
      <c r="CZ17" s="1">
        <v>13387812.3867271</v>
      </c>
      <c r="DA17" s="1">
        <v>12008187.927211</v>
      </c>
      <c r="DB17" s="1">
        <v>17027721.050668199</v>
      </c>
      <c r="DC17" s="1">
        <v>15513911.631502301</v>
      </c>
      <c r="DD17" s="1">
        <v>24253134.174084101</v>
      </c>
      <c r="DE17" s="1">
        <v>16936849.191253599</v>
      </c>
      <c r="DF17" s="1">
        <v>9128586.1297593806</v>
      </c>
      <c r="DG17" s="1">
        <v>13741876.1640474</v>
      </c>
      <c r="DH17" s="1">
        <v>13882353505.1999</v>
      </c>
      <c r="DI17" s="1">
        <v>7786772702.8611298</v>
      </c>
      <c r="DJ17" s="1">
        <v>5277097103.1867599</v>
      </c>
      <c r="DK17" s="1">
        <v>4185679481.2751999</v>
      </c>
      <c r="DL17" s="1">
        <v>3013299214.4891701</v>
      </c>
      <c r="DM17" s="1">
        <v>1999376124.5111001</v>
      </c>
      <c r="DN17" s="1">
        <v>1947160222.92977</v>
      </c>
      <c r="DO17" s="1">
        <v>878680230.83343697</v>
      </c>
      <c r="DP17" s="1">
        <v>737649172.18481803</v>
      </c>
      <c r="DQ17" s="1">
        <v>643745704.64395905</v>
      </c>
      <c r="DR17" s="1">
        <v>924965801.98836303</v>
      </c>
      <c r="DS17" s="1">
        <v>812750474.549631</v>
      </c>
      <c r="DT17" s="1">
        <v>1236200330.7281201</v>
      </c>
      <c r="DU17" s="1">
        <v>916972559.89516604</v>
      </c>
      <c r="DV17" s="1">
        <v>497273341.04911602</v>
      </c>
      <c r="DW17" s="1">
        <v>726202189.013309</v>
      </c>
    </row>
    <row r="18" spans="1:127" x14ac:dyDescent="0.25">
      <c r="A18" t="s">
        <v>44</v>
      </c>
      <c r="B18">
        <v>39.83</v>
      </c>
      <c r="C18">
        <v>-104.65</v>
      </c>
      <c r="D18">
        <v>-17.5</v>
      </c>
      <c r="E18">
        <v>-14.1</v>
      </c>
      <c r="F18">
        <v>34.6</v>
      </c>
      <c r="G18">
        <v>15.5</v>
      </c>
      <c r="H18">
        <v>33.200000000000003</v>
      </c>
      <c r="I18">
        <v>15.5</v>
      </c>
      <c r="J18">
        <v>40.9166666666667</v>
      </c>
      <c r="K18">
        <v>0</v>
      </c>
      <c r="L18">
        <v>10166913553.0343</v>
      </c>
      <c r="M18">
        <v>2448522275.4565101</v>
      </c>
      <c r="N18">
        <v>4660.4536799999996</v>
      </c>
      <c r="O18" s="75">
        <v>35291733190.253098</v>
      </c>
      <c r="P18">
        <f>44114666487.8163*(0.8/0.96)</f>
        <v>36762222073.180252</v>
      </c>
      <c r="Q18">
        <v>29308</v>
      </c>
      <c r="R18">
        <v>359701688.88001299</v>
      </c>
      <c r="S18">
        <f>2219.00883451528*(0.8/0.96)</f>
        <v>1849.1740287627333</v>
      </c>
      <c r="T18">
        <v>74.379257372244894</v>
      </c>
      <c r="U18">
        <v>46.293640435596501</v>
      </c>
      <c r="V18">
        <v>60.687348719945</v>
      </c>
      <c r="W18">
        <v>48.7345097240093</v>
      </c>
      <c r="X18">
        <v>15.2409566149115</v>
      </c>
      <c r="Y18">
        <v>31.076238699836601</v>
      </c>
      <c r="Z18">
        <v>13.991785819525299</v>
      </c>
      <c r="AA18">
        <v>14.927907313689801</v>
      </c>
      <c r="AB18">
        <v>41.133593681374698</v>
      </c>
      <c r="AC18">
        <v>59.084724538158298</v>
      </c>
      <c r="AD18">
        <v>21.2323448687354</v>
      </c>
      <c r="AE18">
        <v>45.304679283403203</v>
      </c>
      <c r="AF18">
        <v>10.0078192824762</v>
      </c>
      <c r="AG18">
        <v>14.112954282886401</v>
      </c>
      <c r="AH18">
        <v>52.7921009645924</v>
      </c>
      <c r="AI18">
        <v>52.7921009645924</v>
      </c>
      <c r="AJ18">
        <v>40.8333333333334</v>
      </c>
      <c r="AK18">
        <v>18.5</v>
      </c>
      <c r="AL18">
        <v>10177077634.5168</v>
      </c>
      <c r="AM18">
        <v>1665009482.58675</v>
      </c>
      <c r="AN18">
        <v>4660.4536799999996</v>
      </c>
      <c r="AO18" s="69">
        <v>30820785335.9772</v>
      </c>
      <c r="AP18">
        <v>10650726539.453501</v>
      </c>
      <c r="AQ18">
        <v>4660.4536799999996</v>
      </c>
      <c r="AR18" s="69">
        <v>2685577108.5588598</v>
      </c>
      <c r="AS18">
        <v>2685577108.5588598</v>
      </c>
      <c r="AT18">
        <v>7839.4781400000002</v>
      </c>
      <c r="AU18">
        <v>2286085807.5211301</v>
      </c>
      <c r="AV18">
        <v>2209.91341940959</v>
      </c>
      <c r="AW18">
        <v>1379.62895351161</v>
      </c>
      <c r="AX18">
        <v>1818.9765291597801</v>
      </c>
      <c r="AY18">
        <v>1486.1099982604701</v>
      </c>
      <c r="AZ18">
        <v>455.81526728750902</v>
      </c>
      <c r="BA18">
        <v>940.55339923396298</v>
      </c>
      <c r="BB18">
        <v>419.89928468079103</v>
      </c>
      <c r="BC18">
        <v>445.13112188720902</v>
      </c>
      <c r="BD18">
        <v>1236.05560143668</v>
      </c>
      <c r="BE18">
        <v>1765.6237655043501</v>
      </c>
      <c r="BF18">
        <v>631.81275707668999</v>
      </c>
      <c r="BG18">
        <v>1365.4530195893601</v>
      </c>
      <c r="BH18">
        <v>298.87136931559502</v>
      </c>
      <c r="BI18">
        <v>418.20431119731899</v>
      </c>
      <c r="BJ18">
        <v>1581.4319232308001</v>
      </c>
      <c r="BK18">
        <v>1581.4319232308001</v>
      </c>
      <c r="BL18">
        <v>472.570543409832</v>
      </c>
      <c r="BM18">
        <v>294.138101892691</v>
      </c>
      <c r="BN18">
        <v>385.23546273510902</v>
      </c>
      <c r="BO18">
        <v>308.21753848114901</v>
      </c>
      <c r="BP18">
        <v>96.892074746001796</v>
      </c>
      <c r="BQ18">
        <v>196.825748328815</v>
      </c>
      <c r="BR18">
        <v>88.768153666773998</v>
      </c>
      <c r="BS18">
        <v>94.955407865892397</v>
      </c>
      <c r="BT18">
        <v>260.67319201611201</v>
      </c>
      <c r="BU18">
        <v>374.73927804698502</v>
      </c>
      <c r="BV18">
        <v>134.99336629902299</v>
      </c>
      <c r="BW18">
        <v>287.12075575153</v>
      </c>
      <c r="BX18">
        <v>63.520709889830499</v>
      </c>
      <c r="BY18">
        <v>89.690906924694801</v>
      </c>
      <c r="BZ18">
        <v>334.52330505792202</v>
      </c>
      <c r="CA18">
        <v>334.52330505792202</v>
      </c>
      <c r="CB18">
        <v>549.64671137188998</v>
      </c>
      <c r="CC18">
        <v>340.86514911364799</v>
      </c>
      <c r="CD18">
        <v>443.45923183985599</v>
      </c>
      <c r="CE18">
        <v>399.84619911886699</v>
      </c>
      <c r="CF18">
        <v>112.296259086493</v>
      </c>
      <c r="CG18">
        <v>256.56876154390102</v>
      </c>
      <c r="CH18">
        <v>109.571686010462</v>
      </c>
      <c r="CI18">
        <v>111.893441587526</v>
      </c>
      <c r="CJ18">
        <v>323.47374793159202</v>
      </c>
      <c r="CK18">
        <v>463.49228400887398</v>
      </c>
      <c r="CL18">
        <v>156.73880715651899</v>
      </c>
      <c r="CM18">
        <v>354.78174403079203</v>
      </c>
      <c r="CN18">
        <v>82.140578800455302</v>
      </c>
      <c r="CO18">
        <v>110.213443500916</v>
      </c>
      <c r="CP18">
        <v>419.63589043519801</v>
      </c>
      <c r="CQ18">
        <v>419.63589043519801</v>
      </c>
      <c r="CR18" s="1">
        <v>204385094.94891599</v>
      </c>
      <c r="CS18" s="1">
        <v>117164956.860283</v>
      </c>
      <c r="CT18" s="1">
        <v>77378187.489875406</v>
      </c>
      <c r="CU18" s="1">
        <v>61381957.381356597</v>
      </c>
      <c r="CV18" s="1">
        <v>42263752.046833798</v>
      </c>
      <c r="CW18" s="1">
        <v>26768200.327680301</v>
      </c>
      <c r="CX18" s="1">
        <v>25120984.197260901</v>
      </c>
      <c r="CY18" s="1">
        <v>11955627.902767301</v>
      </c>
      <c r="CZ18" s="1">
        <v>8901773.3415269498</v>
      </c>
      <c r="DA18" s="1">
        <v>8926467.2318111192</v>
      </c>
      <c r="DB18" s="1">
        <v>12742620.9329424</v>
      </c>
      <c r="DC18" s="1">
        <v>11130016.663700599</v>
      </c>
      <c r="DD18" s="1">
        <v>17029102.0453129</v>
      </c>
      <c r="DE18" s="1">
        <v>11961985.621525601</v>
      </c>
      <c r="DF18" s="1">
        <v>6279859.9719067803</v>
      </c>
      <c r="DG18" s="1">
        <v>10026804.0129415</v>
      </c>
      <c r="DH18" s="1">
        <v>8846669425.8847103</v>
      </c>
      <c r="DI18" s="1">
        <v>5145486128.4557104</v>
      </c>
      <c r="DJ18" s="1">
        <v>3369420135.6331501</v>
      </c>
      <c r="DK18" s="1">
        <v>2735489005.3692598</v>
      </c>
      <c r="DL18" s="1">
        <v>1888157519.00316</v>
      </c>
      <c r="DM18" s="1">
        <v>1244165880.8294101</v>
      </c>
      <c r="DN18" s="1">
        <v>1136305887.8963799</v>
      </c>
      <c r="DO18" s="1">
        <v>551437926.465518</v>
      </c>
      <c r="DP18" s="1">
        <v>414076286.84731102</v>
      </c>
      <c r="DQ18" s="1">
        <v>417791104.59948701</v>
      </c>
      <c r="DR18" s="1">
        <v>595618078.420874</v>
      </c>
      <c r="DS18" s="1">
        <v>497745724.69127101</v>
      </c>
      <c r="DT18" s="1">
        <v>745552870.98371696</v>
      </c>
      <c r="DU18" s="1">
        <v>535166001.562545</v>
      </c>
      <c r="DV18" s="1">
        <v>278093990.72178203</v>
      </c>
      <c r="DW18" s="1">
        <v>450137135.19078201</v>
      </c>
    </row>
    <row r="19" spans="1:127" x14ac:dyDescent="0.25">
      <c r="A19" t="s">
        <v>43</v>
      </c>
      <c r="B19">
        <v>37.270000000000003</v>
      </c>
      <c r="C19">
        <v>-104.33</v>
      </c>
      <c r="D19">
        <v>-16.100000000000001</v>
      </c>
      <c r="E19">
        <v>-12.7</v>
      </c>
      <c r="F19">
        <v>33.9</v>
      </c>
      <c r="G19">
        <v>15.4</v>
      </c>
      <c r="H19">
        <v>32.6</v>
      </c>
      <c r="I19">
        <v>15.3</v>
      </c>
      <c r="J19">
        <v>16.5</v>
      </c>
      <c r="K19">
        <v>0</v>
      </c>
      <c r="L19">
        <v>8702369666.06036</v>
      </c>
      <c r="M19">
        <v>2026166895.3292999</v>
      </c>
      <c r="N19">
        <v>4535.1127100000003</v>
      </c>
      <c r="O19" s="75">
        <v>30935133993.9091</v>
      </c>
      <c r="P19">
        <f>38668917492.3864*(0.8/0.96)</f>
        <v>32224097910.321999</v>
      </c>
      <c r="Q19">
        <v>29308</v>
      </c>
      <c r="R19">
        <v>306818385.33248198</v>
      </c>
      <c r="S19">
        <f>1945.08258518618*(0.8/0.96)</f>
        <v>1620.9021543218169</v>
      </c>
      <c r="T19">
        <v>63.935565766373401</v>
      </c>
      <c r="U19">
        <v>39.706203850502199</v>
      </c>
      <c r="V19">
        <v>52.730080176852098</v>
      </c>
      <c r="W19">
        <v>43.008355199160299</v>
      </c>
      <c r="X19">
        <v>12.915820881641199</v>
      </c>
      <c r="Y19">
        <v>27.374022650858699</v>
      </c>
      <c r="Z19">
        <v>12.337784353095101</v>
      </c>
      <c r="AA19">
        <v>12.5302655414526</v>
      </c>
      <c r="AB19">
        <v>36.0324926787302</v>
      </c>
      <c r="AC19">
        <v>51.411518771881397</v>
      </c>
      <c r="AD19">
        <v>18.023885678617699</v>
      </c>
      <c r="AE19">
        <v>39.756524804933399</v>
      </c>
      <c r="AF19">
        <v>8.6206438833532193</v>
      </c>
      <c r="AG19">
        <v>12.021788267405</v>
      </c>
      <c r="AH19">
        <v>46.043114842826299</v>
      </c>
      <c r="AI19">
        <v>46.043114842826299</v>
      </c>
      <c r="AJ19">
        <v>16.3333333333333</v>
      </c>
      <c r="AK19">
        <v>20</v>
      </c>
      <c r="AL19">
        <v>8715384405.5002098</v>
      </c>
      <c r="AM19">
        <v>1283326394.4635701</v>
      </c>
      <c r="AN19">
        <v>4535.1127100000003</v>
      </c>
      <c r="AO19" s="69">
        <v>25792009242.5905</v>
      </c>
      <c r="AP19">
        <v>9065332132.8721504</v>
      </c>
      <c r="AQ19">
        <v>4535.1127100000003</v>
      </c>
      <c r="AR19" s="69">
        <v>3635591660.6588202</v>
      </c>
      <c r="AS19">
        <v>3635591660.6588202</v>
      </c>
      <c r="AT19">
        <v>7407.6753500000004</v>
      </c>
      <c r="AU19">
        <v>1946520192.1683199</v>
      </c>
      <c r="AV19">
        <v>1890.3523028995701</v>
      </c>
      <c r="AW19">
        <v>1181.7139086401401</v>
      </c>
      <c r="AX19">
        <v>1579.3374364879201</v>
      </c>
      <c r="AY19">
        <v>1300.3015262553999</v>
      </c>
      <c r="AZ19">
        <v>386.38410107001198</v>
      </c>
      <c r="BA19">
        <v>818.281525296479</v>
      </c>
      <c r="BB19">
        <v>364.40120014635301</v>
      </c>
      <c r="BC19">
        <v>371.44580690222301</v>
      </c>
      <c r="BD19">
        <v>1072.82596453765</v>
      </c>
      <c r="BE19">
        <v>1526.6377479251</v>
      </c>
      <c r="BF19">
        <v>534.60588288290296</v>
      </c>
      <c r="BG19">
        <v>1190.4381046711901</v>
      </c>
      <c r="BH19">
        <v>255.218330184981</v>
      </c>
      <c r="BI19">
        <v>354.84984675150798</v>
      </c>
      <c r="BJ19">
        <v>1366.41871317343</v>
      </c>
      <c r="BK19">
        <v>1366.41871317343</v>
      </c>
      <c r="BL19">
        <v>404.63490411282697</v>
      </c>
      <c r="BM19">
        <v>251.903691202365</v>
      </c>
      <c r="BN19">
        <v>334.228937127861</v>
      </c>
      <c r="BO19">
        <v>271.03376642535397</v>
      </c>
      <c r="BP19">
        <v>81.843478970345998</v>
      </c>
      <c r="BQ19">
        <v>172.38392092526499</v>
      </c>
      <c r="BR19">
        <v>77.166468474426196</v>
      </c>
      <c r="BS19">
        <v>79.185036249103604</v>
      </c>
      <c r="BT19">
        <v>227.100599032676</v>
      </c>
      <c r="BU19">
        <v>324.74375495594001</v>
      </c>
      <c r="BV19">
        <v>114.288234487582</v>
      </c>
      <c r="BW19">
        <v>250.70162376067299</v>
      </c>
      <c r="BX19">
        <v>54.299247395581403</v>
      </c>
      <c r="BY19">
        <v>76.132605019893305</v>
      </c>
      <c r="BZ19">
        <v>289.61216729082099</v>
      </c>
      <c r="CA19">
        <v>289.61216729082099</v>
      </c>
      <c r="CB19">
        <v>788.05151832978299</v>
      </c>
      <c r="CC19">
        <v>461.12711878360699</v>
      </c>
      <c r="CD19">
        <v>617.11884548302396</v>
      </c>
      <c r="CE19">
        <v>551.52467576478102</v>
      </c>
      <c r="CF19">
        <v>151.727184397977</v>
      </c>
      <c r="CG19">
        <v>373.34144790406401</v>
      </c>
      <c r="CH19">
        <v>184.21811604821499</v>
      </c>
      <c r="CI19">
        <v>154.97579249593099</v>
      </c>
      <c r="CJ19">
        <v>475.95171054162603</v>
      </c>
      <c r="CK19">
        <v>658.69308259167599</v>
      </c>
      <c r="CL19">
        <v>214.45253972275799</v>
      </c>
      <c r="CM19">
        <v>505.76770085518501</v>
      </c>
      <c r="CN19">
        <v>119.986966744453</v>
      </c>
      <c r="CO19">
        <v>152.00187191804599</v>
      </c>
      <c r="CP19">
        <v>621.56374513138803</v>
      </c>
      <c r="CQ19">
        <v>621.56374513138803</v>
      </c>
      <c r="CR19" s="1">
        <v>171549152.708855</v>
      </c>
      <c r="CS19" s="1">
        <v>95383922.458145797</v>
      </c>
      <c r="CT19" s="1">
        <v>63596964.225078799</v>
      </c>
      <c r="CU19" s="1">
        <v>48896392.854989201</v>
      </c>
      <c r="CV19" s="1">
        <v>35494729.937213399</v>
      </c>
      <c r="CW19" s="1">
        <v>20679628.211532202</v>
      </c>
      <c r="CX19" s="1">
        <v>19732259.595108502</v>
      </c>
      <c r="CY19" s="1">
        <v>9004654.8095999807</v>
      </c>
      <c r="CZ19" s="1">
        <v>6971209.4696773002</v>
      </c>
      <c r="DA19" s="1">
        <v>6406105.9223201703</v>
      </c>
      <c r="DB19" s="1">
        <v>8773174.0597401001</v>
      </c>
      <c r="DC19" s="1">
        <v>6981365.3750645798</v>
      </c>
      <c r="DD19" s="1">
        <v>12957797.333667999</v>
      </c>
      <c r="DE19" s="1">
        <v>8439321.9462416209</v>
      </c>
      <c r="DF19" s="1">
        <v>4158121.20905285</v>
      </c>
      <c r="DG19" s="1">
        <v>6874766.9076695703</v>
      </c>
      <c r="DH19" s="1">
        <v>8360873148.4997902</v>
      </c>
      <c r="DI19" s="1">
        <v>4548500123.1276703</v>
      </c>
      <c r="DJ19" s="1">
        <v>3031009440.5842299</v>
      </c>
      <c r="DK19" s="1">
        <v>2406999131.47438</v>
      </c>
      <c r="DL19" s="1">
        <v>1774424531.4674699</v>
      </c>
      <c r="DM19" s="1">
        <v>1006052376.0246</v>
      </c>
      <c r="DN19" s="1">
        <v>915507006.44258201</v>
      </c>
      <c r="DO19" s="1">
        <v>432495925.36947399</v>
      </c>
      <c r="DP19" s="1">
        <v>334256943.90070498</v>
      </c>
      <c r="DQ19" s="1">
        <v>281310574.83205402</v>
      </c>
      <c r="DR19" s="1">
        <v>421311359.08733797</v>
      </c>
      <c r="DS19" s="1">
        <v>290238919.17117703</v>
      </c>
      <c r="DT19" s="1">
        <v>629733783.68666506</v>
      </c>
      <c r="DU19" s="1">
        <v>373555068.42033303</v>
      </c>
      <c r="DV19" s="1">
        <v>177722187.387178</v>
      </c>
      <c r="DW19" s="1">
        <v>320241820.11415499</v>
      </c>
    </row>
    <row r="20" spans="1:127" x14ac:dyDescent="0.25">
      <c r="A20" t="s">
        <v>47</v>
      </c>
      <c r="B20">
        <v>41.18</v>
      </c>
      <c r="C20">
        <v>-73.150000000000006</v>
      </c>
      <c r="D20">
        <v>-11.5</v>
      </c>
      <c r="E20">
        <v>-9</v>
      </c>
      <c r="F20">
        <v>31</v>
      </c>
      <c r="G20">
        <v>22.8</v>
      </c>
      <c r="H20">
        <v>29.1</v>
      </c>
      <c r="I20">
        <v>22</v>
      </c>
      <c r="J20">
        <v>17.499999999999901</v>
      </c>
      <c r="K20">
        <v>0</v>
      </c>
      <c r="L20">
        <v>7764707335.9111204</v>
      </c>
      <c r="M20">
        <v>1614395623.5183201</v>
      </c>
      <c r="N20">
        <v>4322.3541500000001</v>
      </c>
      <c r="O20" s="75">
        <v>46022424050.235497</v>
      </c>
      <c r="P20">
        <f>57528030062.7946*(0.8/0.96)</f>
        <v>47940025052.328835</v>
      </c>
      <c r="Q20">
        <v>29308</v>
      </c>
      <c r="R20">
        <v>337933702.94959801</v>
      </c>
      <c r="S20">
        <f>2893.7135221652*(0.8/0.96)</f>
        <v>2411.4279351376667</v>
      </c>
      <c r="T20">
        <v>22.8241039023331</v>
      </c>
      <c r="U20">
        <v>7.7854110159271999</v>
      </c>
      <c r="V20">
        <v>14.186755819382</v>
      </c>
      <c r="W20">
        <v>12.1040962754007</v>
      </c>
      <c r="X20">
        <v>12.9391307400127</v>
      </c>
      <c r="Y20">
        <v>11.207329852539999</v>
      </c>
      <c r="Z20">
        <v>9.4542480124934407</v>
      </c>
      <c r="AA20">
        <v>6.9378598524474997</v>
      </c>
      <c r="AB20">
        <v>6.5418937999308699</v>
      </c>
      <c r="AC20">
        <v>12.140516503031201</v>
      </c>
      <c r="AD20">
        <v>7.2840277742964199</v>
      </c>
      <c r="AE20">
        <v>13.721965208731101</v>
      </c>
      <c r="AF20">
        <v>6.8754641195856401</v>
      </c>
      <c r="AG20">
        <v>10.167286002610499</v>
      </c>
      <c r="AH20">
        <v>14.383826029410701</v>
      </c>
      <c r="AI20">
        <v>14.383826029410701</v>
      </c>
      <c r="AJ20">
        <v>17.3333333333333</v>
      </c>
      <c r="AK20">
        <v>48.166666666666799</v>
      </c>
      <c r="AL20">
        <v>7794744738.8536901</v>
      </c>
      <c r="AM20">
        <v>987025557.15439606</v>
      </c>
      <c r="AN20">
        <v>4322.3541500000001</v>
      </c>
      <c r="AO20" s="69">
        <v>37983837591.242599</v>
      </c>
      <c r="AP20">
        <v>12352233990.3344</v>
      </c>
      <c r="AQ20">
        <v>4322.3541500000001</v>
      </c>
      <c r="AR20" s="69">
        <v>6209165396.3997002</v>
      </c>
      <c r="AS20">
        <v>6209165396.3997002</v>
      </c>
      <c r="AT20">
        <v>7251.8454499999998</v>
      </c>
      <c r="AU20">
        <v>2255588514.5311799</v>
      </c>
      <c r="AV20">
        <v>838.02607488924104</v>
      </c>
      <c r="AW20">
        <v>282.58186280607799</v>
      </c>
      <c r="AX20">
        <v>525.19246325781</v>
      </c>
      <c r="AY20">
        <v>449.42042090187198</v>
      </c>
      <c r="AZ20">
        <v>470.72878320834297</v>
      </c>
      <c r="BA20">
        <v>416.44747894727999</v>
      </c>
      <c r="BB20">
        <v>347.93737622850199</v>
      </c>
      <c r="BC20">
        <v>256.35416763403299</v>
      </c>
      <c r="BD20">
        <v>238.53407420377201</v>
      </c>
      <c r="BE20">
        <v>442.24942059558401</v>
      </c>
      <c r="BF20">
        <v>268.02791513578097</v>
      </c>
      <c r="BG20">
        <v>502.77098859172798</v>
      </c>
      <c r="BH20">
        <v>253.60494039751799</v>
      </c>
      <c r="BI20">
        <v>373.58598190997202</v>
      </c>
      <c r="BJ20">
        <v>529.50325638330401</v>
      </c>
      <c r="BK20">
        <v>529.50325638330401</v>
      </c>
      <c r="BL20">
        <v>151.41536464616701</v>
      </c>
      <c r="BM20">
        <v>52.002169740261003</v>
      </c>
      <c r="BN20">
        <v>94.977985371228101</v>
      </c>
      <c r="BO20">
        <v>81.378788363185606</v>
      </c>
      <c r="BP20">
        <v>85.692153617286493</v>
      </c>
      <c r="BQ20">
        <v>75.627218244860501</v>
      </c>
      <c r="BR20">
        <v>62.495967491554303</v>
      </c>
      <c r="BS20">
        <v>47.033870564666998</v>
      </c>
      <c r="BT20">
        <v>43.758548272802102</v>
      </c>
      <c r="BU20">
        <v>80.850920100432702</v>
      </c>
      <c r="BV20">
        <v>48.7294470380767</v>
      </c>
      <c r="BW20">
        <v>90.646094557010301</v>
      </c>
      <c r="BX20">
        <v>46.123060450907602</v>
      </c>
      <c r="BY20">
        <v>67.812217775956995</v>
      </c>
      <c r="BZ20">
        <v>95.734620843286393</v>
      </c>
      <c r="CA20">
        <v>95.734620843286393</v>
      </c>
      <c r="CB20">
        <v>469.72513024516098</v>
      </c>
      <c r="CC20">
        <v>134.023335372617</v>
      </c>
      <c r="CD20">
        <v>275.345142088035</v>
      </c>
      <c r="CE20">
        <v>218.21804552715901</v>
      </c>
      <c r="CF20">
        <v>252.83915477275701</v>
      </c>
      <c r="CG20">
        <v>191.98582764196101</v>
      </c>
      <c r="CH20">
        <v>200.73246286252399</v>
      </c>
      <c r="CI20">
        <v>107.814201729245</v>
      </c>
      <c r="CJ20">
        <v>112.732796108351</v>
      </c>
      <c r="CK20">
        <v>219.73922314521499</v>
      </c>
      <c r="CL20">
        <v>137.79802068632901</v>
      </c>
      <c r="CM20">
        <v>279.57850548167602</v>
      </c>
      <c r="CN20">
        <v>121.97829964544501</v>
      </c>
      <c r="CO20">
        <v>185.35615244345999</v>
      </c>
      <c r="CP20">
        <v>283.00734676984302</v>
      </c>
      <c r="CQ20">
        <v>283.00734676984302</v>
      </c>
      <c r="CR20" s="1">
        <v>294320881.78841698</v>
      </c>
      <c r="CS20" s="1">
        <v>309248747.32191497</v>
      </c>
      <c r="CT20" s="1">
        <v>294850148.52236599</v>
      </c>
      <c r="CU20" s="1">
        <v>258425591.75233099</v>
      </c>
      <c r="CV20" s="1">
        <v>232023919.47142199</v>
      </c>
      <c r="CW20" s="1">
        <v>230461020.63601199</v>
      </c>
      <c r="CX20" s="1">
        <v>193219922.61390701</v>
      </c>
      <c r="CY20" s="1">
        <v>182514054.618025</v>
      </c>
      <c r="CZ20" s="1">
        <v>182880111.57275701</v>
      </c>
      <c r="DA20" s="1">
        <v>158578193.51020899</v>
      </c>
      <c r="DB20" s="1">
        <v>174420013.866018</v>
      </c>
      <c r="DC20" s="1">
        <v>159330345.019739</v>
      </c>
      <c r="DD20" s="1">
        <v>181580699.67042801</v>
      </c>
      <c r="DE20" s="1">
        <v>206171661.05626801</v>
      </c>
      <c r="DF20" s="1">
        <v>195725109.36452901</v>
      </c>
      <c r="DG20" s="1">
        <v>202437026.97452</v>
      </c>
      <c r="DH20" s="1">
        <v>18021927614.1656</v>
      </c>
      <c r="DI20" s="1">
        <v>19522907835.5117</v>
      </c>
      <c r="DJ20" s="1">
        <v>18358184126.753399</v>
      </c>
      <c r="DK20" s="1">
        <v>16477093002.488001</v>
      </c>
      <c r="DL20" s="1">
        <v>14764124762.198099</v>
      </c>
      <c r="DM20" s="1">
        <v>15092154729.5702</v>
      </c>
      <c r="DN20" s="1">
        <v>12196386645.7882</v>
      </c>
      <c r="DO20" s="1">
        <v>12364809878.7656</v>
      </c>
      <c r="DP20" s="1">
        <v>11828964807.301701</v>
      </c>
      <c r="DQ20" s="1">
        <v>10103406507.3298</v>
      </c>
      <c r="DR20" s="1">
        <v>10987124602.239799</v>
      </c>
      <c r="DS20" s="1">
        <v>10217140441.301399</v>
      </c>
      <c r="DT20" s="1">
        <v>12030569334.1884</v>
      </c>
      <c r="DU20" s="1">
        <v>13215120957.865999</v>
      </c>
      <c r="DV20" s="1">
        <v>12569743817.413</v>
      </c>
      <c r="DW20" s="1">
        <v>13081784098.655001</v>
      </c>
    </row>
    <row r="21" spans="1:127" x14ac:dyDescent="0.25">
      <c r="A21" t="s">
        <v>48</v>
      </c>
      <c r="B21">
        <v>39.67</v>
      </c>
      <c r="C21">
        <v>-75.599999999999994</v>
      </c>
      <c r="D21">
        <v>-10.4</v>
      </c>
      <c r="E21">
        <v>-8.1999999999999993</v>
      </c>
      <c r="F21">
        <v>33.299999999999997</v>
      </c>
      <c r="G21">
        <v>23.9</v>
      </c>
      <c r="H21">
        <v>31.9</v>
      </c>
      <c r="I21">
        <v>23.3</v>
      </c>
      <c r="J21">
        <v>34.6666666666666</v>
      </c>
      <c r="K21">
        <v>0</v>
      </c>
      <c r="L21">
        <v>14162584100.6861</v>
      </c>
      <c r="M21">
        <v>3063208111.89291</v>
      </c>
      <c r="N21">
        <v>4995.05555</v>
      </c>
      <c r="O21" s="75">
        <v>40332116940.288803</v>
      </c>
      <c r="P21">
        <f>50415146175.361*(0.8/0.96)</f>
        <v>42012621812.800835</v>
      </c>
      <c r="Q21">
        <v>29308</v>
      </c>
      <c r="R21">
        <v>336670003.46518701</v>
      </c>
      <c r="S21">
        <f>2535.92883417587*(0.8/0.96)</f>
        <v>2113.274028479892</v>
      </c>
      <c r="T21">
        <v>39.463223664698901</v>
      </c>
      <c r="U21">
        <v>8.9868316047719397</v>
      </c>
      <c r="V21">
        <v>31.094557696201601</v>
      </c>
      <c r="W21">
        <v>21.490382661292301</v>
      </c>
      <c r="X21">
        <v>9.1694247824464608</v>
      </c>
      <c r="Y21">
        <v>19.5007936819094</v>
      </c>
      <c r="Z21">
        <v>14.172304525786499</v>
      </c>
      <c r="AA21">
        <v>27.5678178983237</v>
      </c>
      <c r="AB21">
        <v>14.124424232607799</v>
      </c>
      <c r="AC21">
        <v>14.971206522747901</v>
      </c>
      <c r="AD21">
        <v>14.215737534032099</v>
      </c>
      <c r="AE21">
        <v>15.6234108463865</v>
      </c>
      <c r="AF21">
        <v>16.7580956084017</v>
      </c>
      <c r="AG21">
        <v>9.0180589533693407</v>
      </c>
      <c r="AH21">
        <v>5.7753232480547299</v>
      </c>
      <c r="AI21">
        <v>5.7753232480547299</v>
      </c>
      <c r="AJ21">
        <v>34.0833333333333</v>
      </c>
      <c r="AK21">
        <v>41.083333333333201</v>
      </c>
      <c r="AL21">
        <v>14202694263.946199</v>
      </c>
      <c r="AM21">
        <v>1991514516.8662</v>
      </c>
      <c r="AN21">
        <v>4995.05555</v>
      </c>
      <c r="AO21" s="69">
        <v>34579211464.970802</v>
      </c>
      <c r="AP21">
        <v>11304680171.4886</v>
      </c>
      <c r="AQ21">
        <v>4995.05555</v>
      </c>
      <c r="AR21" s="69">
        <v>4146193979.8331399</v>
      </c>
      <c r="AS21">
        <v>4146193979.8331399</v>
      </c>
      <c r="AT21">
        <v>6905.1655300000002</v>
      </c>
      <c r="AU21">
        <v>2015011537.9321201</v>
      </c>
      <c r="AV21">
        <v>1344.88471697414</v>
      </c>
      <c r="AW21">
        <v>301.309989472859</v>
      </c>
      <c r="AX21">
        <v>1091.18226133555</v>
      </c>
      <c r="AY21">
        <v>716.96484678706702</v>
      </c>
      <c r="AZ21">
        <v>310.35329775340199</v>
      </c>
      <c r="BA21">
        <v>665.25578842200196</v>
      </c>
      <c r="BB21">
        <v>479.68381336415899</v>
      </c>
      <c r="BC21">
        <v>947.85571295888496</v>
      </c>
      <c r="BD21">
        <v>477.13343938071102</v>
      </c>
      <c r="BE21">
        <v>509.97839292788302</v>
      </c>
      <c r="BF21">
        <v>481.16016168121001</v>
      </c>
      <c r="BG21">
        <v>529.82795944943598</v>
      </c>
      <c r="BH21">
        <v>565.94099560561301</v>
      </c>
      <c r="BI21">
        <v>310.840865919365</v>
      </c>
      <c r="BJ21">
        <v>202.36249945080499</v>
      </c>
      <c r="BK21">
        <v>202.36249945080499</v>
      </c>
      <c r="BL21">
        <v>234.60317894370201</v>
      </c>
      <c r="BM21">
        <v>53.8277233704964</v>
      </c>
      <c r="BN21">
        <v>187.64118210401901</v>
      </c>
      <c r="BO21">
        <v>128.87389198144001</v>
      </c>
      <c r="BP21">
        <v>54.732551196120603</v>
      </c>
      <c r="BQ21">
        <v>117.322178926124</v>
      </c>
      <c r="BR21">
        <v>84.848818700362997</v>
      </c>
      <c r="BS21">
        <v>164.75640191638399</v>
      </c>
      <c r="BT21">
        <v>84.679236089723304</v>
      </c>
      <c r="BU21">
        <v>89.801843831690704</v>
      </c>
      <c r="BV21">
        <v>85.256183833120303</v>
      </c>
      <c r="BW21">
        <v>93.394983637935994</v>
      </c>
      <c r="BX21">
        <v>100.146473502395</v>
      </c>
      <c r="BY21">
        <v>54.068095933992403</v>
      </c>
      <c r="BZ21">
        <v>34.739571369118302</v>
      </c>
      <c r="CA21">
        <v>34.739571369118302</v>
      </c>
      <c r="CB21">
        <v>644.96788373305799</v>
      </c>
      <c r="CC21">
        <v>111.59244629304099</v>
      </c>
      <c r="CD21">
        <v>424.63822954819301</v>
      </c>
      <c r="CE21">
        <v>228.713918937279</v>
      </c>
      <c r="CF21">
        <v>122.65063743294699</v>
      </c>
      <c r="CG21">
        <v>231.20507056871099</v>
      </c>
      <c r="CH21">
        <v>180.81661368855299</v>
      </c>
      <c r="CI21">
        <v>421.75363392691298</v>
      </c>
      <c r="CJ21">
        <v>169.11438008840301</v>
      </c>
      <c r="CK21">
        <v>189.15548193176599</v>
      </c>
      <c r="CL21">
        <v>173.960667615375</v>
      </c>
      <c r="CM21">
        <v>209.79678413662299</v>
      </c>
      <c r="CN21">
        <v>224.32742960912901</v>
      </c>
      <c r="CO21">
        <v>128.59046617168801</v>
      </c>
      <c r="CP21">
        <v>80.235853327641294</v>
      </c>
      <c r="CQ21">
        <v>80.235853327641294</v>
      </c>
      <c r="CR21" s="1">
        <v>528750466.34815502</v>
      </c>
      <c r="CS21" s="1">
        <v>470568660.73871702</v>
      </c>
      <c r="CT21" s="1">
        <v>477426364.26728499</v>
      </c>
      <c r="CU21" s="1">
        <v>333634238.96004599</v>
      </c>
      <c r="CV21" s="1">
        <v>309041628.277107</v>
      </c>
      <c r="CW21" s="1">
        <v>132625189.13126899</v>
      </c>
      <c r="CX21" s="1">
        <v>130184971.12365501</v>
      </c>
      <c r="CY21" s="1">
        <v>92141008.524601102</v>
      </c>
      <c r="CZ21" s="1">
        <v>72560988.931878597</v>
      </c>
      <c r="DA21" s="1">
        <v>75777348.558827594</v>
      </c>
      <c r="DB21" s="1">
        <v>89164201.327025101</v>
      </c>
      <c r="DC21" s="1">
        <v>74132709.829364195</v>
      </c>
      <c r="DD21" s="1">
        <v>79817907.891491905</v>
      </c>
      <c r="DE21" s="1">
        <v>57262048.633079901</v>
      </c>
      <c r="DF21" s="1">
        <v>74862910.7279367</v>
      </c>
      <c r="DG21" s="1">
        <v>69568624.827883393</v>
      </c>
      <c r="DH21" s="1">
        <v>27912366115.064701</v>
      </c>
      <c r="DI21" s="1">
        <v>24428239320.862801</v>
      </c>
      <c r="DJ21" s="1">
        <v>25452498964.855999</v>
      </c>
      <c r="DK21" s="1">
        <v>18669819033.522499</v>
      </c>
      <c r="DL21" s="1">
        <v>17776103700.328499</v>
      </c>
      <c r="DM21" s="1">
        <v>7336053655.4870596</v>
      </c>
      <c r="DN21" s="1">
        <v>7192758991.4258099</v>
      </c>
      <c r="DO21" s="1">
        <v>5251877496.7346802</v>
      </c>
      <c r="DP21" s="1">
        <v>4453838787.03053</v>
      </c>
      <c r="DQ21" s="1">
        <v>3952820853.1783099</v>
      </c>
      <c r="DR21" s="1">
        <v>4931570036.8482199</v>
      </c>
      <c r="DS21" s="1">
        <v>4717323817.1760998</v>
      </c>
      <c r="DT21" s="1">
        <v>4718623377.6512499</v>
      </c>
      <c r="DU21" s="1">
        <v>3364563481.2376299</v>
      </c>
      <c r="DV21" s="1">
        <v>4634114191.3577204</v>
      </c>
      <c r="DW21" s="1">
        <v>3810973943.9513402</v>
      </c>
    </row>
    <row r="22" spans="1:127" x14ac:dyDescent="0.25">
      <c r="A22" t="s">
        <v>50</v>
      </c>
      <c r="B22">
        <v>30.5</v>
      </c>
      <c r="C22">
        <v>-81.7</v>
      </c>
      <c r="D22">
        <v>-1.5</v>
      </c>
      <c r="E22">
        <v>0.3</v>
      </c>
      <c r="F22">
        <v>34.799999999999997</v>
      </c>
      <c r="G22">
        <v>25.2</v>
      </c>
      <c r="H22">
        <v>33.799999999999997</v>
      </c>
      <c r="I22">
        <v>25</v>
      </c>
      <c r="J22">
        <v>64.500000000000099</v>
      </c>
      <c r="K22">
        <v>0</v>
      </c>
      <c r="L22">
        <v>26040115788.9585</v>
      </c>
      <c r="M22">
        <v>5730760488.1916904</v>
      </c>
      <c r="N22">
        <v>5606.2789700000003</v>
      </c>
      <c r="O22" s="75">
        <v>4105322165.2246699</v>
      </c>
      <c r="P22">
        <f>5131652706.53084*(0.8/0.96)</f>
        <v>4276377255.4423666</v>
      </c>
      <c r="Q22">
        <v>29308</v>
      </c>
      <c r="R22">
        <v>37705746.1440247</v>
      </c>
      <c r="S22">
        <f>258.126913293136*(0.8/0.96)</f>
        <v>215.10576107761335</v>
      </c>
      <c r="T22">
        <v>3.47047218475962</v>
      </c>
      <c r="U22">
        <v>5.7740671356476598</v>
      </c>
      <c r="V22">
        <v>5.85116511743594</v>
      </c>
      <c r="W22">
        <v>3.8007824647138602</v>
      </c>
      <c r="X22">
        <v>1.87546311245647</v>
      </c>
      <c r="Y22">
        <v>2.0397648857971999</v>
      </c>
      <c r="Z22">
        <v>4.1958185303904703</v>
      </c>
      <c r="AA22">
        <v>3.1265826120798001</v>
      </c>
      <c r="AB22">
        <v>3.33772116391637</v>
      </c>
      <c r="AC22">
        <v>2.3580268294283302</v>
      </c>
      <c r="AD22">
        <v>2.0386698705206499</v>
      </c>
      <c r="AE22">
        <v>1.05278174407173</v>
      </c>
      <c r="AF22">
        <v>2.9612113091494998</v>
      </c>
      <c r="AG22">
        <v>2.6140161010053</v>
      </c>
      <c r="AH22">
        <v>1.8591257661817</v>
      </c>
      <c r="AI22">
        <v>1.8591257661817</v>
      </c>
      <c r="AJ22">
        <v>64.166666666666799</v>
      </c>
      <c r="AK22">
        <v>2.3333333333333299</v>
      </c>
      <c r="AL22">
        <v>26075558866.3489</v>
      </c>
      <c r="AM22">
        <v>3929180336.40451</v>
      </c>
      <c r="AN22">
        <v>5606.2789700000003</v>
      </c>
      <c r="AO22" s="69">
        <v>3877018528.3759699</v>
      </c>
      <c r="AP22">
        <v>1038499885.2926199</v>
      </c>
      <c r="AQ22">
        <v>5606.2789700000003</v>
      </c>
      <c r="AR22" s="69">
        <v>69500868.6594055</v>
      </c>
      <c r="AS22">
        <v>69500868.6594055</v>
      </c>
      <c r="AT22">
        <v>4009.2135800000001</v>
      </c>
      <c r="AU22">
        <v>203708759.64008299</v>
      </c>
      <c r="AV22">
        <v>96.265760314141303</v>
      </c>
      <c r="AW22">
        <v>161.82512405829999</v>
      </c>
      <c r="AX22">
        <v>162.20354691960901</v>
      </c>
      <c r="AY22">
        <v>110.49840172128501</v>
      </c>
      <c r="AZ22">
        <v>56.4872476922788</v>
      </c>
      <c r="BA22">
        <v>60.545662320809399</v>
      </c>
      <c r="BB22">
        <v>117.26089303468299</v>
      </c>
      <c r="BC22">
        <v>88.937527951332996</v>
      </c>
      <c r="BD22">
        <v>97.0285175435165</v>
      </c>
      <c r="BE22">
        <v>67.956124482935707</v>
      </c>
      <c r="BF22">
        <v>58.665412822328697</v>
      </c>
      <c r="BG22">
        <v>31.017672507210001</v>
      </c>
      <c r="BH22">
        <v>81.847038649519206</v>
      </c>
      <c r="BI22">
        <v>74.318638023799394</v>
      </c>
      <c r="BJ22">
        <v>53.605562231072199</v>
      </c>
      <c r="BK22">
        <v>53.605562231072199</v>
      </c>
      <c r="BL22">
        <v>18.753111597085599</v>
      </c>
      <c r="BM22">
        <v>31.269827279966801</v>
      </c>
      <c r="BN22">
        <v>31.645295680337298</v>
      </c>
      <c r="BO22">
        <v>20.767524062889802</v>
      </c>
      <c r="BP22">
        <v>10.3048099731664</v>
      </c>
      <c r="BQ22">
        <v>11.1394641135245</v>
      </c>
      <c r="BR22">
        <v>22.7183765435475</v>
      </c>
      <c r="BS22">
        <v>17.0158015781312</v>
      </c>
      <c r="BT22">
        <v>18.192530776866501</v>
      </c>
      <c r="BU22">
        <v>12.8423953328557</v>
      </c>
      <c r="BV22">
        <v>11.113033964605</v>
      </c>
      <c r="BW22">
        <v>5.7440201255522902</v>
      </c>
      <c r="BX22">
        <v>15.9823662363751</v>
      </c>
      <c r="BY22">
        <v>14.229977171739501</v>
      </c>
      <c r="BZ22">
        <v>10.0753624095242</v>
      </c>
      <c r="CA22">
        <v>10.0753624095242</v>
      </c>
      <c r="CB22">
        <v>7.06471496125714</v>
      </c>
      <c r="CC22">
        <v>11.4617067210167</v>
      </c>
      <c r="CD22">
        <v>11.2866705925804</v>
      </c>
      <c r="CE22">
        <v>8.9389564621579805</v>
      </c>
      <c r="CF22">
        <v>3.12568286822717</v>
      </c>
      <c r="CG22">
        <v>3.6772515264718599</v>
      </c>
      <c r="CH22">
        <v>8.3410300237739907</v>
      </c>
      <c r="CI22">
        <v>6.30828261362202</v>
      </c>
      <c r="CJ22">
        <v>7.19554622542607</v>
      </c>
      <c r="CK22">
        <v>4.6756692268555602</v>
      </c>
      <c r="CL22">
        <v>4.6173432432771504</v>
      </c>
      <c r="CM22">
        <v>1.9442750668530899</v>
      </c>
      <c r="CN22">
        <v>5.7297166482681998</v>
      </c>
      <c r="CO22">
        <v>5.59466673414446</v>
      </c>
      <c r="CP22">
        <v>4.1226109739956502</v>
      </c>
      <c r="CQ22">
        <v>4.1226109739956502</v>
      </c>
      <c r="CR22" s="1">
        <v>52296842.571842603</v>
      </c>
      <c r="CS22" s="1">
        <v>50994762.7586146</v>
      </c>
      <c r="CT22" s="1">
        <v>48177381.901966996</v>
      </c>
      <c r="CU22" s="1">
        <v>44136704.856504597</v>
      </c>
      <c r="CV22" s="1">
        <v>38198372.035749704</v>
      </c>
      <c r="CW22" s="1">
        <v>32892590.505641699</v>
      </c>
      <c r="CX22" s="1">
        <v>32234029.6559502</v>
      </c>
      <c r="CY22" s="1">
        <v>31824744.808270101</v>
      </c>
      <c r="CZ22" s="1">
        <v>29976425.511832301</v>
      </c>
      <c r="DA22" s="1">
        <v>29058546.312124401</v>
      </c>
      <c r="DB22" s="1">
        <v>28165623.8914079</v>
      </c>
      <c r="DC22" s="1">
        <v>29744187.0503801</v>
      </c>
      <c r="DD22" s="1">
        <v>25962709.9962263</v>
      </c>
      <c r="DE22" s="1">
        <v>25791049.533959001</v>
      </c>
      <c r="DF22" s="1">
        <v>25623071.564922702</v>
      </c>
      <c r="DG22" s="1">
        <v>25177763.5372338</v>
      </c>
      <c r="DH22" s="1">
        <v>1823055751.1044099</v>
      </c>
      <c r="DI22" s="1">
        <v>1779504325.15804</v>
      </c>
      <c r="DJ22" s="1">
        <v>1687979017.28967</v>
      </c>
      <c r="DK22" s="1">
        <v>1548067460.9591</v>
      </c>
      <c r="DL22" s="1">
        <v>1352881169.7161601</v>
      </c>
      <c r="DM22" s="1">
        <v>1185843030.3907599</v>
      </c>
      <c r="DN22" s="1">
        <v>1168729579.8303399</v>
      </c>
      <c r="DO22" s="1">
        <v>1152151366.9477701</v>
      </c>
      <c r="DP22" s="1">
        <v>1092503755.9855001</v>
      </c>
      <c r="DQ22" s="1">
        <v>1060462324.6820101</v>
      </c>
      <c r="DR22" s="1">
        <v>1028090233.85825</v>
      </c>
      <c r="DS22" s="1">
        <v>1087718335.56512</v>
      </c>
      <c r="DT22" s="1">
        <v>955170595.32167602</v>
      </c>
      <c r="DU22" s="1">
        <v>948085524.71131504</v>
      </c>
      <c r="DV22" s="1">
        <v>941189107.22211397</v>
      </c>
      <c r="DW22" s="1">
        <v>926277196.61493504</v>
      </c>
    </row>
    <row r="23" spans="1:127" x14ac:dyDescent="0.25">
      <c r="A23" t="s">
        <v>49</v>
      </c>
      <c r="B23">
        <v>25.82</v>
      </c>
      <c r="C23">
        <v>-80.3</v>
      </c>
      <c r="D23">
        <v>8.6999999999999993</v>
      </c>
      <c r="E23">
        <v>11.1</v>
      </c>
      <c r="F23">
        <v>33.200000000000003</v>
      </c>
      <c r="G23">
        <v>25.3</v>
      </c>
      <c r="H23">
        <v>32.700000000000003</v>
      </c>
      <c r="I23">
        <v>25.3</v>
      </c>
      <c r="J23">
        <v>109.16666666666499</v>
      </c>
      <c r="K23">
        <v>0</v>
      </c>
      <c r="L23">
        <v>56899109898.767899</v>
      </c>
      <c r="M23">
        <v>12534914227.5541</v>
      </c>
      <c r="N23">
        <v>5513.6965</v>
      </c>
      <c r="O23" s="75">
        <v>1124464.3636187799</v>
      </c>
      <c r="P23">
        <f>1405580.45452348*(0.8/0.96)</f>
        <v>1171317.0454362335</v>
      </c>
      <c r="Q23">
        <v>29308</v>
      </c>
      <c r="R23">
        <v>9922.1935902093792</v>
      </c>
      <c r="S23">
        <f>0.0707020067140487*(0.8/0.96)</f>
        <v>5.8918338928373927E-2</v>
      </c>
      <c r="T23">
        <v>1.2798218266918699E-3</v>
      </c>
      <c r="U23">
        <v>1.6111018415089101E-3</v>
      </c>
      <c r="V23">
        <v>1.5407504559611599E-3</v>
      </c>
      <c r="W23">
        <v>1.17220165700895E-3</v>
      </c>
      <c r="X23">
        <v>4.5462374488910702E-4</v>
      </c>
      <c r="Y23">
        <v>3.7780901006933398E-4</v>
      </c>
      <c r="Z23">
        <v>1.1797840458244199E-3</v>
      </c>
      <c r="AA23">
        <v>7.7382544996841801E-4</v>
      </c>
      <c r="AB23">
        <v>9.6747752032648503E-4</v>
      </c>
      <c r="AC23">
        <v>6.1505340953287805E-4</v>
      </c>
      <c r="AD23">
        <v>5.4297911068384996E-4</v>
      </c>
      <c r="AE23">
        <v>2.7837516979794001E-4</v>
      </c>
      <c r="AF23">
        <v>9.1864877960581295E-4</v>
      </c>
      <c r="AG23">
        <v>5.75919760006681E-4</v>
      </c>
      <c r="AH23">
        <v>5.87226679022507E-4</v>
      </c>
      <c r="AI23">
        <v>5.87226679022507E-4</v>
      </c>
      <c r="AJ23">
        <v>108.16666666666499</v>
      </c>
      <c r="AK23">
        <v>0</v>
      </c>
      <c r="AL23">
        <v>56972350824.686203</v>
      </c>
      <c r="AM23">
        <v>8723975073.0070705</v>
      </c>
      <c r="AN23">
        <v>5513.6965</v>
      </c>
      <c r="AO23" s="69">
        <v>1083418.0587797901</v>
      </c>
      <c r="AP23">
        <v>277868.63148160902</v>
      </c>
      <c r="AQ23">
        <v>5513.6965</v>
      </c>
      <c r="AR23" s="69">
        <v>0</v>
      </c>
      <c r="AS23">
        <v>0</v>
      </c>
      <c r="AT23">
        <v>1495.03799</v>
      </c>
      <c r="AU23">
        <v>53330.238802490901</v>
      </c>
      <c r="AV23">
        <v>3.5957238961435899E-2</v>
      </c>
      <c r="AW23">
        <v>4.5287427596950203E-2</v>
      </c>
      <c r="AX23">
        <v>4.3248490609365899E-2</v>
      </c>
      <c r="AY23">
        <v>3.3405316611602301E-2</v>
      </c>
      <c r="AZ23">
        <v>1.30190752312042E-2</v>
      </c>
      <c r="BA23">
        <v>1.0753757827971199E-2</v>
      </c>
      <c r="BB23">
        <v>3.31029331540625E-2</v>
      </c>
      <c r="BC23">
        <v>2.1897074283008799E-2</v>
      </c>
      <c r="BD23">
        <v>2.7429595556850699E-2</v>
      </c>
      <c r="BE23">
        <v>1.73717436611984E-2</v>
      </c>
      <c r="BF23">
        <v>1.5456265639948201E-2</v>
      </c>
      <c r="BG23">
        <v>7.8238144217776494E-3</v>
      </c>
      <c r="BH23">
        <v>2.5675364065537401E-2</v>
      </c>
      <c r="BI23">
        <v>1.6297203903906099E-2</v>
      </c>
      <c r="BJ23">
        <v>1.6622047079995199E-2</v>
      </c>
      <c r="BK23">
        <v>1.6622047079995199E-2</v>
      </c>
      <c r="BL23">
        <v>6.89231053627556E-3</v>
      </c>
      <c r="BM23">
        <v>8.6790086859418192E-3</v>
      </c>
      <c r="BN23">
        <v>8.2929066027357598E-3</v>
      </c>
      <c r="BO23">
        <v>6.3674410806857703E-3</v>
      </c>
      <c r="BP23">
        <v>2.4768663268948999E-3</v>
      </c>
      <c r="BQ23">
        <v>2.0507625831845001E-3</v>
      </c>
      <c r="BR23">
        <v>6.3485032298118103E-3</v>
      </c>
      <c r="BS23">
        <v>4.1854320748133302E-3</v>
      </c>
      <c r="BT23">
        <v>5.2389618720303502E-3</v>
      </c>
      <c r="BU23">
        <v>3.32290055038959E-3</v>
      </c>
      <c r="BV23">
        <v>2.9474508668577899E-3</v>
      </c>
      <c r="BW23">
        <v>1.49946839276529E-3</v>
      </c>
      <c r="BX23">
        <v>4.9316590932402798E-3</v>
      </c>
      <c r="BY23">
        <v>3.1150437099911801E-3</v>
      </c>
      <c r="BZ23">
        <v>3.1767670672041E-3</v>
      </c>
      <c r="CA23">
        <v>3.1767670672041E-3</v>
      </c>
      <c r="CB23">
        <v>0</v>
      </c>
      <c r="CC23">
        <v>0</v>
      </c>
      <c r="CD23">
        <v>0</v>
      </c>
      <c r="CE23">
        <v>0</v>
      </c>
      <c r="CF23">
        <v>0</v>
      </c>
      <c r="CG23">
        <v>0</v>
      </c>
      <c r="CH23">
        <v>0</v>
      </c>
      <c r="CI23">
        <v>0</v>
      </c>
      <c r="CJ23">
        <v>0</v>
      </c>
      <c r="CK23">
        <v>0</v>
      </c>
      <c r="CL23">
        <v>0</v>
      </c>
      <c r="CM23">
        <v>0</v>
      </c>
      <c r="CN23">
        <v>0</v>
      </c>
      <c r="CO23">
        <v>0</v>
      </c>
      <c r="CP23">
        <v>0</v>
      </c>
      <c r="CQ23">
        <v>0</v>
      </c>
      <c r="CR23" s="1">
        <v>12736.2650037269</v>
      </c>
      <c r="CS23" s="1">
        <v>12785.3885196217</v>
      </c>
      <c r="CT23" s="1">
        <v>12453.667087628901</v>
      </c>
      <c r="CU23" s="1">
        <v>12410.9783626034</v>
      </c>
      <c r="CV23" s="1">
        <v>10804.112170802</v>
      </c>
      <c r="CW23" s="1">
        <v>10839.9484293852</v>
      </c>
      <c r="CX23" s="1">
        <v>10264.614816252</v>
      </c>
      <c r="CY23" s="1">
        <v>11598.0642045246</v>
      </c>
      <c r="CZ23" s="1">
        <v>9721.0019531020698</v>
      </c>
      <c r="DA23" s="1">
        <v>9417.4260999656908</v>
      </c>
      <c r="DB23" s="1">
        <v>10335.893671871299</v>
      </c>
      <c r="DC23" s="1">
        <v>11031.4639212242</v>
      </c>
      <c r="DD23" s="1">
        <v>8137.3086607764399</v>
      </c>
      <c r="DE23" s="1">
        <v>8996.9616657592396</v>
      </c>
      <c r="DF23" s="1">
        <v>8321.0411133978105</v>
      </c>
      <c r="DG23" s="1">
        <v>7264.98183246398</v>
      </c>
      <c r="DH23" s="1">
        <v>425320.034228615</v>
      </c>
      <c r="DI23" s="1">
        <v>426998.01902516501</v>
      </c>
      <c r="DJ23" s="1">
        <v>416398.38569270499</v>
      </c>
      <c r="DK23" s="1">
        <v>415174.83905764198</v>
      </c>
      <c r="DL23" s="1">
        <v>361937.77522817801</v>
      </c>
      <c r="DM23" s="1">
        <v>364331.68690053798</v>
      </c>
      <c r="DN23" s="1">
        <v>345552.71018272103</v>
      </c>
      <c r="DO23" s="1">
        <v>390784.48855239397</v>
      </c>
      <c r="DP23" s="1">
        <v>327698.731961846</v>
      </c>
      <c r="DQ23" s="1">
        <v>317984.22681257199</v>
      </c>
      <c r="DR23" s="1">
        <v>349358.09261078201</v>
      </c>
      <c r="DS23" s="1">
        <v>372878.619500348</v>
      </c>
      <c r="DT23" s="1">
        <v>274621.31024014001</v>
      </c>
      <c r="DU23" s="1">
        <v>304257.08541972499</v>
      </c>
      <c r="DV23" s="1">
        <v>281947.83523699699</v>
      </c>
      <c r="DW23" s="1">
        <v>246486.590132807</v>
      </c>
    </row>
    <row r="24" spans="1:127" x14ac:dyDescent="0.25">
      <c r="A24" t="s">
        <v>52</v>
      </c>
      <c r="B24">
        <v>33.630000000000003</v>
      </c>
      <c r="C24">
        <v>-84.43</v>
      </c>
      <c r="D24">
        <v>-5.8</v>
      </c>
      <c r="E24">
        <v>-3.1</v>
      </c>
      <c r="F24">
        <v>34.4</v>
      </c>
      <c r="G24">
        <v>23.4</v>
      </c>
      <c r="H24">
        <v>33.1</v>
      </c>
      <c r="I24">
        <v>23.3</v>
      </c>
      <c r="J24">
        <v>99.333333333333101</v>
      </c>
      <c r="K24">
        <v>0</v>
      </c>
      <c r="L24">
        <v>21165819876.678398</v>
      </c>
      <c r="M24">
        <v>4787094297.6194897</v>
      </c>
      <c r="N24">
        <v>5176.54475</v>
      </c>
      <c r="O24" s="75">
        <v>16062515583.806801</v>
      </c>
      <c r="P24">
        <f>20078144479.7586*(0.8/0.96)</f>
        <v>16731787066.4655</v>
      </c>
      <c r="Q24">
        <v>29308</v>
      </c>
      <c r="R24">
        <v>144421509.02566901</v>
      </c>
      <c r="S24">
        <f>1009.94937802745*(0.8/0.96)</f>
        <v>841.62448168954177</v>
      </c>
      <c r="T24">
        <v>8.6628100737165692</v>
      </c>
      <c r="U24">
        <v>21.144628792950002</v>
      </c>
      <c r="V24">
        <v>29.752402698168002</v>
      </c>
      <c r="W24">
        <v>13.7621542742183</v>
      </c>
      <c r="X24">
        <v>4.4905579771842099</v>
      </c>
      <c r="Y24">
        <v>11.349614354414401</v>
      </c>
      <c r="Z24">
        <v>21.603046160019701</v>
      </c>
      <c r="AA24">
        <v>14.8853861846634</v>
      </c>
      <c r="AB24">
        <v>3.5206910435465999</v>
      </c>
      <c r="AC24">
        <v>19.010704942001801</v>
      </c>
      <c r="AD24">
        <v>5.4272271292717296</v>
      </c>
      <c r="AE24">
        <v>3.9644226520348602</v>
      </c>
      <c r="AF24">
        <v>4.3241335639838203</v>
      </c>
      <c r="AG24">
        <v>14.9474678432485</v>
      </c>
      <c r="AH24">
        <v>9.3519880999606197</v>
      </c>
      <c r="AI24">
        <v>9.3519880999606197</v>
      </c>
      <c r="AJ24">
        <v>98.249999999999702</v>
      </c>
      <c r="AK24">
        <v>8.3333333333333197</v>
      </c>
      <c r="AL24">
        <v>21203256170.5243</v>
      </c>
      <c r="AM24">
        <v>3391693141.6741099</v>
      </c>
      <c r="AN24">
        <v>5176.54475</v>
      </c>
      <c r="AO24" s="69">
        <v>14982960224.8521</v>
      </c>
      <c r="AP24">
        <v>4416103387.6471004</v>
      </c>
      <c r="AQ24">
        <v>5176.54475</v>
      </c>
      <c r="AR24" s="69">
        <v>458019065.629655</v>
      </c>
      <c r="AS24">
        <v>458019065.629655</v>
      </c>
      <c r="AT24">
        <v>5303.0331399999995</v>
      </c>
      <c r="AU24">
        <v>829088401.16605794</v>
      </c>
      <c r="AV24">
        <v>271.62702406801299</v>
      </c>
      <c r="AW24">
        <v>646.84945311368097</v>
      </c>
      <c r="AX24">
        <v>919.24206450587997</v>
      </c>
      <c r="AY24">
        <v>442.50564973397201</v>
      </c>
      <c r="AZ24">
        <v>141.28312982138399</v>
      </c>
      <c r="BA24">
        <v>364.02486428818003</v>
      </c>
      <c r="BB24">
        <v>668.47770784823501</v>
      </c>
      <c r="BC24">
        <v>470.00013863742402</v>
      </c>
      <c r="BD24">
        <v>110.16495882545399</v>
      </c>
      <c r="BE24">
        <v>591.20332677823501</v>
      </c>
      <c r="BF24">
        <v>167.41305667211699</v>
      </c>
      <c r="BG24">
        <v>124.982462411236</v>
      </c>
      <c r="BH24">
        <v>135.31346140092401</v>
      </c>
      <c r="BI24">
        <v>465.59245296206001</v>
      </c>
      <c r="BJ24">
        <v>292.13411961178099</v>
      </c>
      <c r="BK24">
        <v>292.13411961178099</v>
      </c>
      <c r="BL24">
        <v>49.563137369968601</v>
      </c>
      <c r="BM24">
        <v>121.831625345985</v>
      </c>
      <c r="BN24">
        <v>170.20525703932</v>
      </c>
      <c r="BO24">
        <v>77.944952054213601</v>
      </c>
      <c r="BP24">
        <v>25.587812113957799</v>
      </c>
      <c r="BQ24">
        <v>64.225142626165095</v>
      </c>
      <c r="BR24">
        <v>124.133479323149</v>
      </c>
      <c r="BS24">
        <v>84.920162506477396</v>
      </c>
      <c r="BT24">
        <v>20.0933248961332</v>
      </c>
      <c r="BU24">
        <v>108.911185309329</v>
      </c>
      <c r="BV24">
        <v>30.952737044942499</v>
      </c>
      <c r="BW24">
        <v>22.414802242494499</v>
      </c>
      <c r="BX24">
        <v>24.667277324001699</v>
      </c>
      <c r="BY24">
        <v>85.565533282385005</v>
      </c>
      <c r="BZ24">
        <v>53.518277227033202</v>
      </c>
      <c r="CA24">
        <v>53.518277227033202</v>
      </c>
      <c r="CB24">
        <v>34.676973921932898</v>
      </c>
      <c r="CC24">
        <v>69.781671086496104</v>
      </c>
      <c r="CD24">
        <v>103.374067924236</v>
      </c>
      <c r="CE24">
        <v>53.648388524661698</v>
      </c>
      <c r="CF24">
        <v>15.341439365488201</v>
      </c>
      <c r="CG24">
        <v>46.781818627077698</v>
      </c>
      <c r="CH24">
        <v>79.074542998034801</v>
      </c>
      <c r="CI24">
        <v>48.479370577247501</v>
      </c>
      <c r="CJ24">
        <v>9.8632445494218803</v>
      </c>
      <c r="CK24">
        <v>63.609325766347297</v>
      </c>
      <c r="CL24">
        <v>19.3136810539226</v>
      </c>
      <c r="CM24">
        <v>11.6500425772802</v>
      </c>
      <c r="CN24">
        <v>14.9568651818752</v>
      </c>
      <c r="CO24">
        <v>46.2914557952761</v>
      </c>
      <c r="CP24">
        <v>32.982076970590001</v>
      </c>
      <c r="CQ24">
        <v>32.982076970590001</v>
      </c>
      <c r="CR24" s="1">
        <v>134043249.209498</v>
      </c>
      <c r="CS24" s="1">
        <v>110423262.74241</v>
      </c>
      <c r="CT24" s="1">
        <v>104386321.994526</v>
      </c>
      <c r="CU24" s="1">
        <v>83727056.680581599</v>
      </c>
      <c r="CV24" s="1">
        <v>69695566.368506297</v>
      </c>
      <c r="CW24" s="1">
        <v>52271807.924472198</v>
      </c>
      <c r="CX24" s="1">
        <v>56488269.254660398</v>
      </c>
      <c r="CY24" s="1">
        <v>41920524.409059003</v>
      </c>
      <c r="CZ24" s="1">
        <v>48436510.463426702</v>
      </c>
      <c r="DA24" s="1">
        <v>42213262.200264402</v>
      </c>
      <c r="DB24" s="1">
        <v>40838334.4080735</v>
      </c>
      <c r="DC24" s="1">
        <v>41406155.3949835</v>
      </c>
      <c r="DD24" s="1">
        <v>35149651.189702399</v>
      </c>
      <c r="DE24" s="1">
        <v>32901349.705436502</v>
      </c>
      <c r="DF24" s="1">
        <v>24523810.4176731</v>
      </c>
      <c r="DG24" s="1">
        <v>44544997.721810699</v>
      </c>
      <c r="DH24" s="1">
        <v>5286499853.4144001</v>
      </c>
      <c r="DI24" s="1">
        <v>4355291893.1335001</v>
      </c>
      <c r="DJ24" s="1">
        <v>4119906920.9762502</v>
      </c>
      <c r="DK24" s="1">
        <v>3276716399.7202601</v>
      </c>
      <c r="DL24" s="1">
        <v>2780132655.9853802</v>
      </c>
      <c r="DM24" s="1">
        <v>2098370710.69291</v>
      </c>
      <c r="DN24" s="1">
        <v>2260465286.4212198</v>
      </c>
      <c r="DO24" s="1">
        <v>1695930381.34707</v>
      </c>
      <c r="DP24" s="1">
        <v>1949542914.21878</v>
      </c>
      <c r="DQ24" s="1">
        <v>1712333821.66868</v>
      </c>
      <c r="DR24" s="1">
        <v>1629403506.9740901</v>
      </c>
      <c r="DS24" s="1">
        <v>1656164387.63662</v>
      </c>
      <c r="DT24" s="1">
        <v>1433795387.6624999</v>
      </c>
      <c r="DU24" s="1">
        <v>1333117023.4805601</v>
      </c>
      <c r="DV24" s="1">
        <v>982520127.65937901</v>
      </c>
      <c r="DW24" s="1">
        <v>1773246336.37444</v>
      </c>
    </row>
    <row r="25" spans="1:127" x14ac:dyDescent="0.25">
      <c r="A25" t="s">
        <v>53</v>
      </c>
      <c r="B25">
        <v>34.35</v>
      </c>
      <c r="C25">
        <v>-85.17</v>
      </c>
      <c r="D25">
        <v>-7.3</v>
      </c>
      <c r="E25">
        <v>-5.0999999999999996</v>
      </c>
      <c r="F25">
        <v>35.9</v>
      </c>
      <c r="G25">
        <v>23.7</v>
      </c>
      <c r="H25">
        <v>34.1</v>
      </c>
      <c r="I25">
        <v>23.4</v>
      </c>
      <c r="J25">
        <v>101.74999999999901</v>
      </c>
      <c r="K25">
        <v>0</v>
      </c>
      <c r="L25">
        <v>19742495895.302399</v>
      </c>
      <c r="M25">
        <v>4533412580.8285303</v>
      </c>
      <c r="N25">
        <v>5040.0345699999998</v>
      </c>
      <c r="O25" s="75">
        <v>13968981364.9055</v>
      </c>
      <c r="P25">
        <f>17461226706.1318*(0.8/0.96)</f>
        <v>14551022255.109835</v>
      </c>
      <c r="Q25">
        <v>29308</v>
      </c>
      <c r="R25">
        <v>121868799.99819601</v>
      </c>
      <c r="S25">
        <f>878.315975324938*(0.8/0.96)</f>
        <v>731.92997943744831</v>
      </c>
      <c r="T25">
        <v>6.51661881203799</v>
      </c>
      <c r="U25">
        <v>17.157227987266101</v>
      </c>
      <c r="V25">
        <v>24.5040548221872</v>
      </c>
      <c r="W25">
        <v>10.349996825940799</v>
      </c>
      <c r="X25">
        <v>3.8566305937315799</v>
      </c>
      <c r="Y25">
        <v>8.7196781667408807</v>
      </c>
      <c r="Z25">
        <v>18.225682684200699</v>
      </c>
      <c r="AA25">
        <v>11.8682910394631</v>
      </c>
      <c r="AB25">
        <v>3.0412056934786298</v>
      </c>
      <c r="AC25">
        <v>14.6009005050923</v>
      </c>
      <c r="AD25">
        <v>4.3977614638084797</v>
      </c>
      <c r="AE25">
        <v>3.3605171788043302</v>
      </c>
      <c r="AF25">
        <v>3.25360719501208</v>
      </c>
      <c r="AG25">
        <v>11.4011358084232</v>
      </c>
      <c r="AH25">
        <v>6.8965045412446599</v>
      </c>
      <c r="AI25">
        <v>6.8965045412446599</v>
      </c>
      <c r="AJ25">
        <v>101.333333333333</v>
      </c>
      <c r="AK25">
        <v>8.9166666666666607</v>
      </c>
      <c r="AL25">
        <v>19775599541.833801</v>
      </c>
      <c r="AM25">
        <v>3262085558.4946599</v>
      </c>
      <c r="AN25">
        <v>5040.0345699999998</v>
      </c>
      <c r="AO25" s="69">
        <v>13141396836.2449</v>
      </c>
      <c r="AP25">
        <v>3987142048.72263</v>
      </c>
      <c r="AQ25">
        <v>5040.0345699999998</v>
      </c>
      <c r="AR25" s="69">
        <v>306323611.00292999</v>
      </c>
      <c r="AS25">
        <v>306323611.00292999</v>
      </c>
      <c r="AT25">
        <v>5178.4676099999997</v>
      </c>
      <c r="AU25">
        <v>719995399.48657405</v>
      </c>
      <c r="AV25">
        <v>210.83064401219301</v>
      </c>
      <c r="AW25">
        <v>571.529236340441</v>
      </c>
      <c r="AX25">
        <v>808.03826533786696</v>
      </c>
      <c r="AY25">
        <v>358.23269487608098</v>
      </c>
      <c r="AZ25">
        <v>134.83374727673399</v>
      </c>
      <c r="BA25">
        <v>287.17147376679998</v>
      </c>
      <c r="BB25">
        <v>608.03359816319596</v>
      </c>
      <c r="BC25">
        <v>405.93477314084299</v>
      </c>
      <c r="BD25">
        <v>104.54711102276499</v>
      </c>
      <c r="BE25">
        <v>486.103655538765</v>
      </c>
      <c r="BF25">
        <v>145.272449927563</v>
      </c>
      <c r="BG25">
        <v>115.127638661218</v>
      </c>
      <c r="BH25">
        <v>110.057700300493</v>
      </c>
      <c r="BI25">
        <v>385.69700222304698</v>
      </c>
      <c r="BJ25">
        <v>226.36497264833201</v>
      </c>
      <c r="BK25">
        <v>226.36497264833201</v>
      </c>
      <c r="BL25">
        <v>38.895603105662197</v>
      </c>
      <c r="BM25">
        <v>100.836998894334</v>
      </c>
      <c r="BN25">
        <v>144.91562114286799</v>
      </c>
      <c r="BO25">
        <v>60.575805385801203</v>
      </c>
      <c r="BP25">
        <v>22.318577747332501</v>
      </c>
      <c r="BQ25">
        <v>51.868697737108398</v>
      </c>
      <c r="BR25">
        <v>107.180427685029</v>
      </c>
      <c r="BS25">
        <v>69.434028375494194</v>
      </c>
      <c r="BT25">
        <v>17.664687297636998</v>
      </c>
      <c r="BU25">
        <v>86.165912174446106</v>
      </c>
      <c r="BV25">
        <v>25.9888409441003</v>
      </c>
      <c r="BW25">
        <v>19.682949226141499</v>
      </c>
      <c r="BX25">
        <v>19.120205681797401</v>
      </c>
      <c r="BY25">
        <v>66.890147412594899</v>
      </c>
      <c r="BZ25">
        <v>40.881625156929601</v>
      </c>
      <c r="CA25">
        <v>40.881625156929601</v>
      </c>
      <c r="CB25">
        <v>16.103251355335601</v>
      </c>
      <c r="CC25">
        <v>45.292978141470797</v>
      </c>
      <c r="CD25">
        <v>64.853982456285394</v>
      </c>
      <c r="CE25">
        <v>29.111716803040402</v>
      </c>
      <c r="CF25">
        <v>10.678863827014199</v>
      </c>
      <c r="CG25">
        <v>22.412956673852499</v>
      </c>
      <c r="CH25">
        <v>50.126938472018601</v>
      </c>
      <c r="CI25">
        <v>29.9002393928291</v>
      </c>
      <c r="CJ25">
        <v>6.7756951552634597</v>
      </c>
      <c r="CK25">
        <v>36.294357229569599</v>
      </c>
      <c r="CL25">
        <v>10.5740981230012</v>
      </c>
      <c r="CM25">
        <v>8.3622883687113703</v>
      </c>
      <c r="CN25">
        <v>8.9300918257731894</v>
      </c>
      <c r="CO25">
        <v>27.3426519965303</v>
      </c>
      <c r="CP25">
        <v>16.4916954885576</v>
      </c>
      <c r="CQ25">
        <v>16.4916954885576</v>
      </c>
      <c r="CR25" s="1">
        <v>113649406.382517</v>
      </c>
      <c r="CS25" s="1">
        <v>92089761.664041802</v>
      </c>
      <c r="CT25" s="1">
        <v>89024495.029597804</v>
      </c>
      <c r="CU25" s="1">
        <v>73569503.047106102</v>
      </c>
      <c r="CV25" s="1">
        <v>55537611.425319798</v>
      </c>
      <c r="CW25" s="1">
        <v>42376029.094906397</v>
      </c>
      <c r="CX25" s="1">
        <v>45665095.576268397</v>
      </c>
      <c r="CY25" s="1">
        <v>33200958.688934099</v>
      </c>
      <c r="CZ25" s="1">
        <v>37992716.8620921</v>
      </c>
      <c r="DA25" s="1">
        <v>33775171.562030502</v>
      </c>
      <c r="DB25" s="1">
        <v>31850458.193735201</v>
      </c>
      <c r="DC25" s="1">
        <v>31545559.7429417</v>
      </c>
      <c r="DD25" s="1">
        <v>28053634.241166901</v>
      </c>
      <c r="DE25" s="1">
        <v>24373411.289457802</v>
      </c>
      <c r="DF25" s="1">
        <v>18517742.864455901</v>
      </c>
      <c r="DG25" s="1">
        <v>32570858.167997502</v>
      </c>
      <c r="DH25" s="1">
        <v>4682612601.6579905</v>
      </c>
      <c r="DI25" s="1">
        <v>3783774217.4755502</v>
      </c>
      <c r="DJ25" s="1">
        <v>3668818500.38761</v>
      </c>
      <c r="DK25" s="1">
        <v>3061466317.3955898</v>
      </c>
      <c r="DL25" s="1">
        <v>2312724990.82481</v>
      </c>
      <c r="DM25" s="1">
        <v>1772316635.9054</v>
      </c>
      <c r="DN25" s="1">
        <v>1921296509.8814399</v>
      </c>
      <c r="DO25" s="1">
        <v>1398235380.13498</v>
      </c>
      <c r="DP25" s="1">
        <v>1595561283.05477</v>
      </c>
      <c r="DQ25" s="1">
        <v>1426868825.1324799</v>
      </c>
      <c r="DR25" s="1">
        <v>1337557696.4465599</v>
      </c>
      <c r="DS25" s="1">
        <v>1334503467.9886601</v>
      </c>
      <c r="DT25" s="1">
        <v>1183555045.28262</v>
      </c>
      <c r="DU25" s="1">
        <v>1028627705.22457</v>
      </c>
      <c r="DV25" s="1">
        <v>785767904.28847802</v>
      </c>
      <c r="DW25" s="1">
        <v>1383169881.2721701</v>
      </c>
    </row>
    <row r="26" spans="1:127" x14ac:dyDescent="0.25">
      <c r="A26" t="s">
        <v>51</v>
      </c>
      <c r="B26">
        <v>32.119999999999997</v>
      </c>
      <c r="C26">
        <v>-81.2</v>
      </c>
      <c r="D26">
        <v>-2.6</v>
      </c>
      <c r="E26">
        <v>-0.9</v>
      </c>
      <c r="F26">
        <v>35.299999999999997</v>
      </c>
      <c r="G26">
        <v>25.1</v>
      </c>
      <c r="H26">
        <v>34.1</v>
      </c>
      <c r="I26">
        <v>24.9</v>
      </c>
      <c r="J26">
        <v>71.5833333333334</v>
      </c>
      <c r="K26">
        <v>0</v>
      </c>
      <c r="L26">
        <v>30964503107.958401</v>
      </c>
      <c r="M26">
        <v>6899686262.90481</v>
      </c>
      <c r="N26">
        <v>5734.4524600000004</v>
      </c>
      <c r="O26" s="75">
        <v>6451542585.8094797</v>
      </c>
      <c r="P26">
        <f>8064428232.26184*(0.8/0.96)</f>
        <v>6720356860.2181997</v>
      </c>
      <c r="Q26">
        <v>29308</v>
      </c>
      <c r="R26">
        <v>60876340.287969701</v>
      </c>
      <c r="S26">
        <f>405.648255272331*(0.8/0.96)</f>
        <v>338.04021272694251</v>
      </c>
      <c r="T26">
        <v>4.1583619461159103</v>
      </c>
      <c r="U26">
        <v>8.3340957490012499</v>
      </c>
      <c r="V26">
        <v>13.202455983069299</v>
      </c>
      <c r="W26">
        <v>6.5053495558779399</v>
      </c>
      <c r="X26">
        <v>1.79123567267791</v>
      </c>
      <c r="Y26">
        <v>5.8570428208767602</v>
      </c>
      <c r="Z26">
        <v>9.4182222270324196</v>
      </c>
      <c r="AA26">
        <v>6.3795536637957104</v>
      </c>
      <c r="AB26">
        <v>1.6014564095285999</v>
      </c>
      <c r="AC26">
        <v>8.6161783517570107</v>
      </c>
      <c r="AD26">
        <v>2.41350247239086</v>
      </c>
      <c r="AE26">
        <v>1.55388604119714</v>
      </c>
      <c r="AF26">
        <v>1.89832314378121</v>
      </c>
      <c r="AG26">
        <v>6.7462856524078401</v>
      </c>
      <c r="AH26">
        <v>4.32723020218</v>
      </c>
      <c r="AI26">
        <v>4.32723020218</v>
      </c>
      <c r="AJ26">
        <v>70.6666666666667</v>
      </c>
      <c r="AK26">
        <v>3.3333333333333299</v>
      </c>
      <c r="AL26">
        <v>31007400540.719398</v>
      </c>
      <c r="AM26">
        <v>4771488512.4095802</v>
      </c>
      <c r="AN26">
        <v>5734.4524600000004</v>
      </c>
      <c r="AO26" s="69">
        <v>6123302303.6004295</v>
      </c>
      <c r="AP26">
        <v>1760348194.3656299</v>
      </c>
      <c r="AQ26">
        <v>5734.4524600000004</v>
      </c>
      <c r="AR26" s="69">
        <v>89755204.882566705</v>
      </c>
      <c r="AS26">
        <v>89755204.882566705</v>
      </c>
      <c r="AT26">
        <v>4332.55861</v>
      </c>
      <c r="AU26">
        <v>321616655.51478302</v>
      </c>
      <c r="AV26">
        <v>119.762247666649</v>
      </c>
      <c r="AW26">
        <v>244.17345451347501</v>
      </c>
      <c r="AX26">
        <v>384.22320003645001</v>
      </c>
      <c r="AY26">
        <v>198.77410335274399</v>
      </c>
      <c r="AZ26">
        <v>55.361150118061403</v>
      </c>
      <c r="BA26">
        <v>170.953757443922</v>
      </c>
      <c r="BB26">
        <v>273.76437973472599</v>
      </c>
      <c r="BC26">
        <v>191.88195766299501</v>
      </c>
      <c r="BD26">
        <v>48.7704387226187</v>
      </c>
      <c r="BE26">
        <v>252.96448916939099</v>
      </c>
      <c r="BF26">
        <v>70.3991388300973</v>
      </c>
      <c r="BG26">
        <v>47.079371744843598</v>
      </c>
      <c r="BH26">
        <v>56.767915405310198</v>
      </c>
      <c r="BI26">
        <v>200.83908877343899</v>
      </c>
      <c r="BJ26">
        <v>126.192344815647</v>
      </c>
      <c r="BK26">
        <v>126.192344815647</v>
      </c>
      <c r="BL26">
        <v>22.046804916631299</v>
      </c>
      <c r="BM26">
        <v>43.832225926005499</v>
      </c>
      <c r="BN26">
        <v>69.8226448947092</v>
      </c>
      <c r="BO26">
        <v>34.182468653616603</v>
      </c>
      <c r="BP26">
        <v>9.3968894116360193</v>
      </c>
      <c r="BQ26">
        <v>31.066943535421299</v>
      </c>
      <c r="BR26">
        <v>49.589378635759097</v>
      </c>
      <c r="BS26">
        <v>33.552349459772103</v>
      </c>
      <c r="BT26">
        <v>8.4158673036143803</v>
      </c>
      <c r="BU26">
        <v>45.502886932243101</v>
      </c>
      <c r="BV26">
        <v>12.7476512593097</v>
      </c>
      <c r="BW26">
        <v>8.1573189936889907</v>
      </c>
      <c r="BX26">
        <v>9.9985308764887098</v>
      </c>
      <c r="BY26">
        <v>35.491659241751798</v>
      </c>
      <c r="BZ26">
        <v>22.905289907900901</v>
      </c>
      <c r="CA26">
        <v>22.905289907900901</v>
      </c>
      <c r="CB26">
        <v>6.2968986851598299</v>
      </c>
      <c r="CC26">
        <v>14.094809294449201</v>
      </c>
      <c r="CD26">
        <v>20.7551072476789</v>
      </c>
      <c r="CE26">
        <v>12.082827434254</v>
      </c>
      <c r="CF26">
        <v>3.5851151742659799</v>
      </c>
      <c r="CG26">
        <v>9.3896202030383797</v>
      </c>
      <c r="CH26">
        <v>15.85788150554</v>
      </c>
      <c r="CI26">
        <v>9.8251840521339897</v>
      </c>
      <c r="CJ26">
        <v>2.3358325636666799</v>
      </c>
      <c r="CK26">
        <v>13.2347974275455</v>
      </c>
      <c r="CL26">
        <v>3.8094613091485199</v>
      </c>
      <c r="CM26">
        <v>2.5969086574743701</v>
      </c>
      <c r="CN26">
        <v>3.1460494258615199</v>
      </c>
      <c r="CO26">
        <v>9.4800276265556391</v>
      </c>
      <c r="CP26">
        <v>6.6449960765427099</v>
      </c>
      <c r="CQ26">
        <v>6.6449960765427099</v>
      </c>
      <c r="CR26" s="1">
        <v>59250414.573769599</v>
      </c>
      <c r="CS26" s="1">
        <v>49372909.990852602</v>
      </c>
      <c r="CT26" s="1">
        <v>44344228.432518199</v>
      </c>
      <c r="CU26" s="1">
        <v>37464504.092688002</v>
      </c>
      <c r="CV26" s="1">
        <v>30213560.4611465</v>
      </c>
      <c r="CW26" s="1">
        <v>22927859.2318772</v>
      </c>
      <c r="CX26" s="1">
        <v>25162716.239036102</v>
      </c>
      <c r="CY26" s="1">
        <v>18532783.271078002</v>
      </c>
      <c r="CZ26" s="1">
        <v>21632110.6868902</v>
      </c>
      <c r="DA26" s="1">
        <v>19604451.098505002</v>
      </c>
      <c r="DB26" s="1">
        <v>20335115.3373271</v>
      </c>
      <c r="DC26" s="1">
        <v>19538369.589315198</v>
      </c>
      <c r="DD26" s="1">
        <v>16699637.616817201</v>
      </c>
      <c r="DE26" s="1">
        <v>15386847.9898101</v>
      </c>
      <c r="DF26" s="1">
        <v>12065987.733766399</v>
      </c>
      <c r="DG26" s="1">
        <v>22013234.4158604</v>
      </c>
      <c r="DH26" s="1">
        <v>2122345679.62782</v>
      </c>
      <c r="DI26" s="1">
        <v>1767164320.34886</v>
      </c>
      <c r="DJ26" s="1">
        <v>1576517885.51806</v>
      </c>
      <c r="DK26" s="1">
        <v>1344664231.0834899</v>
      </c>
      <c r="DL26" s="1">
        <v>1097934939.5615499</v>
      </c>
      <c r="DM26" s="1">
        <v>837378880.11333096</v>
      </c>
      <c r="DN26" s="1">
        <v>923799680.55235803</v>
      </c>
      <c r="DO26" s="1">
        <v>683977622.53453898</v>
      </c>
      <c r="DP26" s="1">
        <v>797855482.12042403</v>
      </c>
      <c r="DQ26" s="1">
        <v>726184862.55051899</v>
      </c>
      <c r="DR26" s="1">
        <v>754885735.35490894</v>
      </c>
      <c r="DS26" s="1">
        <v>730829004.27283001</v>
      </c>
      <c r="DT26" s="1">
        <v>623904589.39734697</v>
      </c>
      <c r="DU26" s="1">
        <v>575587069.50044298</v>
      </c>
      <c r="DV26" s="1">
        <v>453830974.29891598</v>
      </c>
      <c r="DW26" s="1">
        <v>825748860.83111894</v>
      </c>
    </row>
    <row r="27" spans="1:127" x14ac:dyDescent="0.25">
      <c r="A27" t="s">
        <v>54</v>
      </c>
      <c r="B27">
        <v>41.53</v>
      </c>
      <c r="C27">
        <v>-93.67</v>
      </c>
      <c r="D27">
        <v>-20.7</v>
      </c>
      <c r="E27">
        <v>-17.899999999999999</v>
      </c>
      <c r="F27">
        <v>33.6</v>
      </c>
      <c r="G27">
        <v>24.7</v>
      </c>
      <c r="H27">
        <v>32</v>
      </c>
      <c r="I27">
        <v>23.9</v>
      </c>
      <c r="J27">
        <v>9.5833333333333304</v>
      </c>
      <c r="K27">
        <v>0</v>
      </c>
      <c r="L27">
        <v>9595307064.8157692</v>
      </c>
      <c r="M27">
        <v>2191588197.60074</v>
      </c>
      <c r="N27">
        <v>5910.8598300000003</v>
      </c>
      <c r="O27" s="75">
        <v>54664908183.771599</v>
      </c>
      <c r="P27">
        <f>68331135229.7151*(0.8/0.96)</f>
        <v>56942612691.429253</v>
      </c>
      <c r="Q27">
        <v>29308</v>
      </c>
      <c r="R27">
        <v>523959724.85114098</v>
      </c>
      <c r="S27">
        <f>3437.11977940654*(0.8/0.96)</f>
        <v>2864.2664828387838</v>
      </c>
      <c r="T27">
        <v>98.723639596457502</v>
      </c>
      <c r="U27">
        <v>66.131875460758195</v>
      </c>
      <c r="V27">
        <v>71.800195816910104</v>
      </c>
      <c r="W27">
        <v>63.762275092633701</v>
      </c>
      <c r="X27">
        <v>15.173836945666</v>
      </c>
      <c r="Y27">
        <v>29.597737731309302</v>
      </c>
      <c r="Z27">
        <v>46.087724377801699</v>
      </c>
      <c r="AA27">
        <v>52.106890473164803</v>
      </c>
      <c r="AB27">
        <v>57.775162334935999</v>
      </c>
      <c r="AC27">
        <v>70.947164481047906</v>
      </c>
      <c r="AD27">
        <v>47.196872471840997</v>
      </c>
      <c r="AE27">
        <v>32.281879427963503</v>
      </c>
      <c r="AF27">
        <v>57.13540719745</v>
      </c>
      <c r="AG27">
        <v>67.733452494036101</v>
      </c>
      <c r="AH27">
        <v>16.807912656662602</v>
      </c>
      <c r="AI27">
        <v>16.807912656662602</v>
      </c>
      <c r="AJ27">
        <v>9.4166666666666607</v>
      </c>
      <c r="AK27">
        <v>25.5833333333333</v>
      </c>
      <c r="AL27">
        <v>9613720938.3636494</v>
      </c>
      <c r="AM27">
        <v>1508520031.2925501</v>
      </c>
      <c r="AN27">
        <v>5910.8598300000003</v>
      </c>
      <c r="AO27" s="69">
        <v>43194787036.415802</v>
      </c>
      <c r="AP27">
        <v>16117261434.0221</v>
      </c>
      <c r="AQ27">
        <v>5910.8598300000003</v>
      </c>
      <c r="AR27" s="69">
        <v>9516579355.8171291</v>
      </c>
      <c r="AS27">
        <v>9516579355.8171291</v>
      </c>
      <c r="AT27">
        <v>9285.7360000000008</v>
      </c>
      <c r="AU27">
        <v>2623148270.90098</v>
      </c>
      <c r="AV27">
        <v>3048.2826426429201</v>
      </c>
      <c r="AW27">
        <v>2027.48584365342</v>
      </c>
      <c r="AX27">
        <v>2212.4081478442799</v>
      </c>
      <c r="AY27">
        <v>1966.8437306103201</v>
      </c>
      <c r="AZ27">
        <v>465.61452619789702</v>
      </c>
      <c r="BA27">
        <v>910.77539282890996</v>
      </c>
      <c r="BB27">
        <v>1422.64367758202</v>
      </c>
      <c r="BC27">
        <v>1613.8673358973001</v>
      </c>
      <c r="BD27">
        <v>1784.10793793223</v>
      </c>
      <c r="BE27">
        <v>2181.1827230454601</v>
      </c>
      <c r="BF27">
        <v>1455.84319660809</v>
      </c>
      <c r="BG27">
        <v>1005.82453717461</v>
      </c>
      <c r="BH27">
        <v>1768.3125626349399</v>
      </c>
      <c r="BI27">
        <v>2098.5678778759102</v>
      </c>
      <c r="BJ27">
        <v>521.98858793400098</v>
      </c>
      <c r="BK27">
        <v>521.98858793400098</v>
      </c>
      <c r="BL27">
        <v>494.268144125643</v>
      </c>
      <c r="BM27">
        <v>329.52540028936397</v>
      </c>
      <c r="BN27">
        <v>356.48264890097897</v>
      </c>
      <c r="BO27">
        <v>317.59871923959702</v>
      </c>
      <c r="BP27">
        <v>75.2136773164207</v>
      </c>
      <c r="BQ27">
        <v>147.29743214070899</v>
      </c>
      <c r="BR27">
        <v>228.61870520162401</v>
      </c>
      <c r="BS27">
        <v>258.38079065938399</v>
      </c>
      <c r="BT27">
        <v>286.06697520029098</v>
      </c>
      <c r="BU27">
        <v>351.964798840573</v>
      </c>
      <c r="BV27">
        <v>233.36022241130999</v>
      </c>
      <c r="BW27">
        <v>160.58822636513801</v>
      </c>
      <c r="BX27">
        <v>283.55688840507003</v>
      </c>
      <c r="BY27">
        <v>335.21932708778002</v>
      </c>
      <c r="BZ27">
        <v>83.311846081177407</v>
      </c>
      <c r="CA27">
        <v>83.311846081177407</v>
      </c>
      <c r="CB27">
        <v>1801.7587938695401</v>
      </c>
      <c r="CC27">
        <v>1315.5851623828801</v>
      </c>
      <c r="CD27">
        <v>1490.9891684418101</v>
      </c>
      <c r="CE27">
        <v>1230.61727930539</v>
      </c>
      <c r="CF27">
        <v>327.55874203690399</v>
      </c>
      <c r="CG27">
        <v>600.47508475987502</v>
      </c>
      <c r="CH27">
        <v>957.38844284783602</v>
      </c>
      <c r="CI27">
        <v>1139.68735857353</v>
      </c>
      <c r="CJ27">
        <v>1232.3434384166301</v>
      </c>
      <c r="CK27">
        <v>1515.81983479001</v>
      </c>
      <c r="CL27">
        <v>1048.84840278057</v>
      </c>
      <c r="CM27">
        <v>704.72375383412498</v>
      </c>
      <c r="CN27">
        <v>1240.3088900601299</v>
      </c>
      <c r="CO27">
        <v>1577.5855478235101</v>
      </c>
      <c r="CP27">
        <v>381.83860550869298</v>
      </c>
      <c r="CQ27">
        <v>381.83860550869298</v>
      </c>
      <c r="CR27" s="1">
        <v>141932023.66484499</v>
      </c>
      <c r="CS27" s="1">
        <v>124414312.309954</v>
      </c>
      <c r="CT27" s="1">
        <v>98997951.428718194</v>
      </c>
      <c r="CU27" s="1">
        <v>49760128.241987497</v>
      </c>
      <c r="CV27" s="1">
        <v>33962285.371427</v>
      </c>
      <c r="CW27" s="1">
        <v>22062471.9248791</v>
      </c>
      <c r="CX27" s="1">
        <v>17417300.109583698</v>
      </c>
      <c r="CY27" s="1">
        <v>9093632.5016342998</v>
      </c>
      <c r="CZ27" s="1">
        <v>12430632.973972</v>
      </c>
      <c r="DA27" s="1">
        <v>7376160.7766512902</v>
      </c>
      <c r="DB27" s="1">
        <v>6441381.6238602903</v>
      </c>
      <c r="DC27" s="1">
        <v>5370868.1064807298</v>
      </c>
      <c r="DD27" s="1">
        <v>4470113.1610536799</v>
      </c>
      <c r="DE27" s="1">
        <v>3509509.0198111399</v>
      </c>
      <c r="DF27" s="1">
        <v>5745268.1206575502</v>
      </c>
      <c r="DG27" s="1">
        <v>5225693.9189221999</v>
      </c>
      <c r="DH27" s="1">
        <v>7796820514.8955803</v>
      </c>
      <c r="DI27" s="1">
        <v>7005391505.3456202</v>
      </c>
      <c r="DJ27" s="1">
        <v>5621334795.16187</v>
      </c>
      <c r="DK27" s="1">
        <v>3021766002.6204901</v>
      </c>
      <c r="DL27" s="1">
        <v>2129850741.04685</v>
      </c>
      <c r="DM27" s="1">
        <v>1457653482.4295101</v>
      </c>
      <c r="DN27" s="1">
        <v>1057377445.93328</v>
      </c>
      <c r="DO27" s="1">
        <v>589852058.89141595</v>
      </c>
      <c r="DP27" s="1">
        <v>844024077.37090099</v>
      </c>
      <c r="DQ27" s="1">
        <v>479876347.09277099</v>
      </c>
      <c r="DR27" s="1">
        <v>424364252.16096598</v>
      </c>
      <c r="DS27" s="1">
        <v>374432605.87249202</v>
      </c>
      <c r="DT27" s="1">
        <v>318612280.54195303</v>
      </c>
      <c r="DU27" s="1">
        <v>227141826.561088</v>
      </c>
      <c r="DV27" s="1">
        <v>456193233.03208101</v>
      </c>
      <c r="DW27" s="1">
        <v>416834730.18516803</v>
      </c>
    </row>
    <row r="28" spans="1:127" x14ac:dyDescent="0.25">
      <c r="A28" t="s">
        <v>55</v>
      </c>
      <c r="B28">
        <v>42.38</v>
      </c>
      <c r="C28">
        <v>-96.38</v>
      </c>
      <c r="D28">
        <v>-22.1</v>
      </c>
      <c r="E28">
        <v>-19.3</v>
      </c>
      <c r="F28">
        <v>33.9</v>
      </c>
      <c r="G28">
        <v>23.9</v>
      </c>
      <c r="H28">
        <v>32.299999999999997</v>
      </c>
      <c r="I28">
        <v>23.4</v>
      </c>
      <c r="J28">
        <v>0.33333333333333298</v>
      </c>
      <c r="K28">
        <v>0</v>
      </c>
      <c r="L28">
        <v>4404789847.08811</v>
      </c>
      <c r="M28">
        <v>1060159074.23054</v>
      </c>
      <c r="N28">
        <v>6163.0136400000001</v>
      </c>
      <c r="O28" s="75">
        <v>63301847917.517197</v>
      </c>
      <c r="P28">
        <f>79127309896.896*(0.8/0.96)</f>
        <v>65939424914.080002</v>
      </c>
      <c r="Q28">
        <v>29308</v>
      </c>
      <c r="R28">
        <v>656085016.17636895</v>
      </c>
      <c r="S28">
        <f>3980.17742605249*(0.8/0.96)</f>
        <v>3316.8145217104084</v>
      </c>
      <c r="T28">
        <v>123.77799862957301</v>
      </c>
      <c r="U28">
        <v>81.768737328846797</v>
      </c>
      <c r="V28">
        <v>89.841279330171403</v>
      </c>
      <c r="W28">
        <v>79.751504236469998</v>
      </c>
      <c r="X28">
        <v>19.286693927320201</v>
      </c>
      <c r="Y28">
        <v>37.171827448294501</v>
      </c>
      <c r="Z28">
        <v>57.680362197045703</v>
      </c>
      <c r="AA28">
        <v>65.649390852342805</v>
      </c>
      <c r="AB28">
        <v>71.7175182397052</v>
      </c>
      <c r="AC28">
        <v>88.334103190362995</v>
      </c>
      <c r="AD28">
        <v>59.175099584647</v>
      </c>
      <c r="AE28">
        <v>40.199800378004703</v>
      </c>
      <c r="AF28">
        <v>71.828770273150496</v>
      </c>
      <c r="AG28">
        <v>84.777868555830906</v>
      </c>
      <c r="AH28">
        <v>21.432286051627798</v>
      </c>
      <c r="AI28">
        <v>21.432286051627798</v>
      </c>
      <c r="AJ28">
        <v>0.33333333333333298</v>
      </c>
      <c r="AK28">
        <v>63.250000000000398</v>
      </c>
      <c r="AL28">
        <v>4411285996.5549297</v>
      </c>
      <c r="AM28">
        <v>783823292.39432096</v>
      </c>
      <c r="AN28">
        <v>6163.0136400000001</v>
      </c>
      <c r="AO28" s="69">
        <v>47488610674.980797</v>
      </c>
      <c r="AP28">
        <v>18179344896.339401</v>
      </c>
      <c r="AQ28">
        <v>6163.0136400000001</v>
      </c>
      <c r="AR28" s="69">
        <v>13408680944.867599</v>
      </c>
      <c r="AS28">
        <v>13408680944.867599</v>
      </c>
      <c r="AT28">
        <v>9991.9028799999996</v>
      </c>
      <c r="AU28">
        <v>3115266978.2441301</v>
      </c>
      <c r="AV28">
        <v>3437.1628074854402</v>
      </c>
      <c r="AW28">
        <v>2261.6876919800902</v>
      </c>
      <c r="AX28">
        <v>2510.99652680085</v>
      </c>
      <c r="AY28">
        <v>2233.13134361831</v>
      </c>
      <c r="AZ28">
        <v>526.74368934263396</v>
      </c>
      <c r="BA28">
        <v>1034.9213858468599</v>
      </c>
      <c r="BB28">
        <v>1615.2635831626901</v>
      </c>
      <c r="BC28">
        <v>1813.4289271228999</v>
      </c>
      <c r="BD28">
        <v>2005.2720571589</v>
      </c>
      <c r="BE28">
        <v>2463.6912198483301</v>
      </c>
      <c r="BF28">
        <v>1648.74446003561</v>
      </c>
      <c r="BG28">
        <v>1125.85363804896</v>
      </c>
      <c r="BH28">
        <v>1999.4238496205501</v>
      </c>
      <c r="BI28">
        <v>2355.2888087608198</v>
      </c>
      <c r="BJ28">
        <v>587.52028048350996</v>
      </c>
      <c r="BK28">
        <v>587.52028048350996</v>
      </c>
      <c r="BL28">
        <v>587.55440657391296</v>
      </c>
      <c r="BM28">
        <v>387.50468665934898</v>
      </c>
      <c r="BN28">
        <v>425.25393917859799</v>
      </c>
      <c r="BO28">
        <v>378.74105938222101</v>
      </c>
      <c r="BP28">
        <v>90.225243305968107</v>
      </c>
      <c r="BQ28">
        <v>176.181186398059</v>
      </c>
      <c r="BR28">
        <v>273.20694632144</v>
      </c>
      <c r="BS28">
        <v>308.17146838359702</v>
      </c>
      <c r="BT28">
        <v>339.079556118151</v>
      </c>
      <c r="BU28">
        <v>418.25846617149801</v>
      </c>
      <c r="BV28">
        <v>278.19807399768399</v>
      </c>
      <c r="BW28">
        <v>190.29201859004601</v>
      </c>
      <c r="BX28">
        <v>338.97959496330799</v>
      </c>
      <c r="BY28">
        <v>398.24548993253597</v>
      </c>
      <c r="BZ28">
        <v>99.786805161497696</v>
      </c>
      <c r="CA28">
        <v>99.786805161497696</v>
      </c>
      <c r="CB28">
        <v>2553.41104168127</v>
      </c>
      <c r="CC28">
        <v>1721.1178980300899</v>
      </c>
      <c r="CD28">
        <v>1974.4066451183801</v>
      </c>
      <c r="CE28">
        <v>1668.59131331461</v>
      </c>
      <c r="CF28">
        <v>460.745433721094</v>
      </c>
      <c r="CG28">
        <v>802.03774305588797</v>
      </c>
      <c r="CH28">
        <v>1262.8960653126901</v>
      </c>
      <c r="CI28">
        <v>1561.91834680337</v>
      </c>
      <c r="CJ28">
        <v>1592.6699251406301</v>
      </c>
      <c r="CK28">
        <v>1946.1703477809699</v>
      </c>
      <c r="CL28">
        <v>1380.14569582371</v>
      </c>
      <c r="CM28">
        <v>921.29547964672895</v>
      </c>
      <c r="CN28">
        <v>1653.5072569680301</v>
      </c>
      <c r="CO28">
        <v>2071.7571231244001</v>
      </c>
      <c r="CP28">
        <v>547.362815556957</v>
      </c>
      <c r="CQ28">
        <v>547.362815556957</v>
      </c>
      <c r="CR28" s="1">
        <v>175945837.649674</v>
      </c>
      <c r="CS28" s="1">
        <v>153149899.38015601</v>
      </c>
      <c r="CT28" s="1">
        <v>123060002.928499</v>
      </c>
      <c r="CU28" s="1">
        <v>61038029.007535398</v>
      </c>
      <c r="CV28" s="1">
        <v>40274973.013466403</v>
      </c>
      <c r="CW28" s="1">
        <v>26993278.987592701</v>
      </c>
      <c r="CX28" s="1">
        <v>21639285.704293098</v>
      </c>
      <c r="CY28" s="1">
        <v>10483890.541045699</v>
      </c>
      <c r="CZ28" s="1">
        <v>13915280.976787699</v>
      </c>
      <c r="DA28" s="1">
        <v>9322074.0051592607</v>
      </c>
      <c r="DB28" s="1">
        <v>7709731.6978954701</v>
      </c>
      <c r="DC28" s="1">
        <v>6196116.2881988101</v>
      </c>
      <c r="DD28" s="1">
        <v>5437542.9623098299</v>
      </c>
      <c r="DE28" s="1">
        <v>5117588.84394217</v>
      </c>
      <c r="DF28" s="1">
        <v>6075457.8914134298</v>
      </c>
      <c r="DG28" s="1">
        <v>5539932.6709072096</v>
      </c>
      <c r="DH28" s="1">
        <v>9298540524.0587902</v>
      </c>
      <c r="DI28" s="1">
        <v>8264865761.34618</v>
      </c>
      <c r="DJ28" s="1">
        <v>6655013843.4980001</v>
      </c>
      <c r="DK28" s="1">
        <v>3597381606.4439301</v>
      </c>
      <c r="DL28" s="1">
        <v>2354877131.10253</v>
      </c>
      <c r="DM28" s="1">
        <v>1650050179.72367</v>
      </c>
      <c r="DN28" s="1">
        <v>1321166797.1469901</v>
      </c>
      <c r="DO28" s="1">
        <v>646925140.36003006</v>
      </c>
      <c r="DP28" s="1">
        <v>828679178.71630502</v>
      </c>
      <c r="DQ28" s="1">
        <v>618394971.53089702</v>
      </c>
      <c r="DR28" s="1">
        <v>491141894.12458402</v>
      </c>
      <c r="DS28" s="1">
        <v>390158821.29153299</v>
      </c>
      <c r="DT28" s="1">
        <v>352216420.42406303</v>
      </c>
      <c r="DU28" s="1">
        <v>360711938.56375098</v>
      </c>
      <c r="DV28" s="1">
        <v>382129275.08949703</v>
      </c>
      <c r="DW28" s="1">
        <v>351093540.93212402</v>
      </c>
    </row>
    <row r="29" spans="1:127" x14ac:dyDescent="0.25">
      <c r="A29" t="s">
        <v>56</v>
      </c>
      <c r="B29">
        <v>43.62</v>
      </c>
      <c r="C29">
        <v>-116.21</v>
      </c>
      <c r="D29">
        <v>-12.9</v>
      </c>
      <c r="E29">
        <v>-9.1</v>
      </c>
      <c r="F29">
        <v>37</v>
      </c>
      <c r="G29">
        <v>17.7</v>
      </c>
      <c r="H29">
        <v>35.200000000000003</v>
      </c>
      <c r="I29">
        <v>17.2</v>
      </c>
      <c r="J29">
        <v>98.249999999999901</v>
      </c>
      <c r="K29">
        <v>0</v>
      </c>
      <c r="L29">
        <v>10184107706.834</v>
      </c>
      <c r="M29">
        <v>2564099289.83324</v>
      </c>
      <c r="N29">
        <v>4880.9875400000001</v>
      </c>
      <c r="O29" s="75">
        <v>37456489157.962898</v>
      </c>
      <c r="P29">
        <f>46820611447.4535*(0.8/0.96)</f>
        <v>39017176206.21125</v>
      </c>
      <c r="Q29">
        <v>29308</v>
      </c>
      <c r="R29">
        <v>387591730.96433699</v>
      </c>
      <c r="S29">
        <f>2355.12038763799*(0.8/0.96)</f>
        <v>1962.6003230316585</v>
      </c>
      <c r="T29">
        <v>50.691068517628999</v>
      </c>
      <c r="U29">
        <v>7.45293263055183</v>
      </c>
      <c r="V29">
        <v>42.720579188173801</v>
      </c>
      <c r="W29">
        <v>9.4805172758770198</v>
      </c>
      <c r="X29">
        <v>24.149176131310998</v>
      </c>
      <c r="Y29">
        <v>35.244574223629499</v>
      </c>
      <c r="Z29">
        <v>33.216137832614898</v>
      </c>
      <c r="AA29">
        <v>28.281877667941998</v>
      </c>
      <c r="AB29">
        <v>14.061955263149899</v>
      </c>
      <c r="AC29">
        <v>9.5254280502437094</v>
      </c>
      <c r="AD29">
        <v>23.143421149526301</v>
      </c>
      <c r="AE29">
        <v>16.5225853673752</v>
      </c>
      <c r="AF29">
        <v>13.2329920571821</v>
      </c>
      <c r="AG29">
        <v>23.173163043463699</v>
      </c>
      <c r="AH29">
        <v>7.8756176126978001</v>
      </c>
      <c r="AI29">
        <v>7.8756176126978001</v>
      </c>
      <c r="AJ29">
        <v>98.333333333333201</v>
      </c>
      <c r="AK29">
        <v>16.5</v>
      </c>
      <c r="AL29">
        <v>10163762054.941</v>
      </c>
      <c r="AM29">
        <v>1868586397.1826601</v>
      </c>
      <c r="AN29">
        <v>4880.9875400000001</v>
      </c>
      <c r="AO29" s="69">
        <v>33447648564.287601</v>
      </c>
      <c r="AP29">
        <v>10805267864.958401</v>
      </c>
      <c r="AQ29">
        <v>4880.9875400000001</v>
      </c>
      <c r="AR29" s="69">
        <v>2091148976.7481799</v>
      </c>
      <c r="AS29">
        <v>2091148976.7481799</v>
      </c>
      <c r="AT29">
        <v>6845.1482999999998</v>
      </c>
      <c r="AU29">
        <v>2439706180.5088</v>
      </c>
      <c r="AV29">
        <v>1423.49018507862</v>
      </c>
      <c r="AW29">
        <v>207.30328767851901</v>
      </c>
      <c r="AX29">
        <v>1203.3510283340499</v>
      </c>
      <c r="AY29">
        <v>267.97505368403301</v>
      </c>
      <c r="AZ29">
        <v>690.31718365824497</v>
      </c>
      <c r="BA29">
        <v>999.43879822316296</v>
      </c>
      <c r="BB29">
        <v>933.83726366422104</v>
      </c>
      <c r="BC29">
        <v>809.27950033017896</v>
      </c>
      <c r="BD29">
        <v>397.07675836101203</v>
      </c>
      <c r="BE29">
        <v>277.47209180473999</v>
      </c>
      <c r="BF29">
        <v>653.58298856388103</v>
      </c>
      <c r="BG29">
        <v>462.86884679086302</v>
      </c>
      <c r="BH29">
        <v>371.11247438452102</v>
      </c>
      <c r="BI29">
        <v>657.05113987501295</v>
      </c>
      <c r="BJ29">
        <v>222.78630155541001</v>
      </c>
      <c r="BK29">
        <v>222.78630155541001</v>
      </c>
      <c r="BL29">
        <v>319.98482880422898</v>
      </c>
      <c r="BM29">
        <v>46.908804464091602</v>
      </c>
      <c r="BN29">
        <v>268.93027794237003</v>
      </c>
      <c r="BO29">
        <v>59.643101713347598</v>
      </c>
      <c r="BP29">
        <v>152.59017883201901</v>
      </c>
      <c r="BQ29">
        <v>222.387407190587</v>
      </c>
      <c r="BR29">
        <v>209.27043777681399</v>
      </c>
      <c r="BS29">
        <v>178.76888878069701</v>
      </c>
      <c r="BT29">
        <v>88.759612308497694</v>
      </c>
      <c r="BU29">
        <v>60.182203041141598</v>
      </c>
      <c r="BV29">
        <v>146.29485399632699</v>
      </c>
      <c r="BW29">
        <v>104.344734576186</v>
      </c>
      <c r="BX29">
        <v>83.579666023153607</v>
      </c>
      <c r="BY29">
        <v>146.62994609434301</v>
      </c>
      <c r="BZ29">
        <v>49.665656991922702</v>
      </c>
      <c r="CA29">
        <v>49.665656991922702</v>
      </c>
      <c r="CB29">
        <v>267.52325293476099</v>
      </c>
      <c r="CC29">
        <v>34.828164140756002</v>
      </c>
      <c r="CD29">
        <v>241.782821594843</v>
      </c>
      <c r="CE29">
        <v>53.067980647950698</v>
      </c>
      <c r="CF29">
        <v>158.84049328427199</v>
      </c>
      <c r="CG29">
        <v>202.510259997052</v>
      </c>
      <c r="CH29">
        <v>187.80298346687701</v>
      </c>
      <c r="CI29">
        <v>178.145638596791</v>
      </c>
      <c r="CJ29">
        <v>82.027487422910696</v>
      </c>
      <c r="CK29">
        <v>71.110175163877003</v>
      </c>
      <c r="CL29">
        <v>143.85837356862999</v>
      </c>
      <c r="CM29">
        <v>88.045234498433402</v>
      </c>
      <c r="CN29">
        <v>63.945434912102201</v>
      </c>
      <c r="CO29">
        <v>143.50857030796001</v>
      </c>
      <c r="CP29">
        <v>42.174979248124103</v>
      </c>
      <c r="CQ29">
        <v>42.174979248124103</v>
      </c>
      <c r="CR29" s="1">
        <v>124834933.92122699</v>
      </c>
      <c r="CS29" s="1">
        <v>117296243.069089</v>
      </c>
      <c r="CT29" s="1">
        <v>112411398.27225</v>
      </c>
      <c r="CU29" s="1">
        <v>102943280.63722999</v>
      </c>
      <c r="CV29" s="1">
        <v>94390722.791343406</v>
      </c>
      <c r="CW29" s="1">
        <v>85847020.039867803</v>
      </c>
      <c r="CX29" s="1">
        <v>88505211.889148399</v>
      </c>
      <c r="CY29" s="1">
        <v>83458734.393712506</v>
      </c>
      <c r="CZ29" s="1">
        <v>111683643.236531</v>
      </c>
      <c r="DA29" s="1">
        <v>88820646.861564398</v>
      </c>
      <c r="DB29" s="1">
        <v>62783071.570300899</v>
      </c>
      <c r="DC29" s="1">
        <v>75050401.523287699</v>
      </c>
      <c r="DD29" s="1">
        <v>47534812.579354003</v>
      </c>
      <c r="DE29" s="1">
        <v>40654396.284784697</v>
      </c>
      <c r="DF29" s="1">
        <v>39468791.928139798</v>
      </c>
      <c r="DG29" s="1">
        <v>32614859.411802199</v>
      </c>
      <c r="DH29" s="1">
        <v>5003604958.0662603</v>
      </c>
      <c r="DI29" s="1">
        <v>4632101069.7896204</v>
      </c>
      <c r="DJ29" s="1">
        <v>4508675530.0826902</v>
      </c>
      <c r="DK29" s="1">
        <v>4131171803.95083</v>
      </c>
      <c r="DL29" s="1">
        <v>3873172345.2185001</v>
      </c>
      <c r="DM29" s="1">
        <v>3537348616.53825</v>
      </c>
      <c r="DN29" s="1">
        <v>3674375119.6884999</v>
      </c>
      <c r="DO29" s="1">
        <v>3435657057.1564999</v>
      </c>
      <c r="DP29" s="1">
        <v>4637361760.6686497</v>
      </c>
      <c r="DQ29" s="1">
        <v>3687943109.4193902</v>
      </c>
      <c r="DR29" s="1">
        <v>2660050966.7390199</v>
      </c>
      <c r="DS29" s="1">
        <v>3173175488.1834698</v>
      </c>
      <c r="DT29" s="1">
        <v>2055437721.41975</v>
      </c>
      <c r="DU29" s="1">
        <v>1765065149.17542</v>
      </c>
      <c r="DV29" s="1">
        <v>1744650200.2982199</v>
      </c>
      <c r="DW29" s="1">
        <v>1413778464.10004</v>
      </c>
    </row>
    <row r="30" spans="1:127" x14ac:dyDescent="0.25">
      <c r="A30" t="s">
        <v>57</v>
      </c>
      <c r="B30">
        <v>43.52</v>
      </c>
      <c r="C30">
        <v>-112.07</v>
      </c>
      <c r="D30">
        <v>-21.5</v>
      </c>
      <c r="E30">
        <v>-17.899999999999999</v>
      </c>
      <c r="F30">
        <v>33.1</v>
      </c>
      <c r="G30">
        <v>16.100000000000001</v>
      </c>
      <c r="H30">
        <v>32</v>
      </c>
      <c r="I30">
        <v>15.9</v>
      </c>
      <c r="J30">
        <v>4.5833333333333304</v>
      </c>
      <c r="K30">
        <v>0</v>
      </c>
      <c r="L30">
        <v>5071511761.52318</v>
      </c>
      <c r="M30">
        <v>1242058180.3090501</v>
      </c>
      <c r="N30">
        <v>4931.5295299999998</v>
      </c>
      <c r="O30" s="75">
        <v>55675776263.022598</v>
      </c>
      <c r="P30">
        <f>69594720328.7784*(0.8/0.96)</f>
        <v>57995600273.982002</v>
      </c>
      <c r="Q30">
        <v>29308</v>
      </c>
      <c r="R30">
        <v>600467094.06559503</v>
      </c>
      <c r="S30">
        <f>3500.67928741637*(0.8/0.96)</f>
        <v>2917.2327395136417</v>
      </c>
      <c r="T30">
        <v>76.822239376979894</v>
      </c>
      <c r="U30">
        <v>12.0697615381494</v>
      </c>
      <c r="V30">
        <v>65.497620309855094</v>
      </c>
      <c r="W30">
        <v>14.681212411322001</v>
      </c>
      <c r="X30">
        <v>34.064280259210797</v>
      </c>
      <c r="Y30">
        <v>52.365472324206003</v>
      </c>
      <c r="Z30">
        <v>50.234338018229103</v>
      </c>
      <c r="AA30">
        <v>42.225090619712802</v>
      </c>
      <c r="AB30">
        <v>21.516551283912701</v>
      </c>
      <c r="AC30">
        <v>13.712076285022301</v>
      </c>
      <c r="AD30">
        <v>35.239808503051101</v>
      </c>
      <c r="AE30">
        <v>24.9956875944053</v>
      </c>
      <c r="AF30">
        <v>19.8985966258624</v>
      </c>
      <c r="AG30">
        <v>34.195213041332998</v>
      </c>
      <c r="AH30">
        <v>12.1793704942875</v>
      </c>
      <c r="AI30">
        <v>12.1793704942875</v>
      </c>
      <c r="AJ30">
        <v>4.5833333333333304</v>
      </c>
      <c r="AK30">
        <v>22.6666666666666</v>
      </c>
      <c r="AL30">
        <v>5072565053.5406103</v>
      </c>
      <c r="AM30">
        <v>841460882.01449502</v>
      </c>
      <c r="AN30">
        <v>4931.5295299999998</v>
      </c>
      <c r="AO30" s="69">
        <v>42251356906.029701</v>
      </c>
      <c r="AP30">
        <v>16294406687.6861</v>
      </c>
      <c r="AQ30">
        <v>4931.5295299999998</v>
      </c>
      <c r="AR30" s="69">
        <v>10594777148.3955</v>
      </c>
      <c r="AS30">
        <v>10594777148.3955</v>
      </c>
      <c r="AT30">
        <v>9092.8590299999996</v>
      </c>
      <c r="AU30">
        <v>3586518328.58675</v>
      </c>
      <c r="AV30">
        <v>2105.3439842807602</v>
      </c>
      <c r="AW30">
        <v>327.47850167600899</v>
      </c>
      <c r="AX30">
        <v>1784.40267798684</v>
      </c>
      <c r="AY30">
        <v>403.34390635288202</v>
      </c>
      <c r="AZ30">
        <v>943.258847075002</v>
      </c>
      <c r="BA30">
        <v>1444.09469615027</v>
      </c>
      <c r="BB30">
        <v>1372.11668852767</v>
      </c>
      <c r="BC30">
        <v>1163.5478720042599</v>
      </c>
      <c r="BD30">
        <v>588.32205872032</v>
      </c>
      <c r="BE30">
        <v>381.89549255856298</v>
      </c>
      <c r="BF30">
        <v>962.09410596017199</v>
      </c>
      <c r="BG30">
        <v>686.02908129661705</v>
      </c>
      <c r="BH30">
        <v>547.82208871329101</v>
      </c>
      <c r="BI30">
        <v>940.52836035586597</v>
      </c>
      <c r="BJ30">
        <v>334.96668952465001</v>
      </c>
      <c r="BK30">
        <v>334.96668952465001</v>
      </c>
      <c r="BL30">
        <v>460.18581052249999</v>
      </c>
      <c r="BM30">
        <v>72.111397080029903</v>
      </c>
      <c r="BN30">
        <v>390.840041681164</v>
      </c>
      <c r="BO30">
        <v>87.7708820385743</v>
      </c>
      <c r="BP30">
        <v>203.343696444127</v>
      </c>
      <c r="BQ30">
        <v>313.24973738496999</v>
      </c>
      <c r="BR30">
        <v>299.26955255982102</v>
      </c>
      <c r="BS30">
        <v>251.84086400310801</v>
      </c>
      <c r="BT30">
        <v>127.57133967100999</v>
      </c>
      <c r="BU30">
        <v>81.582106664762406</v>
      </c>
      <c r="BV30">
        <v>210.050844022208</v>
      </c>
      <c r="BW30">
        <v>149.519551447308</v>
      </c>
      <c r="BX30">
        <v>120.445410798258</v>
      </c>
      <c r="BY30">
        <v>204.53858189610099</v>
      </c>
      <c r="BZ30">
        <v>72.685483274610803</v>
      </c>
      <c r="CA30">
        <v>72.685483274610803</v>
      </c>
      <c r="CB30">
        <v>1411.10615898796</v>
      </c>
      <c r="CC30">
        <v>207.80871731119601</v>
      </c>
      <c r="CD30">
        <v>1229.2398661632401</v>
      </c>
      <c r="CE30">
        <v>248.46460026125601</v>
      </c>
      <c r="CF30">
        <v>662.63958797890098</v>
      </c>
      <c r="CG30">
        <v>999.717899517349</v>
      </c>
      <c r="CH30">
        <v>963.65051347927795</v>
      </c>
      <c r="CI30">
        <v>851.37157642580996</v>
      </c>
      <c r="CJ30">
        <v>433.47974250497202</v>
      </c>
      <c r="CK30">
        <v>284.18927864639301</v>
      </c>
      <c r="CL30">
        <v>688.91309512287501</v>
      </c>
      <c r="CM30">
        <v>457.86484473243002</v>
      </c>
      <c r="CN30">
        <v>318.71459387995901</v>
      </c>
      <c r="CO30">
        <v>669.31313874040495</v>
      </c>
      <c r="CP30">
        <v>232.53105859658001</v>
      </c>
      <c r="CQ30">
        <v>232.53105859658001</v>
      </c>
      <c r="CR30" s="1">
        <v>189726999.18205401</v>
      </c>
      <c r="CS30" s="1">
        <v>182488750.10453901</v>
      </c>
      <c r="CT30" s="1">
        <v>169952847.02323899</v>
      </c>
      <c r="CU30" s="1">
        <v>157441946.71801001</v>
      </c>
      <c r="CV30" s="1">
        <v>139915617.83761799</v>
      </c>
      <c r="CW30" s="1">
        <v>127053867.47129799</v>
      </c>
      <c r="CX30" s="1">
        <v>127825323.645087</v>
      </c>
      <c r="CY30" s="1">
        <v>124782614.487648</v>
      </c>
      <c r="CZ30" s="1">
        <v>167977299.446594</v>
      </c>
      <c r="DA30" s="1">
        <v>134750398.25338799</v>
      </c>
      <c r="DB30" s="1">
        <v>92802745.594676405</v>
      </c>
      <c r="DC30" s="1">
        <v>109737306.810954</v>
      </c>
      <c r="DD30" s="1">
        <v>68495937.950265795</v>
      </c>
      <c r="DE30" s="1">
        <v>56643826.924085997</v>
      </c>
      <c r="DF30" s="1">
        <v>58657943.951935098</v>
      </c>
      <c r="DG30" s="1">
        <v>46989829.135178</v>
      </c>
      <c r="DH30" s="1">
        <v>9526879102.5618</v>
      </c>
      <c r="DI30" s="1">
        <v>9399292179.8567104</v>
      </c>
      <c r="DJ30" s="1">
        <v>8634700088.3562908</v>
      </c>
      <c r="DK30" s="1">
        <v>8479746116.6893196</v>
      </c>
      <c r="DL30" s="1">
        <v>7585996650.8842697</v>
      </c>
      <c r="DM30" s="1">
        <v>6990571131.6508198</v>
      </c>
      <c r="DN30" s="1">
        <v>6801979843.0584698</v>
      </c>
      <c r="DO30" s="1">
        <v>6915792715.7123804</v>
      </c>
      <c r="DP30" s="1">
        <v>9278711383.6365204</v>
      </c>
      <c r="DQ30" s="1">
        <v>7412757764.2447796</v>
      </c>
      <c r="DR30" s="1">
        <v>5138375898.7744703</v>
      </c>
      <c r="DS30" s="1">
        <v>6021916976.0401201</v>
      </c>
      <c r="DT30" s="1">
        <v>3728903538.22224</v>
      </c>
      <c r="DU30" s="1">
        <v>2889391125.8378301</v>
      </c>
      <c r="DV30" s="1">
        <v>3251576193.6666598</v>
      </c>
      <c r="DW30" s="1">
        <v>2445229983.9857001</v>
      </c>
    </row>
    <row r="31" spans="1:127" x14ac:dyDescent="0.25">
      <c r="A31" t="s">
        <v>58</v>
      </c>
      <c r="B31">
        <v>38.549999999999997</v>
      </c>
      <c r="C31">
        <v>-89.85</v>
      </c>
      <c r="D31">
        <v>-12.8</v>
      </c>
      <c r="E31">
        <v>-10.9</v>
      </c>
      <c r="F31">
        <v>34.9</v>
      </c>
      <c r="G31">
        <v>24.7</v>
      </c>
      <c r="H31">
        <v>33</v>
      </c>
      <c r="I31">
        <v>24.2</v>
      </c>
      <c r="J31">
        <v>57.5833333333334</v>
      </c>
      <c r="K31">
        <v>0</v>
      </c>
      <c r="L31">
        <v>15040499727.429701</v>
      </c>
      <c r="M31">
        <v>3402433554.2481699</v>
      </c>
      <c r="N31">
        <v>5178.8955100000003</v>
      </c>
      <c r="O31" s="75">
        <v>37436585314.926598</v>
      </c>
      <c r="P31">
        <f>46795731643.6585*(0.8/0.96)</f>
        <v>38996443036.382088</v>
      </c>
      <c r="Q31">
        <v>29308</v>
      </c>
      <c r="R31">
        <v>319295069.44136697</v>
      </c>
      <c r="S31">
        <f>2353.86891032177*(0.8/0.96)</f>
        <v>1961.5574252681415</v>
      </c>
      <c r="T31">
        <v>38.723541216860703</v>
      </c>
      <c r="U31">
        <v>28.412005426920299</v>
      </c>
      <c r="V31">
        <v>33.821607049789897</v>
      </c>
      <c r="W31">
        <v>21.454297822262902</v>
      </c>
      <c r="X31">
        <v>12.8730923404527</v>
      </c>
      <c r="Y31">
        <v>27.3580177253553</v>
      </c>
      <c r="Z31">
        <v>17.614483746794502</v>
      </c>
      <c r="AA31">
        <v>12.457937102332</v>
      </c>
      <c r="AB31">
        <v>25.216358397436998</v>
      </c>
      <c r="AC31">
        <v>12.785278747181099</v>
      </c>
      <c r="AD31">
        <v>27.844940554232998</v>
      </c>
      <c r="AE31">
        <v>14.9863647268254</v>
      </c>
      <c r="AF31">
        <v>11.263899243073899</v>
      </c>
      <c r="AG31">
        <v>28.8351714058814</v>
      </c>
      <c r="AH31">
        <v>24.257159013611101</v>
      </c>
      <c r="AI31">
        <v>24.257159013611101</v>
      </c>
      <c r="AJ31">
        <v>57.1666666666667</v>
      </c>
      <c r="AK31">
        <v>56.250000000000199</v>
      </c>
      <c r="AL31">
        <v>15071301973.0968</v>
      </c>
      <c r="AM31">
        <v>2367604845.0691099</v>
      </c>
      <c r="AN31">
        <v>5178.8955100000003</v>
      </c>
      <c r="AO31" s="69">
        <v>30943573237.1595</v>
      </c>
      <c r="AP31">
        <v>10689387697.878</v>
      </c>
      <c r="AQ31">
        <v>5178.8955100000003</v>
      </c>
      <c r="AR31" s="69">
        <v>5014583083.2240696</v>
      </c>
      <c r="AS31">
        <v>5014583083.2240696</v>
      </c>
      <c r="AT31">
        <v>7097.4315399999996</v>
      </c>
      <c r="AU31">
        <v>1835567632.71279</v>
      </c>
      <c r="AV31">
        <v>1293.2823022427599</v>
      </c>
      <c r="AW31">
        <v>958.44669970837003</v>
      </c>
      <c r="AX31">
        <v>1144.2483763334501</v>
      </c>
      <c r="AY31">
        <v>733.982237907171</v>
      </c>
      <c r="AZ31">
        <v>436.46561455819102</v>
      </c>
      <c r="BA31">
        <v>930.31879368511295</v>
      </c>
      <c r="BB31">
        <v>600.787099505318</v>
      </c>
      <c r="BC31">
        <v>423.56651278165901</v>
      </c>
      <c r="BD31">
        <v>851.06290764257403</v>
      </c>
      <c r="BE31">
        <v>431.213230407617</v>
      </c>
      <c r="BF31">
        <v>938.26389682879096</v>
      </c>
      <c r="BG31">
        <v>505.61252749486101</v>
      </c>
      <c r="BH31">
        <v>376.822530772471</v>
      </c>
      <c r="BI31">
        <v>983.45544990540895</v>
      </c>
      <c r="BJ31">
        <v>817.952322494192</v>
      </c>
      <c r="BK31">
        <v>817.952322494192</v>
      </c>
      <c r="BL31">
        <v>222.47971644523901</v>
      </c>
      <c r="BM31">
        <v>162.993046193975</v>
      </c>
      <c r="BN31">
        <v>194.36013720735801</v>
      </c>
      <c r="BO31">
        <v>123.967716815212</v>
      </c>
      <c r="BP31">
        <v>74.228600551952198</v>
      </c>
      <c r="BQ31">
        <v>157.391649852596</v>
      </c>
      <c r="BR31">
        <v>101.197307559308</v>
      </c>
      <c r="BS31">
        <v>71.658044352127504</v>
      </c>
      <c r="BT31">
        <v>145.205937625442</v>
      </c>
      <c r="BU31">
        <v>73.476025041280394</v>
      </c>
      <c r="BV31">
        <v>159.502951404735</v>
      </c>
      <c r="BW31">
        <v>85.941406950627993</v>
      </c>
      <c r="BX31">
        <v>64.508413591260407</v>
      </c>
      <c r="BY31">
        <v>165.89742298584699</v>
      </c>
      <c r="BZ31">
        <v>139.44030801613999</v>
      </c>
      <c r="CA31">
        <v>139.44030801613999</v>
      </c>
      <c r="CB31">
        <v>665.79845661702097</v>
      </c>
      <c r="CC31">
        <v>447.28344654726197</v>
      </c>
      <c r="CD31">
        <v>581.31590122754506</v>
      </c>
      <c r="CE31">
        <v>339.46389803837297</v>
      </c>
      <c r="CF31">
        <v>205.076334347959</v>
      </c>
      <c r="CG31">
        <v>436.88139686812502</v>
      </c>
      <c r="CH31">
        <v>277.43701080729102</v>
      </c>
      <c r="CI31">
        <v>212.06123429591801</v>
      </c>
      <c r="CJ31">
        <v>445.66913169752701</v>
      </c>
      <c r="CK31">
        <v>199.493022703994</v>
      </c>
      <c r="CL31">
        <v>507.32712243932201</v>
      </c>
      <c r="CM31">
        <v>252.038010908172</v>
      </c>
      <c r="CN31">
        <v>201.42669806644099</v>
      </c>
      <c r="CO31">
        <v>467.52046031306202</v>
      </c>
      <c r="CP31">
        <v>386.62378599436403</v>
      </c>
      <c r="CQ31">
        <v>386.62378599436403</v>
      </c>
      <c r="CR31" s="1">
        <v>121626823.442398</v>
      </c>
      <c r="CS31" s="1">
        <v>86975438.862702802</v>
      </c>
      <c r="CT31" s="1">
        <v>71354076.260579303</v>
      </c>
      <c r="CU31" s="1">
        <v>52626348.800238401</v>
      </c>
      <c r="CV31" s="1">
        <v>45442936.879525602</v>
      </c>
      <c r="CW31" s="1">
        <v>41818934.984967098</v>
      </c>
      <c r="CX31" s="1">
        <v>47676925.534469403</v>
      </c>
      <c r="CY31" s="1">
        <v>33976038.560174398</v>
      </c>
      <c r="CZ31" s="1">
        <v>25062570.003499199</v>
      </c>
      <c r="DA31" s="1">
        <v>20966702.3921635</v>
      </c>
      <c r="DB31" s="1">
        <v>17004429.570418801</v>
      </c>
      <c r="DC31" s="1">
        <v>17974854.830514699</v>
      </c>
      <c r="DD31" s="1">
        <v>51764905.185476497</v>
      </c>
      <c r="DE31" s="1">
        <v>59030244.718622297</v>
      </c>
      <c r="DF31" s="1">
        <v>104592368.61793099</v>
      </c>
      <c r="DG31" s="1">
        <v>98621996.018229395</v>
      </c>
      <c r="DH31" s="1">
        <v>6595899875.0327902</v>
      </c>
      <c r="DI31" s="1">
        <v>4739852074.6963797</v>
      </c>
      <c r="DJ31" s="1">
        <v>3950994515.4098401</v>
      </c>
      <c r="DK31" s="1">
        <v>2975458688.9688401</v>
      </c>
      <c r="DL31" s="1">
        <v>2533994865.3359499</v>
      </c>
      <c r="DM31" s="1">
        <v>2337727309.9188299</v>
      </c>
      <c r="DN31" s="1">
        <v>2646505036.8561602</v>
      </c>
      <c r="DO31" s="1">
        <v>1882235753.3196299</v>
      </c>
      <c r="DP31" s="1">
        <v>1448005061.2334299</v>
      </c>
      <c r="DQ31" s="1">
        <v>1246300490.98592</v>
      </c>
      <c r="DR31" s="1">
        <v>1011574408.83763</v>
      </c>
      <c r="DS31" s="1">
        <v>1089333566.77859</v>
      </c>
      <c r="DT31" s="1">
        <v>3055574189.2434702</v>
      </c>
      <c r="DU31" s="1">
        <v>3564229818.9946499</v>
      </c>
      <c r="DV31" s="1">
        <v>6302329449.8165598</v>
      </c>
      <c r="DW31" s="1">
        <v>5948248101.1020803</v>
      </c>
    </row>
    <row r="32" spans="1:127" x14ac:dyDescent="0.25">
      <c r="A32" t="s">
        <v>59</v>
      </c>
      <c r="B32">
        <v>41.78</v>
      </c>
      <c r="C32">
        <v>-87.75</v>
      </c>
      <c r="D32">
        <v>-17.7</v>
      </c>
      <c r="E32">
        <v>-14.8</v>
      </c>
      <c r="F32">
        <v>33</v>
      </c>
      <c r="G32">
        <v>23.7</v>
      </c>
      <c r="H32">
        <v>32</v>
      </c>
      <c r="I32">
        <v>22.9</v>
      </c>
      <c r="J32">
        <v>22.749999999999901</v>
      </c>
      <c r="K32">
        <v>0</v>
      </c>
      <c r="L32">
        <v>14076562204.8937</v>
      </c>
      <c r="M32">
        <v>3174692047.9017901</v>
      </c>
      <c r="N32">
        <v>5330.4991399999999</v>
      </c>
      <c r="O32" s="75">
        <v>44242423038.504303</v>
      </c>
      <c r="P32">
        <f>55303028798.1302*(0.8/0.96)</f>
        <v>46085857331.775169</v>
      </c>
      <c r="Q32">
        <v>29308</v>
      </c>
      <c r="R32">
        <v>391756844.126984</v>
      </c>
      <c r="S32">
        <f>2781.793885088*(0.8/0.96)</f>
        <v>2318.1615709066668</v>
      </c>
      <c r="T32">
        <v>48.677765754603897</v>
      </c>
      <c r="U32">
        <v>34.9289102316474</v>
      </c>
      <c r="V32">
        <v>41.840715943156397</v>
      </c>
      <c r="W32">
        <v>25.7589998743934</v>
      </c>
      <c r="X32">
        <v>16.164382758089602</v>
      </c>
      <c r="Y32">
        <v>32.943103327387497</v>
      </c>
      <c r="Z32">
        <v>21.148352463932302</v>
      </c>
      <c r="AA32">
        <v>15.363813977464201</v>
      </c>
      <c r="AB32">
        <v>32.019230605081503</v>
      </c>
      <c r="AC32">
        <v>15.052160071794701</v>
      </c>
      <c r="AD32">
        <v>35.216262001004203</v>
      </c>
      <c r="AE32">
        <v>18.0193839161259</v>
      </c>
      <c r="AF32">
        <v>14.5902782184257</v>
      </c>
      <c r="AG32">
        <v>35.003018054052703</v>
      </c>
      <c r="AH32">
        <v>29.433710529561701</v>
      </c>
      <c r="AI32">
        <v>29.433710529561701</v>
      </c>
      <c r="AJ32">
        <v>22.499999999999901</v>
      </c>
      <c r="AK32">
        <v>59.166666666666799</v>
      </c>
      <c r="AL32">
        <v>14116498625.8237</v>
      </c>
      <c r="AM32">
        <v>2090185449.02071</v>
      </c>
      <c r="AN32">
        <v>5330.4991399999999</v>
      </c>
      <c r="AO32" s="69">
        <v>33759756252.696899</v>
      </c>
      <c r="AP32">
        <v>11978433614.2369</v>
      </c>
      <c r="AQ32">
        <v>5330.4991399999999</v>
      </c>
      <c r="AR32" s="69">
        <v>8797111649.9695702</v>
      </c>
      <c r="AS32">
        <v>8797111649.9695702</v>
      </c>
      <c r="AT32">
        <v>8687.4067400000004</v>
      </c>
      <c r="AU32">
        <v>2125453348.3927801</v>
      </c>
      <c r="AV32">
        <v>1489.5153991920599</v>
      </c>
      <c r="AW32">
        <v>1057.13984865</v>
      </c>
      <c r="AX32">
        <v>1293.4556660252499</v>
      </c>
      <c r="AY32">
        <v>810.22068097143699</v>
      </c>
      <c r="AZ32">
        <v>501.53596650743401</v>
      </c>
      <c r="BA32">
        <v>1018.38161330943</v>
      </c>
      <c r="BB32">
        <v>652.12282475142001</v>
      </c>
      <c r="BC32">
        <v>476.87322347880399</v>
      </c>
      <c r="BD32">
        <v>991.392817606834</v>
      </c>
      <c r="BE32">
        <v>460.21637466358698</v>
      </c>
      <c r="BF32">
        <v>1086.4907587481</v>
      </c>
      <c r="BG32">
        <v>552.24708625911705</v>
      </c>
      <c r="BH32">
        <v>445.143887520649</v>
      </c>
      <c r="BI32">
        <v>1087.7983069900599</v>
      </c>
      <c r="BJ32">
        <v>899.501413051746</v>
      </c>
      <c r="BK32">
        <v>899.501413051746</v>
      </c>
      <c r="BL32">
        <v>261.62941991805599</v>
      </c>
      <c r="BM32">
        <v>188.784048560294</v>
      </c>
      <c r="BN32">
        <v>226.20234738272299</v>
      </c>
      <c r="BO32">
        <v>141.789379887423</v>
      </c>
      <c r="BP32">
        <v>88.100467362866695</v>
      </c>
      <c r="BQ32">
        <v>178.833995990429</v>
      </c>
      <c r="BR32">
        <v>114.592183891697</v>
      </c>
      <c r="BS32">
        <v>83.038210990018797</v>
      </c>
      <c r="BT32">
        <v>173.14710699433499</v>
      </c>
      <c r="BU32">
        <v>81.212877441480202</v>
      </c>
      <c r="BV32">
        <v>188.92985618439801</v>
      </c>
      <c r="BW32">
        <v>96.669407202006099</v>
      </c>
      <c r="BX32">
        <v>77.872153416765897</v>
      </c>
      <c r="BY32">
        <v>190.90444505502199</v>
      </c>
      <c r="BZ32">
        <v>159.11513529294299</v>
      </c>
      <c r="CA32">
        <v>159.11513529294299</v>
      </c>
      <c r="CB32">
        <v>1239.33440623515</v>
      </c>
      <c r="CC32">
        <v>838.88288039090696</v>
      </c>
      <c r="CD32">
        <v>1040.62499665055</v>
      </c>
      <c r="CE32">
        <v>533.85156559573704</v>
      </c>
      <c r="CF32">
        <v>369.70006657773001</v>
      </c>
      <c r="CG32">
        <v>761.01736846084304</v>
      </c>
      <c r="CH32">
        <v>504.84715517637801</v>
      </c>
      <c r="CI32">
        <v>381.23400521620403</v>
      </c>
      <c r="CJ32">
        <v>781.67815394665695</v>
      </c>
      <c r="CK32">
        <v>352.93229068941599</v>
      </c>
      <c r="CL32">
        <v>945.378237229771</v>
      </c>
      <c r="CM32">
        <v>461.06830668222102</v>
      </c>
      <c r="CN32">
        <v>400.638272180466</v>
      </c>
      <c r="CO32">
        <v>802.40705943021305</v>
      </c>
      <c r="CP32">
        <v>710.67639614370501</v>
      </c>
      <c r="CQ32">
        <v>710.67639614370501</v>
      </c>
      <c r="CR32" s="1">
        <v>149558233.224648</v>
      </c>
      <c r="CS32" s="1">
        <v>107479281.307787</v>
      </c>
      <c r="CT32" s="1">
        <v>88731642.664960593</v>
      </c>
      <c r="CU32" s="1">
        <v>64910896.446923397</v>
      </c>
      <c r="CV32" s="1">
        <v>57674502.394092903</v>
      </c>
      <c r="CW32" s="1">
        <v>51775631.777739197</v>
      </c>
      <c r="CX32" s="1">
        <v>58604803.795886897</v>
      </c>
      <c r="CY32" s="1">
        <v>42037384.126148999</v>
      </c>
      <c r="CZ32" s="1">
        <v>30578146.743223298</v>
      </c>
      <c r="DA32" s="1">
        <v>26494526.014654901</v>
      </c>
      <c r="DB32" s="1">
        <v>20340424.340119801</v>
      </c>
      <c r="DC32" s="1">
        <v>21029186.655287299</v>
      </c>
      <c r="DD32" s="1">
        <v>62080365.904690802</v>
      </c>
      <c r="DE32" s="1">
        <v>69799791.072344095</v>
      </c>
      <c r="DF32" s="1">
        <v>123033394.615895</v>
      </c>
      <c r="DG32" s="1">
        <v>117278958.626912</v>
      </c>
      <c r="DH32" s="1">
        <v>8450824803.29004</v>
      </c>
      <c r="DI32" s="1">
        <v>6234149223.4698296</v>
      </c>
      <c r="DJ32" s="1">
        <v>5221632273.4935799</v>
      </c>
      <c r="DK32" s="1">
        <v>3923946282.8916001</v>
      </c>
      <c r="DL32" s="1">
        <v>3489813116.4292498</v>
      </c>
      <c r="DM32" s="1">
        <v>3117636036.8319001</v>
      </c>
      <c r="DN32" s="1">
        <v>3459895277.0302701</v>
      </c>
      <c r="DO32" s="1">
        <v>2479790327.3899002</v>
      </c>
      <c r="DP32" s="1">
        <v>1834685677.50741</v>
      </c>
      <c r="DQ32" s="1">
        <v>1698255609.0641899</v>
      </c>
      <c r="DR32" s="1">
        <v>1277110994.8849699</v>
      </c>
      <c r="DS32" s="1">
        <v>1279188460.07164</v>
      </c>
      <c r="DT32" s="1">
        <v>3888477426.5789299</v>
      </c>
      <c r="DU32" s="1">
        <v>4364078721.4669905</v>
      </c>
      <c r="DV32" s="1">
        <v>7701099711.4178495</v>
      </c>
      <c r="DW32" s="1">
        <v>7413015243.12994</v>
      </c>
    </row>
    <row r="33" spans="1:127" x14ac:dyDescent="0.25">
      <c r="A33" t="s">
        <v>60</v>
      </c>
      <c r="B33">
        <v>38.049999999999997</v>
      </c>
      <c r="C33">
        <v>-87.53</v>
      </c>
      <c r="D33">
        <v>-13.3</v>
      </c>
      <c r="E33">
        <v>-10.1</v>
      </c>
      <c r="F33">
        <v>34.299999999999997</v>
      </c>
      <c r="G33">
        <v>24.6</v>
      </c>
      <c r="H33">
        <v>33</v>
      </c>
      <c r="I33">
        <v>24.3</v>
      </c>
      <c r="J33">
        <v>62.083333333333499</v>
      </c>
      <c r="K33">
        <v>0</v>
      </c>
      <c r="L33">
        <v>18819611254.289101</v>
      </c>
      <c r="M33">
        <v>4195725707.6724</v>
      </c>
      <c r="N33">
        <v>5400.8096599999999</v>
      </c>
      <c r="O33" s="75">
        <v>30718929199.070702</v>
      </c>
      <c r="P33">
        <f>38398661498.8382*(0.8/0.96)</f>
        <v>31998884582.36517</v>
      </c>
      <c r="Q33">
        <v>29308</v>
      </c>
      <c r="R33">
        <v>276915337.01382202</v>
      </c>
      <c r="S33">
        <f>1931.48845686086*(0.8/0.96)</f>
        <v>1609.5737140507167</v>
      </c>
      <c r="T33">
        <v>45.713320202138704</v>
      </c>
      <c r="U33">
        <v>40.878170950471898</v>
      </c>
      <c r="V33">
        <v>53.2576969284139</v>
      </c>
      <c r="W33">
        <v>37.462911701017198</v>
      </c>
      <c r="X33">
        <v>28.878312723742301</v>
      </c>
      <c r="Y33">
        <v>27.799139420949299</v>
      </c>
      <c r="Z33">
        <v>34.444931629355203</v>
      </c>
      <c r="AA33">
        <v>17.273671250690999</v>
      </c>
      <c r="AB33">
        <v>32.136236470095</v>
      </c>
      <c r="AC33">
        <v>18.2743170528517</v>
      </c>
      <c r="AD33">
        <v>29.132786182556799</v>
      </c>
      <c r="AE33">
        <v>21.3802172710249</v>
      </c>
      <c r="AF33">
        <v>11.3566683910229</v>
      </c>
      <c r="AG33">
        <v>18.0652653169881</v>
      </c>
      <c r="AH33">
        <v>25.8772019584754</v>
      </c>
      <c r="AI33">
        <v>25.8772047832149</v>
      </c>
      <c r="AJ33">
        <v>61.666666666666799</v>
      </c>
      <c r="AK33">
        <v>18.9166666666666</v>
      </c>
      <c r="AL33">
        <v>18857884741.282799</v>
      </c>
      <c r="AM33">
        <v>2883590698.4030399</v>
      </c>
      <c r="AN33">
        <v>5400.8096599999999</v>
      </c>
      <c r="AO33" s="69">
        <v>26616268558.084599</v>
      </c>
      <c r="AP33">
        <v>9090688961.3523407</v>
      </c>
      <c r="AQ33">
        <v>5400.8096599999999</v>
      </c>
      <c r="AR33" s="69">
        <v>2928081100.8372002</v>
      </c>
      <c r="AS33">
        <v>2928081100.8372002</v>
      </c>
      <c r="AT33">
        <v>7297.8247600000004</v>
      </c>
      <c r="AU33">
        <v>1550051498.2108901</v>
      </c>
      <c r="AV33">
        <v>1502.3163592483099</v>
      </c>
      <c r="AW33">
        <v>1352.8497875681901</v>
      </c>
      <c r="AX33">
        <v>1751.81552430743</v>
      </c>
      <c r="AY33">
        <v>1238.63594308548</v>
      </c>
      <c r="AZ33">
        <v>951.98314566326496</v>
      </c>
      <c r="BA33">
        <v>917.07025114736598</v>
      </c>
      <c r="BB33">
        <v>1134.63577694728</v>
      </c>
      <c r="BC33">
        <v>568.79151025891599</v>
      </c>
      <c r="BD33">
        <v>1067.44975698093</v>
      </c>
      <c r="BE33">
        <v>603.02794126344497</v>
      </c>
      <c r="BF33">
        <v>964.51544927653401</v>
      </c>
      <c r="BG33">
        <v>698.53133944607998</v>
      </c>
      <c r="BH33">
        <v>377.479189798888</v>
      </c>
      <c r="BI33">
        <v>595.14907362726206</v>
      </c>
      <c r="BJ33">
        <v>853.53948268925205</v>
      </c>
      <c r="BK33">
        <v>853.53957690363097</v>
      </c>
      <c r="BL33">
        <v>255.87865890460799</v>
      </c>
      <c r="BM33">
        <v>229.06706350366801</v>
      </c>
      <c r="BN33">
        <v>297.45600422971302</v>
      </c>
      <c r="BO33">
        <v>208.69988624230101</v>
      </c>
      <c r="BP33">
        <v>161.207974323716</v>
      </c>
      <c r="BQ33">
        <v>155.16421397837999</v>
      </c>
      <c r="BR33">
        <v>192.27495983183499</v>
      </c>
      <c r="BS33">
        <v>96.546076210439907</v>
      </c>
      <c r="BT33">
        <v>179.73272749462399</v>
      </c>
      <c r="BU33">
        <v>102.058254944372</v>
      </c>
      <c r="BV33">
        <v>163.053078333277</v>
      </c>
      <c r="BW33">
        <v>119.301630050585</v>
      </c>
      <c r="BX33">
        <v>63.489816708175901</v>
      </c>
      <c r="BY33">
        <v>101.173461291687</v>
      </c>
      <c r="BZ33">
        <v>145.201760677431</v>
      </c>
      <c r="CA33">
        <v>145.201777147961</v>
      </c>
      <c r="CB33">
        <v>508.74600627584903</v>
      </c>
      <c r="CC33">
        <v>446.10320276478399</v>
      </c>
      <c r="CD33">
        <v>601.169980179719</v>
      </c>
      <c r="CE33">
        <v>460.79915723765703</v>
      </c>
      <c r="CF33">
        <v>334.11639600659697</v>
      </c>
      <c r="CG33">
        <v>318.52114971368098</v>
      </c>
      <c r="CH33">
        <v>395.925821470073</v>
      </c>
      <c r="CI33">
        <v>213.36381827169899</v>
      </c>
      <c r="CJ33">
        <v>374.73039706381002</v>
      </c>
      <c r="CK33">
        <v>218.34664898918501</v>
      </c>
      <c r="CL33">
        <v>309.44050549584699</v>
      </c>
      <c r="CM33">
        <v>220.614449224342</v>
      </c>
      <c r="CN33">
        <v>135.60988402519101</v>
      </c>
      <c r="CO33">
        <v>205.44715811107301</v>
      </c>
      <c r="CP33">
        <v>267.94606430780698</v>
      </c>
      <c r="CQ33">
        <v>267.94606430780698</v>
      </c>
      <c r="CR33" s="1">
        <v>160534498.09943399</v>
      </c>
      <c r="CS33" s="1">
        <v>159178933.36283901</v>
      </c>
      <c r="CT33" s="1">
        <v>178093429.50958201</v>
      </c>
      <c r="CU33" s="1">
        <v>162911567.47502699</v>
      </c>
      <c r="CV33" s="1">
        <v>153716282.91804001</v>
      </c>
      <c r="CW33" s="1">
        <v>159581708.81956699</v>
      </c>
      <c r="CX33" s="1">
        <v>176551305.65412399</v>
      </c>
      <c r="CY33" s="1">
        <v>165669266.0325</v>
      </c>
      <c r="CZ33" s="1">
        <v>162431469.260858</v>
      </c>
      <c r="DA33" s="1">
        <v>158340895.492192</v>
      </c>
      <c r="DB33" s="1">
        <v>152959365.72287801</v>
      </c>
      <c r="DC33" s="1">
        <v>157858502.15555799</v>
      </c>
      <c r="DD33" s="1">
        <v>160138497.08467001</v>
      </c>
      <c r="DE33" s="1">
        <v>137566867.30316001</v>
      </c>
      <c r="DF33" s="1">
        <v>112456687.05359</v>
      </c>
      <c r="DG33" s="1">
        <v>109960663.300045</v>
      </c>
      <c r="DH33" s="1">
        <v>7854868179.2199097</v>
      </c>
      <c r="DI33" s="1">
        <v>7638694080.9751902</v>
      </c>
      <c r="DJ33" s="1">
        <v>8681774182.1110897</v>
      </c>
      <c r="DK33" s="1">
        <v>7948663150.4261999</v>
      </c>
      <c r="DL33" s="1">
        <v>7570158169.7714195</v>
      </c>
      <c r="DM33" s="1">
        <v>7891302708.9243898</v>
      </c>
      <c r="DN33" s="1">
        <v>8737960818.2324295</v>
      </c>
      <c r="DO33" s="1">
        <v>8184234702.6156301</v>
      </c>
      <c r="DP33" s="1">
        <v>8077885419.3734598</v>
      </c>
      <c r="DQ33" s="1">
        <v>7891280664.2307196</v>
      </c>
      <c r="DR33" s="1">
        <v>7588788803.8711901</v>
      </c>
      <c r="DS33" s="1">
        <v>7887077391.0416002</v>
      </c>
      <c r="DT33" s="1">
        <v>7937172644.2427597</v>
      </c>
      <c r="DU33" s="1">
        <v>6975214083.0189505</v>
      </c>
      <c r="DV33" s="1">
        <v>5560523802.3819904</v>
      </c>
      <c r="DW33" s="1">
        <v>5530918653.6423903</v>
      </c>
    </row>
    <row r="34" spans="1:127" x14ac:dyDescent="0.25">
      <c r="A34" t="s">
        <v>61</v>
      </c>
      <c r="B34">
        <v>39.72</v>
      </c>
      <c r="C34">
        <v>-86.27</v>
      </c>
      <c r="D34">
        <v>-16.7</v>
      </c>
      <c r="E34">
        <v>-13.3</v>
      </c>
      <c r="F34">
        <v>32.799999999999997</v>
      </c>
      <c r="G34">
        <v>23.9</v>
      </c>
      <c r="H34">
        <v>31.5</v>
      </c>
      <c r="I34">
        <v>23.4</v>
      </c>
      <c r="J34">
        <v>49.25</v>
      </c>
      <c r="K34">
        <v>0</v>
      </c>
      <c r="L34">
        <v>12489849454.449699</v>
      </c>
      <c r="M34">
        <v>2759302765.2487798</v>
      </c>
      <c r="N34">
        <v>5060.35887</v>
      </c>
      <c r="O34" s="75">
        <v>47735094240.392197</v>
      </c>
      <c r="P34">
        <f>59668867800.4901*(0.8/0.96)</f>
        <v>49724056500.408417</v>
      </c>
      <c r="Q34">
        <v>29308</v>
      </c>
      <c r="R34">
        <v>403148019.91382903</v>
      </c>
      <c r="S34">
        <f>3001.3996554044*(0.8/0.96)</f>
        <v>2501.166379503667</v>
      </c>
      <c r="T34">
        <v>66.104700717560107</v>
      </c>
      <c r="U34">
        <v>57.927167397894003</v>
      </c>
      <c r="V34">
        <v>75.640807866250796</v>
      </c>
      <c r="W34">
        <v>51.888794588704798</v>
      </c>
      <c r="X34">
        <v>40.889524359813997</v>
      </c>
      <c r="Y34">
        <v>38.949638200599097</v>
      </c>
      <c r="Z34">
        <v>48.3247491911658</v>
      </c>
      <c r="AA34">
        <v>23.625640933522899</v>
      </c>
      <c r="AB34">
        <v>45.044597396079098</v>
      </c>
      <c r="AC34">
        <v>25.222384393779201</v>
      </c>
      <c r="AD34">
        <v>41.211058327642199</v>
      </c>
      <c r="AE34">
        <v>31.278070757376302</v>
      </c>
      <c r="AF34">
        <v>15.6760580996679</v>
      </c>
      <c r="AG34">
        <v>25.084508955876899</v>
      </c>
      <c r="AH34">
        <v>36.836333983533997</v>
      </c>
      <c r="AI34">
        <v>36.836336498450201</v>
      </c>
      <c r="AJ34">
        <v>48.6666666666667</v>
      </c>
      <c r="AK34">
        <v>41.6666666666666</v>
      </c>
      <c r="AL34">
        <v>12521703378.082899</v>
      </c>
      <c r="AM34">
        <v>1876775083.42769</v>
      </c>
      <c r="AN34">
        <v>5060.35887</v>
      </c>
      <c r="AO34" s="69">
        <v>36342475340.726799</v>
      </c>
      <c r="AP34">
        <v>13267566898.657</v>
      </c>
      <c r="AQ34">
        <v>5060.35887</v>
      </c>
      <c r="AR34" s="69">
        <v>9569602550.8855095</v>
      </c>
      <c r="AS34">
        <v>9569602550.8855095</v>
      </c>
      <c r="AT34">
        <v>8231.6822300000003</v>
      </c>
      <c r="AU34">
        <v>2333999883.1603498</v>
      </c>
      <c r="AV34">
        <v>2180.7587613452602</v>
      </c>
      <c r="AW34">
        <v>1909.58962339502</v>
      </c>
      <c r="AX34">
        <v>2493.2638231251899</v>
      </c>
      <c r="AY34">
        <v>1712.7963196286601</v>
      </c>
      <c r="AZ34">
        <v>1347.2537620984799</v>
      </c>
      <c r="BA34">
        <v>1285.1397155704799</v>
      </c>
      <c r="BB34">
        <v>1595.03640840257</v>
      </c>
      <c r="BC34">
        <v>775.913229973292</v>
      </c>
      <c r="BD34">
        <v>1490.0857251493101</v>
      </c>
      <c r="BE34">
        <v>832.27295343052799</v>
      </c>
      <c r="BF34">
        <v>1367.4065023328999</v>
      </c>
      <c r="BG34">
        <v>1028.2821193776599</v>
      </c>
      <c r="BH34">
        <v>517.225610734577</v>
      </c>
      <c r="BI34">
        <v>829.10935054113895</v>
      </c>
      <c r="BJ34">
        <v>1216.50924939792</v>
      </c>
      <c r="BK34">
        <v>1216.5093466362</v>
      </c>
      <c r="BL34">
        <v>382.770661155445</v>
      </c>
      <c r="BM34">
        <v>334.456414454644</v>
      </c>
      <c r="BN34">
        <v>436.61268103434901</v>
      </c>
      <c r="BO34">
        <v>298.84985028330101</v>
      </c>
      <c r="BP34">
        <v>235.590143115525</v>
      </c>
      <c r="BQ34">
        <v>224.99461689413499</v>
      </c>
      <c r="BR34">
        <v>278.59078858056802</v>
      </c>
      <c r="BS34">
        <v>135.55682750098299</v>
      </c>
      <c r="BT34">
        <v>259.336396299</v>
      </c>
      <c r="BU34">
        <v>145.49062269912599</v>
      </c>
      <c r="BV34">
        <v>239.101547257021</v>
      </c>
      <c r="BW34">
        <v>181.25625150116201</v>
      </c>
      <c r="BX34">
        <v>90.352456971717601</v>
      </c>
      <c r="BY34">
        <v>144.66271302402501</v>
      </c>
      <c r="BZ34">
        <v>213.00525195691199</v>
      </c>
      <c r="CA34">
        <v>213.005267880785</v>
      </c>
      <c r="CB34">
        <v>1588.8890070018499</v>
      </c>
      <c r="CC34">
        <v>1437.69743048891</v>
      </c>
      <c r="CD34">
        <v>1879.4422828704401</v>
      </c>
      <c r="CE34">
        <v>1349.8431917401099</v>
      </c>
      <c r="CF34">
        <v>1024.38923450982</v>
      </c>
      <c r="CG34">
        <v>976.04056730394598</v>
      </c>
      <c r="CH34">
        <v>1239.35254589077</v>
      </c>
      <c r="CI34">
        <v>637.40417492720906</v>
      </c>
      <c r="CJ34">
        <v>1177.3218870876501</v>
      </c>
      <c r="CK34">
        <v>643.05316016299503</v>
      </c>
      <c r="CL34">
        <v>984.15959109043399</v>
      </c>
      <c r="CM34">
        <v>721.90222366788703</v>
      </c>
      <c r="CN34">
        <v>403.25033956428399</v>
      </c>
      <c r="CO34">
        <v>639.24081979734899</v>
      </c>
      <c r="CP34">
        <v>911.30503696990195</v>
      </c>
      <c r="CQ34">
        <v>911.30503696990195</v>
      </c>
      <c r="CR34" s="1">
        <v>237273700.92330801</v>
      </c>
      <c r="CS34" s="1">
        <v>238608744.432558</v>
      </c>
      <c r="CT34" s="1">
        <v>261798294.54610401</v>
      </c>
      <c r="CU34" s="1">
        <v>237179267.35690901</v>
      </c>
      <c r="CV34" s="1">
        <v>222467849.288591</v>
      </c>
      <c r="CW34" s="1">
        <v>229427914.372107</v>
      </c>
      <c r="CX34" s="1">
        <v>255054074.98915601</v>
      </c>
      <c r="CY34" s="1">
        <v>236043758.174748</v>
      </c>
      <c r="CZ34" s="1">
        <v>230782343.08274701</v>
      </c>
      <c r="DA34" s="1">
        <v>219662973.070867</v>
      </c>
      <c r="DB34" s="1">
        <v>215134747.44552499</v>
      </c>
      <c r="DC34" s="1">
        <v>220105176.607483</v>
      </c>
      <c r="DD34" s="1">
        <v>223188341.82012701</v>
      </c>
      <c r="DE34" s="1">
        <v>188730659.332111</v>
      </c>
      <c r="DF34" s="1">
        <v>159474861.56814501</v>
      </c>
      <c r="DG34" s="1">
        <v>151441869.13063899</v>
      </c>
      <c r="DH34" s="1">
        <v>14626502484.5697</v>
      </c>
      <c r="DI34" s="1">
        <v>14593542007.3255</v>
      </c>
      <c r="DJ34" s="1">
        <v>16079730485.7237</v>
      </c>
      <c r="DK34" s="1">
        <v>14903800411.896299</v>
      </c>
      <c r="DL34" s="1">
        <v>14013342813.944201</v>
      </c>
      <c r="DM34" s="1">
        <v>14397355973.238199</v>
      </c>
      <c r="DN34" s="1">
        <v>16069358267.0109</v>
      </c>
      <c r="DO34" s="1">
        <v>14998798343.954399</v>
      </c>
      <c r="DP34" s="1">
        <v>14740023106.025299</v>
      </c>
      <c r="DQ34" s="1">
        <v>13978613865.643801</v>
      </c>
      <c r="DR34" s="1">
        <v>13902596541.7327</v>
      </c>
      <c r="DS34" s="1">
        <v>14318128637.140699</v>
      </c>
      <c r="DT34" s="1">
        <v>14541846018.0084</v>
      </c>
      <c r="DU34" s="1">
        <v>12428634266.730801</v>
      </c>
      <c r="DV34" s="1">
        <v>10916420729.0959</v>
      </c>
      <c r="DW34" s="1">
        <v>10419731827.518801</v>
      </c>
    </row>
    <row r="35" spans="1:127" x14ac:dyDescent="0.25">
      <c r="A35" t="s">
        <v>3777</v>
      </c>
      <c r="B35">
        <v>38.85</v>
      </c>
      <c r="C35">
        <v>-99.27</v>
      </c>
      <c r="D35">
        <v>-16.3</v>
      </c>
      <c r="E35">
        <v>-13.7</v>
      </c>
      <c r="F35">
        <v>37.9</v>
      </c>
      <c r="G35">
        <v>21.7</v>
      </c>
      <c r="H35">
        <v>36.6</v>
      </c>
      <c r="I35">
        <v>21.7</v>
      </c>
      <c r="J35">
        <v>97.333333333333002</v>
      </c>
      <c r="K35">
        <v>0</v>
      </c>
      <c r="L35">
        <v>19116450597.9772</v>
      </c>
      <c r="M35">
        <v>4783074662.5193195</v>
      </c>
      <c r="N35">
        <v>5884.8444600000003</v>
      </c>
      <c r="O35" s="75">
        <v>34273506933.492401</v>
      </c>
      <c r="P35">
        <f>42841883666.8655*(0.8/0.96)</f>
        <v>35701569722.387917</v>
      </c>
      <c r="Q35">
        <v>29308</v>
      </c>
      <c r="R35">
        <v>376802485.72609103</v>
      </c>
      <c r="S35">
        <f>2154.98667252321*(0.8/0.96)</f>
        <v>1795.822227102675</v>
      </c>
      <c r="T35">
        <v>27.918739275473001</v>
      </c>
      <c r="U35">
        <v>3.2135448014074499</v>
      </c>
      <c r="V35">
        <v>37.469528789500799</v>
      </c>
      <c r="W35">
        <v>49.098251479252298</v>
      </c>
      <c r="X35">
        <v>23.5289539342306</v>
      </c>
      <c r="Y35">
        <v>20.4368032610714</v>
      </c>
      <c r="Z35">
        <v>36.095405436493301</v>
      </c>
      <c r="AA35">
        <v>31.552130484614501</v>
      </c>
      <c r="AB35">
        <v>36.852726578560102</v>
      </c>
      <c r="AC35">
        <v>32.0991266606705</v>
      </c>
      <c r="AD35">
        <v>36.742580136184202</v>
      </c>
      <c r="AE35">
        <v>19.137793650062701</v>
      </c>
      <c r="AF35">
        <v>40.4559825732603</v>
      </c>
      <c r="AG35">
        <v>46.7562504922576</v>
      </c>
      <c r="AH35">
        <v>46.702725091336603</v>
      </c>
      <c r="AI35">
        <v>46.702724322298401</v>
      </c>
      <c r="AJ35">
        <v>97.166666666666401</v>
      </c>
      <c r="AK35">
        <v>16.1666666666667</v>
      </c>
      <c r="AL35">
        <v>19148962864.9589</v>
      </c>
      <c r="AM35">
        <v>3595118745.4320102</v>
      </c>
      <c r="AN35">
        <v>5884.8444600000003</v>
      </c>
      <c r="AO35" s="69">
        <v>30928061361.508598</v>
      </c>
      <c r="AP35">
        <v>10758845433.0089</v>
      </c>
      <c r="AQ35">
        <v>5884.8444600000003</v>
      </c>
      <c r="AR35" s="69">
        <v>1950007926.9159801</v>
      </c>
      <c r="AS35">
        <v>1950007926.9159801</v>
      </c>
      <c r="AT35">
        <v>8038.7799100000002</v>
      </c>
      <c r="AU35">
        <v>1888331021.86255</v>
      </c>
      <c r="AV35">
        <v>784.03187835548601</v>
      </c>
      <c r="AW35">
        <v>95.345613327963903</v>
      </c>
      <c r="AX35">
        <v>1080.76491522991</v>
      </c>
      <c r="AY35">
        <v>1406.6377725085899</v>
      </c>
      <c r="AZ35">
        <v>689.53852295671197</v>
      </c>
      <c r="BA35">
        <v>603.76326466088005</v>
      </c>
      <c r="BB35">
        <v>1057.99724172058</v>
      </c>
      <c r="BC35">
        <v>937.52607340590396</v>
      </c>
      <c r="BD35">
        <v>1082.4444154446401</v>
      </c>
      <c r="BE35">
        <v>956.43091253436603</v>
      </c>
      <c r="BF35">
        <v>1082.36412240968</v>
      </c>
      <c r="BG35">
        <v>582.04594287592897</v>
      </c>
      <c r="BH35">
        <v>1211.6118566385701</v>
      </c>
      <c r="BI35">
        <v>1379.7267482407799</v>
      </c>
      <c r="BJ35">
        <v>1375.4517591544</v>
      </c>
      <c r="BK35">
        <v>1375.4517420777099</v>
      </c>
      <c r="BL35">
        <v>140.741468723347</v>
      </c>
      <c r="BM35">
        <v>15.9731619478261</v>
      </c>
      <c r="BN35">
        <v>187.466971678129</v>
      </c>
      <c r="BO35">
        <v>246.212886505011</v>
      </c>
      <c r="BP35">
        <v>117.05451885296</v>
      </c>
      <c r="BQ35">
        <v>101.156651953034</v>
      </c>
      <c r="BR35">
        <v>179.59373210393699</v>
      </c>
      <c r="BS35">
        <v>156.573629349096</v>
      </c>
      <c r="BT35">
        <v>183.01301444300501</v>
      </c>
      <c r="BU35">
        <v>158.693469116849</v>
      </c>
      <c r="BV35">
        <v>182.40622256126699</v>
      </c>
      <c r="BW35">
        <v>94.011326807510997</v>
      </c>
      <c r="BX35">
        <v>199.529444437508</v>
      </c>
      <c r="BY35">
        <v>231.90460668112601</v>
      </c>
      <c r="BZ35">
        <v>231.72250654222699</v>
      </c>
      <c r="CA35">
        <v>231.72250254858801</v>
      </c>
      <c r="CB35">
        <v>137.32801535367199</v>
      </c>
      <c r="CC35">
        <v>18.349296764061599</v>
      </c>
      <c r="CD35">
        <v>221.32336171252399</v>
      </c>
      <c r="CE35">
        <v>250.00823065295401</v>
      </c>
      <c r="CF35">
        <v>137.22897482683999</v>
      </c>
      <c r="CG35">
        <v>129.93496288542599</v>
      </c>
      <c r="CH35">
        <v>207.18520616541201</v>
      </c>
      <c r="CI35">
        <v>179.45193210723201</v>
      </c>
      <c r="CJ35">
        <v>217.09739263010101</v>
      </c>
      <c r="CK35">
        <v>164.23183675789301</v>
      </c>
      <c r="CL35">
        <v>170.55306161083899</v>
      </c>
      <c r="CM35">
        <v>134.24350258925799</v>
      </c>
      <c r="CN35">
        <v>243.97429267403001</v>
      </c>
      <c r="CO35">
        <v>293.26348564282102</v>
      </c>
      <c r="CP35">
        <v>248.58135303234499</v>
      </c>
      <c r="CQ35">
        <v>248.58135303234499</v>
      </c>
      <c r="CR35" s="1">
        <v>28646137.699666999</v>
      </c>
      <c r="CS35" s="1">
        <v>17367213.8971975</v>
      </c>
      <c r="CT35" s="1">
        <v>6566502.7181213796</v>
      </c>
      <c r="CU35" s="1">
        <v>4100395.2583919</v>
      </c>
      <c r="CV35" s="1">
        <v>2898455.7814885001</v>
      </c>
      <c r="CW35" s="1">
        <v>4348331.0410966901</v>
      </c>
      <c r="CX35" s="1">
        <v>3229147.0418210998</v>
      </c>
      <c r="CY35" s="1">
        <v>1916787.1258822</v>
      </c>
      <c r="CZ35" s="1">
        <v>1188430.9696655199</v>
      </c>
      <c r="DA35" s="1">
        <v>895546.079480113</v>
      </c>
      <c r="DB35" s="1">
        <v>1179922.84249106</v>
      </c>
      <c r="DC35" s="1">
        <v>539677.63462064799</v>
      </c>
      <c r="DD35" s="1">
        <v>413729.52291809802</v>
      </c>
      <c r="DE35" s="1">
        <v>116336.760089701</v>
      </c>
      <c r="DF35" s="1">
        <v>298181.18033292901</v>
      </c>
      <c r="DG35" s="1">
        <v>840132.82250178896</v>
      </c>
      <c r="DH35" s="1">
        <v>1101614627.2990999</v>
      </c>
      <c r="DI35" s="1">
        <v>671680191.40329099</v>
      </c>
      <c r="DJ35" s="1">
        <v>260315773.19956499</v>
      </c>
      <c r="DK35" s="1">
        <v>168464584.910734</v>
      </c>
      <c r="DL35" s="1">
        <v>110578313.793944</v>
      </c>
      <c r="DM35" s="1">
        <v>168358305.79344001</v>
      </c>
      <c r="DN35" s="1">
        <v>130546386.988929</v>
      </c>
      <c r="DO35" s="1">
        <v>77764416.906470999</v>
      </c>
      <c r="DP35" s="1">
        <v>48407772.364119701</v>
      </c>
      <c r="DQ35" s="1">
        <v>37199915.717076197</v>
      </c>
      <c r="DR35" s="1">
        <v>48464250.865055002</v>
      </c>
      <c r="DS35" s="1">
        <v>21648560.6646563</v>
      </c>
      <c r="DT35" s="1">
        <v>15079605.5804168</v>
      </c>
      <c r="DU35" s="1">
        <v>4064017.7639583601</v>
      </c>
      <c r="DV35" s="1">
        <v>10180786.7119988</v>
      </c>
      <c r="DW35" s="1">
        <v>32968640.601591799</v>
      </c>
    </row>
    <row r="36" spans="1:127" x14ac:dyDescent="0.25">
      <c r="A36" t="s">
        <v>62</v>
      </c>
      <c r="B36">
        <v>37.65</v>
      </c>
      <c r="C36">
        <v>-97.43</v>
      </c>
      <c r="D36">
        <v>-13.7</v>
      </c>
      <c r="E36">
        <v>-11</v>
      </c>
      <c r="F36">
        <v>37.799999999999997</v>
      </c>
      <c r="G36">
        <v>23.2</v>
      </c>
      <c r="H36">
        <v>36.1</v>
      </c>
      <c r="I36">
        <v>23.2</v>
      </c>
      <c r="J36">
        <v>3.9166666666666599</v>
      </c>
      <c r="K36">
        <v>0</v>
      </c>
      <c r="L36">
        <v>10864278828.5952</v>
      </c>
      <c r="M36">
        <v>2604371275.2280002</v>
      </c>
      <c r="N36">
        <v>6189.1550299999999</v>
      </c>
      <c r="O36" s="75">
        <v>32930992117.554001</v>
      </c>
      <c r="P36">
        <f>41163740146.9425*(0.8/0.96)</f>
        <v>34303116789.118748</v>
      </c>
      <c r="Q36">
        <v>29308</v>
      </c>
      <c r="R36">
        <v>357614447.855079</v>
      </c>
      <c r="S36">
        <f>2070.57448961977*(0.8/0.96)</f>
        <v>1725.4787413498082</v>
      </c>
      <c r="T36">
        <v>27.006358003263198</v>
      </c>
      <c r="U36">
        <v>3.2022243699250299</v>
      </c>
      <c r="V36">
        <v>36.8832332544645</v>
      </c>
      <c r="W36">
        <v>47.009484453358297</v>
      </c>
      <c r="X36">
        <v>22.923634300656499</v>
      </c>
      <c r="Y36">
        <v>20.2612042644643</v>
      </c>
      <c r="Z36">
        <v>35.177922609155701</v>
      </c>
      <c r="AA36">
        <v>32.114943644672103</v>
      </c>
      <c r="AB36">
        <v>35.747027821396202</v>
      </c>
      <c r="AC36">
        <v>32.551832257967398</v>
      </c>
      <c r="AD36">
        <v>36.852221140134098</v>
      </c>
      <c r="AE36">
        <v>18.822928258998701</v>
      </c>
      <c r="AF36">
        <v>40.813408761233703</v>
      </c>
      <c r="AG36">
        <v>45.079806074769103</v>
      </c>
      <c r="AH36">
        <v>46.047795176622301</v>
      </c>
      <c r="AI36">
        <v>46.047795176622301</v>
      </c>
      <c r="AJ36">
        <v>3.8333333333333299</v>
      </c>
      <c r="AK36">
        <v>14.9166666666667</v>
      </c>
      <c r="AL36">
        <v>10884220858.2831</v>
      </c>
      <c r="AM36">
        <v>1874208766.9804399</v>
      </c>
      <c r="AN36">
        <v>6189.1550299999999</v>
      </c>
      <c r="AO36" s="69">
        <v>29783186776.777699</v>
      </c>
      <c r="AP36">
        <v>9918311691.2294903</v>
      </c>
      <c r="AQ36">
        <v>6189.1550299999999</v>
      </c>
      <c r="AR36" s="69">
        <v>1878533483.1338799</v>
      </c>
      <c r="AS36">
        <v>1878533483.1338799</v>
      </c>
      <c r="AT36">
        <v>7494.6279299999997</v>
      </c>
      <c r="AU36">
        <v>1746673144.99054</v>
      </c>
      <c r="AV36">
        <v>747.38707794938398</v>
      </c>
      <c r="AW36">
        <v>90.844724375465105</v>
      </c>
      <c r="AX36">
        <v>1024.6887389303299</v>
      </c>
      <c r="AY36">
        <v>1309.5436923089001</v>
      </c>
      <c r="AZ36">
        <v>652.16251205556898</v>
      </c>
      <c r="BA36">
        <v>576.63741394834597</v>
      </c>
      <c r="BB36">
        <v>1003.18528523772</v>
      </c>
      <c r="BC36">
        <v>909.79366704540803</v>
      </c>
      <c r="BD36">
        <v>1012.24558089117</v>
      </c>
      <c r="BE36">
        <v>931.45471093392098</v>
      </c>
      <c r="BF36">
        <v>1032.8780039047101</v>
      </c>
      <c r="BG36">
        <v>544.51008941836506</v>
      </c>
      <c r="BH36">
        <v>1165.16129643869</v>
      </c>
      <c r="BI36">
        <v>1285.4187316167499</v>
      </c>
      <c r="BJ36">
        <v>1310.3741132753501</v>
      </c>
      <c r="BK36">
        <v>1310.3741132753501</v>
      </c>
      <c r="BL36">
        <v>132.369068159557</v>
      </c>
      <c r="BM36">
        <v>15.656220242365199</v>
      </c>
      <c r="BN36">
        <v>179.73729908428899</v>
      </c>
      <c r="BO36">
        <v>230.02454271455099</v>
      </c>
      <c r="BP36">
        <v>111.38059306317901</v>
      </c>
      <c r="BQ36">
        <v>98.354647780656293</v>
      </c>
      <c r="BR36">
        <v>171.47387663077001</v>
      </c>
      <c r="BS36">
        <v>155.653898279922</v>
      </c>
      <c r="BT36">
        <v>173.591389839686</v>
      </c>
      <c r="BU36">
        <v>158.482338607081</v>
      </c>
      <c r="BV36">
        <v>180.20027905463701</v>
      </c>
      <c r="BW36">
        <v>90.493107597388999</v>
      </c>
      <c r="BX36">
        <v>198.40177481845001</v>
      </c>
      <c r="BY36">
        <v>218.37609383165301</v>
      </c>
      <c r="BZ36">
        <v>223.82576368438899</v>
      </c>
      <c r="CA36">
        <v>223.82576368438899</v>
      </c>
      <c r="CB36">
        <v>143.39060445717399</v>
      </c>
      <c r="CC36">
        <v>21.0114880521141</v>
      </c>
      <c r="CD36">
        <v>201.94467147535801</v>
      </c>
      <c r="CE36">
        <v>267.33979524724202</v>
      </c>
      <c r="CF36">
        <v>128.87218768213299</v>
      </c>
      <c r="CG36">
        <v>119.59298181232801</v>
      </c>
      <c r="CH36">
        <v>227.62545643402001</v>
      </c>
      <c r="CI36">
        <v>177.16316689073199</v>
      </c>
      <c r="CJ36">
        <v>200.866765741102</v>
      </c>
      <c r="CK36">
        <v>193.264020971999</v>
      </c>
      <c r="CL36">
        <v>197.533402109473</v>
      </c>
      <c r="CM36">
        <v>123.048799179399</v>
      </c>
      <c r="CN36">
        <v>257.49094804412402</v>
      </c>
      <c r="CO36">
        <v>262.45152304156699</v>
      </c>
      <c r="CP36">
        <v>266.40202561237902</v>
      </c>
      <c r="CQ36">
        <v>266.40202561237902</v>
      </c>
      <c r="CR36" s="1">
        <v>26393340.180645201</v>
      </c>
      <c r="CS36" s="1">
        <v>16980902.186802398</v>
      </c>
      <c r="CT36" s="1">
        <v>7194434.9655745896</v>
      </c>
      <c r="CU36" s="1">
        <v>4096500.7705326802</v>
      </c>
      <c r="CV36" s="1">
        <v>2977796.4054543301</v>
      </c>
      <c r="CW36" s="1">
        <v>4355691.1613776097</v>
      </c>
      <c r="CX36" s="1">
        <v>3512045.1429361901</v>
      </c>
      <c r="CY36" s="1">
        <v>2192905.8400869798</v>
      </c>
      <c r="CZ36" s="1">
        <v>1418458.78709699</v>
      </c>
      <c r="DA36" s="1">
        <v>988662.723591118</v>
      </c>
      <c r="DB36" s="1">
        <v>1389274.4485223</v>
      </c>
      <c r="DC36" s="1">
        <v>683380.96644580201</v>
      </c>
      <c r="DD36" s="1">
        <v>537347.70346722601</v>
      </c>
      <c r="DE36" s="1">
        <v>306495.90710596601</v>
      </c>
      <c r="DF36" s="1">
        <v>539714.57480905403</v>
      </c>
      <c r="DG36" s="1">
        <v>998408.95736026205</v>
      </c>
      <c r="DH36" s="1">
        <v>993667293.49619102</v>
      </c>
      <c r="DI36" s="1">
        <v>652655579.594998</v>
      </c>
      <c r="DJ36" s="1">
        <v>277993709.72049803</v>
      </c>
      <c r="DK36" s="1">
        <v>154733824.24976099</v>
      </c>
      <c r="DL36" s="1">
        <v>107460391.808245</v>
      </c>
      <c r="DM36" s="1">
        <v>164588082.314688</v>
      </c>
      <c r="DN36" s="1">
        <v>141266154.866568</v>
      </c>
      <c r="DO36" s="1">
        <v>84978578.269846201</v>
      </c>
      <c r="DP36" s="1">
        <v>54646913.104455799</v>
      </c>
      <c r="DQ36" s="1">
        <v>38060913.552825697</v>
      </c>
      <c r="DR36" s="1">
        <v>57653170.083514497</v>
      </c>
      <c r="DS36" s="1">
        <v>27040679.942543101</v>
      </c>
      <c r="DT36" s="1">
        <v>19872688.9269902</v>
      </c>
      <c r="DU36" s="1">
        <v>10720193.308276</v>
      </c>
      <c r="DV36" s="1">
        <v>20722766.894066099</v>
      </c>
      <c r="DW36" s="1">
        <v>36955418.7195917</v>
      </c>
    </row>
    <row r="37" spans="1:127" x14ac:dyDescent="0.25">
      <c r="A37" t="s">
        <v>64</v>
      </c>
      <c r="B37">
        <v>38.229999999999997</v>
      </c>
      <c r="C37">
        <v>-85.67</v>
      </c>
      <c r="D37">
        <v>-12.4</v>
      </c>
      <c r="E37">
        <v>-9.1</v>
      </c>
      <c r="F37">
        <v>34.1</v>
      </c>
      <c r="G37">
        <v>23.9</v>
      </c>
      <c r="H37">
        <v>32.799999999999997</v>
      </c>
      <c r="I37">
        <v>23.7</v>
      </c>
      <c r="J37">
        <v>52.75</v>
      </c>
      <c r="K37">
        <v>0</v>
      </c>
      <c r="L37">
        <v>17873998851.401501</v>
      </c>
      <c r="M37">
        <v>3900826758.9031301</v>
      </c>
      <c r="N37">
        <v>5310.7309599999999</v>
      </c>
      <c r="O37" s="75">
        <v>25155390664.723</v>
      </c>
      <c r="P37">
        <f>31444238330.9037*(0.8/0.96)</f>
        <v>26203531942.419754</v>
      </c>
      <c r="Q37">
        <v>29308</v>
      </c>
      <c r="R37">
        <v>230049284.23036501</v>
      </c>
      <c r="S37">
        <f>1581.67449073088*(0.8/0.96)</f>
        <v>1318.0620756090668</v>
      </c>
      <c r="T37">
        <v>51.1550595084055</v>
      </c>
      <c r="U37">
        <v>27.694785052150401</v>
      </c>
      <c r="V37">
        <v>42.415635344355103</v>
      </c>
      <c r="W37">
        <v>33.574297036885</v>
      </c>
      <c r="X37">
        <v>22.400567492746902</v>
      </c>
      <c r="Y37">
        <v>10.993609496385</v>
      </c>
      <c r="Z37">
        <v>23.577282944965301</v>
      </c>
      <c r="AA37">
        <v>14.657776516277499</v>
      </c>
      <c r="AB37">
        <v>29.280454590485</v>
      </c>
      <c r="AC37">
        <v>21.495231469319801</v>
      </c>
      <c r="AD37">
        <v>15.448052654345901</v>
      </c>
      <c r="AE37">
        <v>17.247363730863299</v>
      </c>
      <c r="AF37">
        <v>15.862075912802901</v>
      </c>
      <c r="AG37">
        <v>30.438610545589199</v>
      </c>
      <c r="AH37">
        <v>13.6092383033407</v>
      </c>
      <c r="AI37">
        <v>13.6092383033407</v>
      </c>
      <c r="AJ37">
        <v>52.1666666666667</v>
      </c>
      <c r="AK37">
        <v>10.75</v>
      </c>
      <c r="AL37">
        <v>17913152504.157101</v>
      </c>
      <c r="AM37">
        <v>2613157169.619</v>
      </c>
      <c r="AN37">
        <v>5310.7309599999999</v>
      </c>
      <c r="AO37" s="69">
        <v>22804372081.578899</v>
      </c>
      <c r="AP37">
        <v>7287868281.5655298</v>
      </c>
      <c r="AQ37">
        <v>5310.7309599999999</v>
      </c>
      <c r="AR37" s="69">
        <v>1355575541.2395</v>
      </c>
      <c r="AS37">
        <v>1355575541.2395</v>
      </c>
      <c r="AT37">
        <v>6989.3530799999999</v>
      </c>
      <c r="AU37">
        <v>1309658430.3111601</v>
      </c>
      <c r="AV37">
        <v>1628.09336917788</v>
      </c>
      <c r="AW37">
        <v>883.79802350464399</v>
      </c>
      <c r="AX37">
        <v>1352.1151054817101</v>
      </c>
      <c r="AY37">
        <v>1071.57516447029</v>
      </c>
      <c r="AZ37">
        <v>723.79149451887997</v>
      </c>
      <c r="BA37">
        <v>354.473940624992</v>
      </c>
      <c r="BB37">
        <v>763.89586261030001</v>
      </c>
      <c r="BC37">
        <v>473.96930841630098</v>
      </c>
      <c r="BD37">
        <v>937.61664822046498</v>
      </c>
      <c r="BE37">
        <v>686.06967086622603</v>
      </c>
      <c r="BF37">
        <v>502.33710667927602</v>
      </c>
      <c r="BG37">
        <v>553.95457613679002</v>
      </c>
      <c r="BH37">
        <v>519.36389840908703</v>
      </c>
      <c r="BI37">
        <v>976.816518932235</v>
      </c>
      <c r="BJ37">
        <v>435.144967875921</v>
      </c>
      <c r="BK37">
        <v>435.144967875921</v>
      </c>
      <c r="BL37">
        <v>291.280053782072</v>
      </c>
      <c r="BM37">
        <v>157.47336276644299</v>
      </c>
      <c r="BN37">
        <v>241.266643909604</v>
      </c>
      <c r="BO37">
        <v>190.94197250649501</v>
      </c>
      <c r="BP37">
        <v>126.783400257106</v>
      </c>
      <c r="BQ37">
        <v>62.271280992780802</v>
      </c>
      <c r="BR37">
        <v>133.33284554442099</v>
      </c>
      <c r="BS37">
        <v>83.055280563040697</v>
      </c>
      <c r="BT37">
        <v>166.90731368376399</v>
      </c>
      <c r="BU37">
        <v>122.185241940773</v>
      </c>
      <c r="BV37">
        <v>87.388992195371202</v>
      </c>
      <c r="BW37">
        <v>97.804876400206496</v>
      </c>
      <c r="BX37">
        <v>90.157612822052499</v>
      </c>
      <c r="BY37">
        <v>172.68378184678301</v>
      </c>
      <c r="BZ37">
        <v>77.535673439345501</v>
      </c>
      <c r="CA37">
        <v>77.535673439345501</v>
      </c>
      <c r="CB37">
        <v>314.67915679499998</v>
      </c>
      <c r="CC37">
        <v>171.068390376293</v>
      </c>
      <c r="CD37">
        <v>252.067128082653</v>
      </c>
      <c r="CE37">
        <v>197.04280016190199</v>
      </c>
      <c r="CF37">
        <v>147.82718671947799</v>
      </c>
      <c r="CG37">
        <v>74.5361919016092</v>
      </c>
      <c r="CH37">
        <v>156.24236398864701</v>
      </c>
      <c r="CI37">
        <v>91.505037601974195</v>
      </c>
      <c r="CJ37">
        <v>176.09280859727599</v>
      </c>
      <c r="CK37">
        <v>140.51896640275399</v>
      </c>
      <c r="CL37">
        <v>107.94264482435899</v>
      </c>
      <c r="CM37">
        <v>103.52290642359699</v>
      </c>
      <c r="CN37">
        <v>106.849086275779</v>
      </c>
      <c r="CO37">
        <v>193.889470831431</v>
      </c>
      <c r="CP37">
        <v>82.4257154993455</v>
      </c>
      <c r="CQ37">
        <v>82.4257154993455</v>
      </c>
      <c r="CR37" s="1">
        <v>110923618.522223</v>
      </c>
      <c r="CS37" s="1">
        <v>87101530.7441881</v>
      </c>
      <c r="CT37" s="1">
        <v>154261725.50188899</v>
      </c>
      <c r="CU37" s="1">
        <v>147068223.75965199</v>
      </c>
      <c r="CV37" s="1">
        <v>141611749.65385199</v>
      </c>
      <c r="CW37" s="1">
        <v>131144958.843107</v>
      </c>
      <c r="CX37" s="1">
        <v>103211236.321623</v>
      </c>
      <c r="CY37" s="1">
        <v>92020772.690082595</v>
      </c>
      <c r="CZ37" s="1">
        <v>86848358.221348703</v>
      </c>
      <c r="DA37" s="1">
        <v>82730576.451481402</v>
      </c>
      <c r="DB37" s="1">
        <v>81432976.896349594</v>
      </c>
      <c r="DC37" s="1">
        <v>67442723.540762797</v>
      </c>
      <c r="DD37" s="1">
        <v>70872951.255467594</v>
      </c>
      <c r="DE37" s="1">
        <v>93721500.947836995</v>
      </c>
      <c r="DF37" s="1">
        <v>77773913.310399398</v>
      </c>
      <c r="DG37" s="1">
        <v>64167343.659271501</v>
      </c>
      <c r="DH37" s="1">
        <v>4924945561.0661898</v>
      </c>
      <c r="DI37" s="1">
        <v>3797478384.3301401</v>
      </c>
      <c r="DJ37" s="1">
        <v>6698429830.1283598</v>
      </c>
      <c r="DK37" s="1">
        <v>6354383188.7305403</v>
      </c>
      <c r="DL37" s="1">
        <v>6102394170.8024302</v>
      </c>
      <c r="DM37" s="1">
        <v>5720426382.9840603</v>
      </c>
      <c r="DN37" s="1">
        <v>4489954257.3259697</v>
      </c>
      <c r="DO37" s="1">
        <v>4044314865.7089801</v>
      </c>
      <c r="DP37" s="1">
        <v>3843372231.2825398</v>
      </c>
      <c r="DQ37" s="1">
        <v>3661474429.3266501</v>
      </c>
      <c r="DR37" s="1">
        <v>3603242870.91154</v>
      </c>
      <c r="DS37" s="1">
        <v>2921519323.72223</v>
      </c>
      <c r="DT37" s="1">
        <v>3096703686.50349</v>
      </c>
      <c r="DU37" s="1">
        <v>4096608511.5510402</v>
      </c>
      <c r="DV37" s="1">
        <v>3407935221.8670702</v>
      </c>
      <c r="DW37" s="1">
        <v>2812652328.11199</v>
      </c>
    </row>
    <row r="38" spans="1:127" x14ac:dyDescent="0.25">
      <c r="A38" t="s">
        <v>65</v>
      </c>
      <c r="B38">
        <v>30</v>
      </c>
      <c r="C38">
        <v>-90.25</v>
      </c>
      <c r="D38">
        <v>0.6</v>
      </c>
      <c r="E38">
        <v>2.4</v>
      </c>
      <c r="F38">
        <v>34.299999999999997</v>
      </c>
      <c r="G38">
        <v>25.6</v>
      </c>
      <c r="H38">
        <v>33.5</v>
      </c>
      <c r="I38">
        <v>25.4</v>
      </c>
      <c r="J38">
        <v>87.749999999999702</v>
      </c>
      <c r="K38">
        <v>0</v>
      </c>
      <c r="L38">
        <v>37074514820.147301</v>
      </c>
      <c r="M38">
        <v>8161289487.9783401</v>
      </c>
      <c r="N38">
        <v>5709.7067200000001</v>
      </c>
      <c r="O38" s="75">
        <v>5244532175.7765102</v>
      </c>
      <c r="P38">
        <f>6555665219.72063*(0.8/0.96)</f>
        <v>5463054349.7671919</v>
      </c>
      <c r="Q38">
        <v>29308</v>
      </c>
      <c r="R38">
        <v>48444937.529263698</v>
      </c>
      <c r="S38">
        <f>329.756069734819*(0.8/0.96)</f>
        <v>274.79672477901585</v>
      </c>
      <c r="T38">
        <v>5.5181761253510802</v>
      </c>
      <c r="U38">
        <v>4.55365898823006</v>
      </c>
      <c r="V38">
        <v>5.3368763344200101</v>
      </c>
      <c r="W38">
        <v>4.7030921139595199</v>
      </c>
      <c r="X38">
        <v>2.8276805908315601</v>
      </c>
      <c r="Y38">
        <v>3.1249397933715999</v>
      </c>
      <c r="Z38">
        <v>3.8386461510345802</v>
      </c>
      <c r="AA38">
        <v>2.50284675042113</v>
      </c>
      <c r="AB38">
        <v>4.0406175284199497</v>
      </c>
      <c r="AC38">
        <v>3.6975623208364099</v>
      </c>
      <c r="AD38">
        <v>2.7343999846852598</v>
      </c>
      <c r="AE38">
        <v>2.9526325515193799</v>
      </c>
      <c r="AF38">
        <v>4.7590545746117199</v>
      </c>
      <c r="AG38">
        <v>3.9991747070219299</v>
      </c>
      <c r="AH38">
        <v>1.1364444548121699</v>
      </c>
      <c r="AI38">
        <v>1.1364444548121699</v>
      </c>
      <c r="AJ38">
        <v>86.583333333333101</v>
      </c>
      <c r="AK38">
        <v>1.9166666666666601</v>
      </c>
      <c r="AL38">
        <v>37119022150.047302</v>
      </c>
      <c r="AM38">
        <v>5658736760.34589</v>
      </c>
      <c r="AN38">
        <v>5709.7067200000001</v>
      </c>
      <c r="AO38" s="69">
        <v>4997647834.2493696</v>
      </c>
      <c r="AP38">
        <v>1330622474.6463599</v>
      </c>
      <c r="AQ38">
        <v>5709.7067200000001</v>
      </c>
      <c r="AR38" s="69">
        <v>54823065.511551403</v>
      </c>
      <c r="AS38">
        <v>54823065.511551403</v>
      </c>
      <c r="AT38">
        <v>3667.1081399999998</v>
      </c>
      <c r="AU38">
        <v>257821714.449689</v>
      </c>
      <c r="AV38">
        <v>152.25726244622899</v>
      </c>
      <c r="AW38">
        <v>125.419654800112</v>
      </c>
      <c r="AX38">
        <v>148.48079943945899</v>
      </c>
      <c r="AY38">
        <v>132.76171916884499</v>
      </c>
      <c r="AZ38">
        <v>79.937273464961905</v>
      </c>
      <c r="BA38">
        <v>87.104805646377997</v>
      </c>
      <c r="BB38">
        <v>106.640999279819</v>
      </c>
      <c r="BC38">
        <v>70.204715870053903</v>
      </c>
      <c r="BD38">
        <v>112.40887886918399</v>
      </c>
      <c r="BE38">
        <v>102.686714620776</v>
      </c>
      <c r="BF38">
        <v>76.450202662247904</v>
      </c>
      <c r="BG38">
        <v>83.1204687506402</v>
      </c>
      <c r="BH38">
        <v>131.570139848249</v>
      </c>
      <c r="BI38">
        <v>111.126808451214</v>
      </c>
      <c r="BJ38">
        <v>31.5733049050415</v>
      </c>
      <c r="BK38">
        <v>31.5733049050415</v>
      </c>
      <c r="BL38">
        <v>29.437994761416199</v>
      </c>
      <c r="BM38">
        <v>24.2679201325622</v>
      </c>
      <c r="BN38">
        <v>28.489965986567899</v>
      </c>
      <c r="BO38">
        <v>25.004156045508399</v>
      </c>
      <c r="BP38">
        <v>15.240302061239699</v>
      </c>
      <c r="BQ38">
        <v>16.6683517350782</v>
      </c>
      <c r="BR38">
        <v>20.4541527332429</v>
      </c>
      <c r="BS38">
        <v>13.2793017296909</v>
      </c>
      <c r="BT38">
        <v>21.549742262054199</v>
      </c>
      <c r="BU38">
        <v>19.7218694160883</v>
      </c>
      <c r="BV38">
        <v>14.581348567864801</v>
      </c>
      <c r="BW38">
        <v>15.769788582804299</v>
      </c>
      <c r="BX38">
        <v>25.319160964881501</v>
      </c>
      <c r="BY38">
        <v>21.3021886602187</v>
      </c>
      <c r="BZ38">
        <v>6.0453675787677996</v>
      </c>
      <c r="CA38">
        <v>6.0453675787677996</v>
      </c>
      <c r="CB38">
        <v>5.9477214133552403</v>
      </c>
      <c r="CC38">
        <v>5.3203898716837701</v>
      </c>
      <c r="CD38">
        <v>6.3082612175574804</v>
      </c>
      <c r="CE38">
        <v>5.5260507940222396</v>
      </c>
      <c r="CF38">
        <v>2.7766187280813801</v>
      </c>
      <c r="CG38">
        <v>3.5376460915633401</v>
      </c>
      <c r="CH38">
        <v>4.7516582265825198</v>
      </c>
      <c r="CI38">
        <v>2.42909547762949</v>
      </c>
      <c r="CJ38">
        <v>5.0497368545306802</v>
      </c>
      <c r="CK38">
        <v>4.1564869354877798</v>
      </c>
      <c r="CL38">
        <v>3.0598220936718499</v>
      </c>
      <c r="CM38">
        <v>2.7009018750985998</v>
      </c>
      <c r="CN38">
        <v>5.5161141405784804</v>
      </c>
      <c r="CO38">
        <v>4.2891714865152704</v>
      </c>
      <c r="CP38">
        <v>1.3745505125930499</v>
      </c>
      <c r="CQ38">
        <v>1.3745505125930499</v>
      </c>
      <c r="CR38" s="1">
        <v>54379500.418404602</v>
      </c>
      <c r="CS38" s="1">
        <v>56897280.553877197</v>
      </c>
      <c r="CT38" s="1">
        <v>67948040.896190301</v>
      </c>
      <c r="CU38" s="1">
        <v>67908816.690147504</v>
      </c>
      <c r="CV38" s="1">
        <v>69566766.9923421</v>
      </c>
      <c r="CW38" s="1">
        <v>58507583.226340398</v>
      </c>
      <c r="CX38" s="1">
        <v>60900550.370759502</v>
      </c>
      <c r="CY38" s="1">
        <v>61934816.887150601</v>
      </c>
      <c r="CZ38" s="1">
        <v>60400212.477327101</v>
      </c>
      <c r="DA38" s="1">
        <v>60812440.208384499</v>
      </c>
      <c r="DB38" s="1">
        <v>62600650.970195003</v>
      </c>
      <c r="DC38" s="1">
        <v>60711717.762027599</v>
      </c>
      <c r="DD38" s="1">
        <v>60017736.647907302</v>
      </c>
      <c r="DE38" s="1">
        <v>72657831.715808302</v>
      </c>
      <c r="DF38" s="1">
        <v>72772976.531550407</v>
      </c>
      <c r="DG38" s="1">
        <v>69750419.232858494</v>
      </c>
      <c r="DH38" s="1">
        <v>1842728499.45941</v>
      </c>
      <c r="DI38" s="1">
        <v>1928229356.3689899</v>
      </c>
      <c r="DJ38" s="1">
        <v>2301076936.7611399</v>
      </c>
      <c r="DK38" s="1">
        <v>2307300966.0871401</v>
      </c>
      <c r="DL38" s="1">
        <v>2364897945.8819499</v>
      </c>
      <c r="DM38" s="1">
        <v>2002284659.07113</v>
      </c>
      <c r="DN38" s="1">
        <v>2083147445.16765</v>
      </c>
      <c r="DO38" s="1">
        <v>2120435993.3419099</v>
      </c>
      <c r="DP38" s="1">
        <v>2066108752.4579899</v>
      </c>
      <c r="DQ38" s="1">
        <v>2079093695.73997</v>
      </c>
      <c r="DR38" s="1">
        <v>2139943749.9096701</v>
      </c>
      <c r="DS38" s="1">
        <v>2077433130.24863</v>
      </c>
      <c r="DT38" s="1">
        <v>2053700430.9439001</v>
      </c>
      <c r="DU38" s="1">
        <v>2484259773.82164</v>
      </c>
      <c r="DV38" s="1">
        <v>2488355236.6273799</v>
      </c>
      <c r="DW38" s="1">
        <v>2387491113.4278998</v>
      </c>
    </row>
    <row r="39" spans="1:127" x14ac:dyDescent="0.25">
      <c r="A39" t="s">
        <v>66</v>
      </c>
      <c r="B39">
        <v>32.53</v>
      </c>
      <c r="C39">
        <v>-93.75</v>
      </c>
      <c r="D39">
        <v>-2.8</v>
      </c>
      <c r="E39">
        <v>-1.3</v>
      </c>
      <c r="F39">
        <v>37.299999999999997</v>
      </c>
      <c r="G39">
        <v>24.8</v>
      </c>
      <c r="H39">
        <v>36</v>
      </c>
      <c r="I39">
        <v>24.7</v>
      </c>
      <c r="J39">
        <v>91.666666666666302</v>
      </c>
      <c r="K39">
        <v>0</v>
      </c>
      <c r="L39">
        <v>30517714958.488602</v>
      </c>
      <c r="M39">
        <v>7217073981.9897203</v>
      </c>
      <c r="N39">
        <v>6031.27801</v>
      </c>
      <c r="O39" s="75">
        <v>9955864932.9211903</v>
      </c>
      <c r="P39">
        <f>12444831166.1514*(0.8/0.96)</f>
        <v>10370692638.459499</v>
      </c>
      <c r="Q39">
        <v>29308</v>
      </c>
      <c r="R39">
        <v>100471360.452897</v>
      </c>
      <c r="S39">
        <f>625.986604916714*(0.8/0.96)</f>
        <v>521.65550409726166</v>
      </c>
      <c r="T39">
        <v>11.36384513782</v>
      </c>
      <c r="U39">
        <v>9.6661000636859402</v>
      </c>
      <c r="V39">
        <v>10.6144024574544</v>
      </c>
      <c r="W39">
        <v>8.9644168086574005</v>
      </c>
      <c r="X39">
        <v>6.2228310239845896</v>
      </c>
      <c r="Y39">
        <v>6.1414477327410602</v>
      </c>
      <c r="Z39">
        <v>7.4245005868261797</v>
      </c>
      <c r="AA39">
        <v>5.3529362761650603</v>
      </c>
      <c r="AB39">
        <v>7.7756304740554301</v>
      </c>
      <c r="AC39">
        <v>7.2381927414237799</v>
      </c>
      <c r="AD39">
        <v>5.6320301362361</v>
      </c>
      <c r="AE39">
        <v>5.7315587723525603</v>
      </c>
      <c r="AF39">
        <v>9.4505497041222508</v>
      </c>
      <c r="AG39">
        <v>7.7944693375741902</v>
      </c>
      <c r="AH39">
        <v>2.0401003127238799</v>
      </c>
      <c r="AI39">
        <v>2.0401003127238799</v>
      </c>
      <c r="AJ39">
        <v>91.249999999999602</v>
      </c>
      <c r="AK39">
        <v>8.6666666666666607</v>
      </c>
      <c r="AL39">
        <v>30535030248.457001</v>
      </c>
      <c r="AM39">
        <v>5393568030.3457499</v>
      </c>
      <c r="AN39">
        <v>6031.27801</v>
      </c>
      <c r="AO39" s="69">
        <v>9408142710.9406891</v>
      </c>
      <c r="AP39">
        <v>2899014183.5525999</v>
      </c>
      <c r="AQ39">
        <v>6031.27801</v>
      </c>
      <c r="AR39" s="69">
        <v>175159076.02339199</v>
      </c>
      <c r="AS39">
        <v>175159076.02339199</v>
      </c>
      <c r="AT39">
        <v>3850.7849200000001</v>
      </c>
      <c r="AU39">
        <v>515422091.14604402</v>
      </c>
      <c r="AV39">
        <v>328.555898973431</v>
      </c>
      <c r="AW39">
        <v>278.72419162843403</v>
      </c>
      <c r="AX39">
        <v>310.01655983795001</v>
      </c>
      <c r="AY39">
        <v>267.24758488321601</v>
      </c>
      <c r="AZ39">
        <v>183.83795418337701</v>
      </c>
      <c r="BA39">
        <v>178.593852604766</v>
      </c>
      <c r="BB39">
        <v>216.04738259261401</v>
      </c>
      <c r="BC39">
        <v>158.433904766344</v>
      </c>
      <c r="BD39">
        <v>227.17729847907299</v>
      </c>
      <c r="BE39">
        <v>210.382520086363</v>
      </c>
      <c r="BF39">
        <v>164.20449979601199</v>
      </c>
      <c r="BG39">
        <v>168.50165056299201</v>
      </c>
      <c r="BH39">
        <v>274.06552131446398</v>
      </c>
      <c r="BI39">
        <v>227.551085554585</v>
      </c>
      <c r="BJ39">
        <v>58.945253891283897</v>
      </c>
      <c r="BK39">
        <v>58.945253891283897</v>
      </c>
      <c r="BL39">
        <v>58.498462319339197</v>
      </c>
      <c r="BM39">
        <v>49.590572176659499</v>
      </c>
      <c r="BN39">
        <v>54.630658316450798</v>
      </c>
      <c r="BO39">
        <v>45.807861545045398</v>
      </c>
      <c r="BP39">
        <v>32.104986567668298</v>
      </c>
      <c r="BQ39">
        <v>31.477345480066301</v>
      </c>
      <c r="BR39">
        <v>38.124170540469699</v>
      </c>
      <c r="BS39">
        <v>27.354784017427399</v>
      </c>
      <c r="BT39">
        <v>39.894185391080804</v>
      </c>
      <c r="BU39">
        <v>37.273981659614201</v>
      </c>
      <c r="BV39">
        <v>28.925766703397201</v>
      </c>
      <c r="BW39">
        <v>29.467034090865699</v>
      </c>
      <c r="BX39">
        <v>48.477587501127502</v>
      </c>
      <c r="BY39">
        <v>40.012399887342497</v>
      </c>
      <c r="BZ39">
        <v>10.479520219777999</v>
      </c>
      <c r="CA39">
        <v>10.479520219777999</v>
      </c>
      <c r="CB39">
        <v>18.240222659181299</v>
      </c>
      <c r="CC39">
        <v>16.895287259590599</v>
      </c>
      <c r="CD39">
        <v>17.0189768984756</v>
      </c>
      <c r="CE39">
        <v>14.229723161033</v>
      </c>
      <c r="CF39">
        <v>7.1895364152924301</v>
      </c>
      <c r="CG39">
        <v>9.6869866475663304</v>
      </c>
      <c r="CH39">
        <v>12.862699453629</v>
      </c>
      <c r="CI39">
        <v>8.2557046076571901</v>
      </c>
      <c r="CJ39">
        <v>13.2754011970052</v>
      </c>
      <c r="CK39">
        <v>11.3750175720151</v>
      </c>
      <c r="CL39">
        <v>8.5049058069715393</v>
      </c>
      <c r="CM39">
        <v>7.2853233493101603</v>
      </c>
      <c r="CN39">
        <v>15.9906152585895</v>
      </c>
      <c r="CO39">
        <v>12.5228367618761</v>
      </c>
      <c r="CP39">
        <v>3.7188051467173602</v>
      </c>
      <c r="CQ39">
        <v>3.7188051467173602</v>
      </c>
      <c r="CR39" s="1">
        <v>113153912.261218</v>
      </c>
      <c r="CS39" s="1">
        <v>114873509.328153</v>
      </c>
      <c r="CT39" s="1">
        <v>141055136.919604</v>
      </c>
      <c r="CU39" s="1">
        <v>140450982.42879099</v>
      </c>
      <c r="CV39" s="1">
        <v>139342851.863305</v>
      </c>
      <c r="CW39" s="1">
        <v>116759151.320034</v>
      </c>
      <c r="CX39" s="1">
        <v>122648802.903345</v>
      </c>
      <c r="CY39" s="1">
        <v>123545805.062886</v>
      </c>
      <c r="CZ39" s="1">
        <v>122070943.810311</v>
      </c>
      <c r="DA39" s="1">
        <v>120035903.915997</v>
      </c>
      <c r="DB39" s="1">
        <v>122288408.856498</v>
      </c>
      <c r="DC39" s="1">
        <v>119353599.964926</v>
      </c>
      <c r="DD39" s="1">
        <v>115948223.19666301</v>
      </c>
      <c r="DE39" s="1">
        <v>144072726.849904</v>
      </c>
      <c r="DF39" s="1">
        <v>144356585.96709099</v>
      </c>
      <c r="DG39" s="1">
        <v>137759718.567325</v>
      </c>
      <c r="DH39" s="1">
        <v>4044447148.5061002</v>
      </c>
      <c r="DI39" s="1">
        <v>4102123167.9712801</v>
      </c>
      <c r="DJ39" s="1">
        <v>5032608101.8555498</v>
      </c>
      <c r="DK39" s="1">
        <v>5017464355.5548897</v>
      </c>
      <c r="DL39" s="1">
        <v>4994071413.0231504</v>
      </c>
      <c r="DM39" s="1">
        <v>4194349392.70892</v>
      </c>
      <c r="DN39" s="1">
        <v>4398573923.4335804</v>
      </c>
      <c r="DO39" s="1">
        <v>4436173933.1932697</v>
      </c>
      <c r="DP39" s="1">
        <v>4376122816.7114</v>
      </c>
      <c r="DQ39" s="1">
        <v>4306970596.2657604</v>
      </c>
      <c r="DR39" s="1">
        <v>4390338499.4184399</v>
      </c>
      <c r="DS39" s="1">
        <v>4290079680.8021402</v>
      </c>
      <c r="DT39" s="1">
        <v>4161317405.4024301</v>
      </c>
      <c r="DU39" s="1">
        <v>5167005903.8709297</v>
      </c>
      <c r="DV39" s="1">
        <v>5180066210.4368896</v>
      </c>
      <c r="DW39" s="1">
        <v>4944587078.8262596</v>
      </c>
    </row>
    <row r="40" spans="1:127" x14ac:dyDescent="0.25">
      <c r="A40" t="s">
        <v>67</v>
      </c>
      <c r="B40">
        <v>42.37</v>
      </c>
      <c r="C40">
        <v>-71.02</v>
      </c>
      <c r="D40">
        <v>-13.3</v>
      </c>
      <c r="E40">
        <v>-10.6</v>
      </c>
      <c r="F40">
        <v>32.5</v>
      </c>
      <c r="G40">
        <v>22.6</v>
      </c>
      <c r="H40">
        <v>30.9</v>
      </c>
      <c r="I40">
        <v>22.1</v>
      </c>
      <c r="J40">
        <v>23.916666666666501</v>
      </c>
      <c r="K40">
        <v>0</v>
      </c>
      <c r="L40">
        <v>7792343677.2769203</v>
      </c>
      <c r="M40">
        <v>1680341165.7671101</v>
      </c>
      <c r="N40">
        <v>4763.2717000000002</v>
      </c>
      <c r="O40" s="75">
        <v>45382789624.614502</v>
      </c>
      <c r="P40">
        <f>56728487030.7681*(0.8/0.96)</f>
        <v>47273739192.306747</v>
      </c>
      <c r="Q40">
        <v>29308</v>
      </c>
      <c r="R40">
        <v>368549344.18360698</v>
      </c>
      <c r="S40">
        <f>2853.49576256518*(0.8/0.96)</f>
        <v>2377.9131354709834</v>
      </c>
      <c r="T40">
        <v>22.4804196097929</v>
      </c>
      <c r="U40">
        <v>8.4301535952864892</v>
      </c>
      <c r="V40">
        <v>3.63112245340132</v>
      </c>
      <c r="W40">
        <v>4.90614717150725</v>
      </c>
      <c r="X40">
        <v>5.1324363356303797</v>
      </c>
      <c r="Y40">
        <v>11.2113214694138</v>
      </c>
      <c r="Z40">
        <v>2.8510683333246498</v>
      </c>
      <c r="AA40">
        <v>6.3045553918898403</v>
      </c>
      <c r="AB40">
        <v>4.1984637192487204</v>
      </c>
      <c r="AC40">
        <v>7.91069399398096</v>
      </c>
      <c r="AD40">
        <v>4.50498900399029</v>
      </c>
      <c r="AE40">
        <v>5.5056890336587099</v>
      </c>
      <c r="AF40">
        <v>5.70095313590227</v>
      </c>
      <c r="AG40">
        <v>2.4354194133671698</v>
      </c>
      <c r="AH40">
        <v>7.9587048433990804</v>
      </c>
      <c r="AI40">
        <v>7.9587048433990804</v>
      </c>
      <c r="AJ40">
        <v>23.583333333333201</v>
      </c>
      <c r="AK40">
        <v>32.249999999999901</v>
      </c>
      <c r="AL40">
        <v>7822763062.1359196</v>
      </c>
      <c r="AM40">
        <v>1038560958.06552</v>
      </c>
      <c r="AN40">
        <v>4763.2717000000002</v>
      </c>
      <c r="AO40" s="69">
        <v>38138441875.262398</v>
      </c>
      <c r="AP40">
        <v>12796772130.2353</v>
      </c>
      <c r="AQ40">
        <v>4763.2717000000002</v>
      </c>
      <c r="AR40" s="69">
        <v>5436601749.81394</v>
      </c>
      <c r="AS40">
        <v>5436601749.81394</v>
      </c>
      <c r="AT40">
        <v>8139.5942999999997</v>
      </c>
      <c r="AU40">
        <v>2296800984.2044001</v>
      </c>
      <c r="AV40">
        <v>780.21929742709403</v>
      </c>
      <c r="AW40">
        <v>294.27124237893503</v>
      </c>
      <c r="AX40">
        <v>128.363688863992</v>
      </c>
      <c r="AY40">
        <v>171.04092491617499</v>
      </c>
      <c r="AZ40">
        <v>180.36932752263201</v>
      </c>
      <c r="BA40">
        <v>392.52304188336501</v>
      </c>
      <c r="BB40">
        <v>98.611166642775402</v>
      </c>
      <c r="BC40">
        <v>221.965054672223</v>
      </c>
      <c r="BD40">
        <v>148.734809186777</v>
      </c>
      <c r="BE40">
        <v>278.63253258560502</v>
      </c>
      <c r="BF40">
        <v>160.94379738435899</v>
      </c>
      <c r="BG40">
        <v>192.09879939049799</v>
      </c>
      <c r="BH40">
        <v>202.91740634882601</v>
      </c>
      <c r="BI40">
        <v>84.969654910853194</v>
      </c>
      <c r="BJ40">
        <v>282.73208601851201</v>
      </c>
      <c r="BK40">
        <v>282.73208601851201</v>
      </c>
      <c r="BL40">
        <v>139.17079789173701</v>
      </c>
      <c r="BM40">
        <v>52.808503243148799</v>
      </c>
      <c r="BN40">
        <v>22.7162221414744</v>
      </c>
      <c r="BO40">
        <v>31.063855339915101</v>
      </c>
      <c r="BP40">
        <v>31.8990211462303</v>
      </c>
      <c r="BQ40">
        <v>70.241913885462594</v>
      </c>
      <c r="BR40">
        <v>17.538113310803901</v>
      </c>
      <c r="BS40">
        <v>39.775526326477397</v>
      </c>
      <c r="BT40">
        <v>26.454253572398699</v>
      </c>
      <c r="BU40">
        <v>49.6178405800364</v>
      </c>
      <c r="BV40">
        <v>28.343802390377299</v>
      </c>
      <c r="BW40">
        <v>34.078665565726403</v>
      </c>
      <c r="BX40">
        <v>36.096871092694499</v>
      </c>
      <c r="BY40">
        <v>15.1464662348184</v>
      </c>
      <c r="BZ40">
        <v>49.838005780815699</v>
      </c>
      <c r="CA40">
        <v>49.838005780815699</v>
      </c>
      <c r="CB40">
        <v>371.63565771894503</v>
      </c>
      <c r="CC40">
        <v>111.695036222534</v>
      </c>
      <c r="CD40">
        <v>54.308629002537103</v>
      </c>
      <c r="CE40">
        <v>53.438228537819299</v>
      </c>
      <c r="CF40">
        <v>86.8468439240404</v>
      </c>
      <c r="CG40">
        <v>157.324603201808</v>
      </c>
      <c r="CH40">
        <v>51.210160716265001</v>
      </c>
      <c r="CI40">
        <v>78.741648096383202</v>
      </c>
      <c r="CJ40">
        <v>57.625779834371698</v>
      </c>
      <c r="CK40">
        <v>112.761590107418</v>
      </c>
      <c r="CL40">
        <v>64.838547531097703</v>
      </c>
      <c r="CM40">
        <v>93.729100542184995</v>
      </c>
      <c r="CN40">
        <v>71.577996251562595</v>
      </c>
      <c r="CO40">
        <v>38.585764273690103</v>
      </c>
      <c r="CP40">
        <v>119.650487006535</v>
      </c>
      <c r="CQ40">
        <v>119.650487006535</v>
      </c>
      <c r="CR40" s="1">
        <v>364066073.18477702</v>
      </c>
      <c r="CS40" s="1">
        <v>364219233.93806601</v>
      </c>
      <c r="CT40" s="1">
        <v>288527767.71211398</v>
      </c>
      <c r="CU40" s="1">
        <v>174839342.91384399</v>
      </c>
      <c r="CV40" s="1">
        <v>140800001.99754599</v>
      </c>
      <c r="CW40" s="1">
        <v>108076545.356362</v>
      </c>
      <c r="CX40" s="1">
        <v>116847494.29953399</v>
      </c>
      <c r="CY40" s="1">
        <v>86205148.5437482</v>
      </c>
      <c r="CZ40" s="1">
        <v>85149743.394420803</v>
      </c>
      <c r="DA40" s="1">
        <v>75841643.949366003</v>
      </c>
      <c r="DB40" s="1">
        <v>84368903.689838499</v>
      </c>
      <c r="DC40" s="1">
        <v>70525451.935099795</v>
      </c>
      <c r="DD40" s="1">
        <v>60903699.1453503</v>
      </c>
      <c r="DE40" s="1">
        <v>69665060.0082082</v>
      </c>
      <c r="DF40" s="1">
        <v>51103549.220845997</v>
      </c>
      <c r="DG40" s="1">
        <v>60152070.640078597</v>
      </c>
      <c r="DH40" s="1">
        <v>21310829556.082901</v>
      </c>
      <c r="DI40" s="1">
        <v>21227655361.129299</v>
      </c>
      <c r="DJ40" s="1">
        <v>16386232435.1488</v>
      </c>
      <c r="DK40" s="1">
        <v>10231936507.1679</v>
      </c>
      <c r="DL40" s="1">
        <v>7940513510.2842398</v>
      </c>
      <c r="DM40" s="1">
        <v>6214054597.1236095</v>
      </c>
      <c r="DN40" s="1">
        <v>6633798555.7520199</v>
      </c>
      <c r="DO40" s="1">
        <v>4872705968.3412104</v>
      </c>
      <c r="DP40" s="1">
        <v>4721910194.9060497</v>
      </c>
      <c r="DQ40" s="1">
        <v>4287259532.2322898</v>
      </c>
      <c r="DR40" s="1">
        <v>4700042578.6625299</v>
      </c>
      <c r="DS40" s="1">
        <v>3965627855.6354299</v>
      </c>
      <c r="DT40" s="1">
        <v>3414907550.2765002</v>
      </c>
      <c r="DU40" s="1">
        <v>3861706627.5669799</v>
      </c>
      <c r="DV40" s="1">
        <v>2821122993.8797598</v>
      </c>
      <c r="DW40" s="1">
        <v>3311882079.8463502</v>
      </c>
    </row>
    <row r="41" spans="1:127" x14ac:dyDescent="0.25">
      <c r="A41" t="s">
        <v>68</v>
      </c>
      <c r="B41">
        <v>39.17</v>
      </c>
      <c r="C41">
        <v>-76.680000000000007</v>
      </c>
      <c r="D41">
        <v>-10</v>
      </c>
      <c r="E41">
        <v>-7.8</v>
      </c>
      <c r="F41">
        <v>34.4</v>
      </c>
      <c r="G41">
        <v>23.8</v>
      </c>
      <c r="H41">
        <v>32.9</v>
      </c>
      <c r="I41">
        <v>23.4</v>
      </c>
      <c r="J41">
        <v>40.1666666666666</v>
      </c>
      <c r="K41">
        <v>0</v>
      </c>
      <c r="L41">
        <v>14644768092.0256</v>
      </c>
      <c r="M41">
        <v>3260020333.1518402</v>
      </c>
      <c r="N41">
        <v>5224.9735799999999</v>
      </c>
      <c r="O41" s="75">
        <v>35390253721.302101</v>
      </c>
      <c r="P41">
        <f>44237817151.6275*(0.8/0.96)</f>
        <v>36864847626.356255</v>
      </c>
      <c r="Q41">
        <v>29308</v>
      </c>
      <c r="R41">
        <v>313085420.58741999</v>
      </c>
      <c r="S41">
        <f>2225.20342766831*(0.8/0.96)</f>
        <v>1854.3361897235916</v>
      </c>
      <c r="T41">
        <v>30.588396482915702</v>
      </c>
      <c r="U41">
        <v>7.7103504621662999</v>
      </c>
      <c r="V41">
        <v>26.928693110432</v>
      </c>
      <c r="W41">
        <v>19.219559273869699</v>
      </c>
      <c r="X41">
        <v>7.2309339566069504</v>
      </c>
      <c r="Y41">
        <v>22.619083356795301</v>
      </c>
      <c r="Z41">
        <v>10.7438526495443</v>
      </c>
      <c r="AA41">
        <v>21.391966791353902</v>
      </c>
      <c r="AB41">
        <v>13.877912584224299</v>
      </c>
      <c r="AC41">
        <v>16.066360915536698</v>
      </c>
      <c r="AD41">
        <v>18.518462844642698</v>
      </c>
      <c r="AE41">
        <v>13.7690927090439</v>
      </c>
      <c r="AF41">
        <v>15.372944433977301</v>
      </c>
      <c r="AG41">
        <v>8.0938315573905193</v>
      </c>
      <c r="AH41">
        <v>17.492201800802199</v>
      </c>
      <c r="AI41">
        <v>17.492201800802199</v>
      </c>
      <c r="AJ41">
        <v>39.9166666666666</v>
      </c>
      <c r="AK41">
        <v>14.1666666666666</v>
      </c>
      <c r="AL41">
        <v>14676782424.2717</v>
      </c>
      <c r="AM41">
        <v>2206272955.8804002</v>
      </c>
      <c r="AN41">
        <v>5224.9735799999999</v>
      </c>
      <c r="AO41" s="69">
        <v>31753769778.4813</v>
      </c>
      <c r="AP41">
        <v>10155474676.7691</v>
      </c>
      <c r="AQ41">
        <v>5224.9735799999999</v>
      </c>
      <c r="AR41" s="69">
        <v>2269537046.2804999</v>
      </c>
      <c r="AS41">
        <v>2269537046.2804999</v>
      </c>
      <c r="AT41">
        <v>6610.5454200000004</v>
      </c>
      <c r="AU41">
        <v>1807283051.95082</v>
      </c>
      <c r="AV41">
        <v>997.58986503371898</v>
      </c>
      <c r="AW41">
        <v>249.39522568203699</v>
      </c>
      <c r="AX41">
        <v>896.09028066168605</v>
      </c>
      <c r="AY41">
        <v>625.91247322381798</v>
      </c>
      <c r="AZ41">
        <v>235.71645028729799</v>
      </c>
      <c r="BA41">
        <v>737.69417605753904</v>
      </c>
      <c r="BB41">
        <v>356.96051193529502</v>
      </c>
      <c r="BC41">
        <v>728.04236256289596</v>
      </c>
      <c r="BD41">
        <v>450.19885705422598</v>
      </c>
      <c r="BE41">
        <v>530.75915514158703</v>
      </c>
      <c r="BF41">
        <v>603.99822126844799</v>
      </c>
      <c r="BG41">
        <v>451.28982901677301</v>
      </c>
      <c r="BH41">
        <v>509.24058449819501</v>
      </c>
      <c r="BI41">
        <v>268.88891404534098</v>
      </c>
      <c r="BJ41">
        <v>563.24079860793404</v>
      </c>
      <c r="BK41">
        <v>563.24079860793404</v>
      </c>
      <c r="BL41">
        <v>176.622534211643</v>
      </c>
      <c r="BM41">
        <v>44.586598770891698</v>
      </c>
      <c r="BN41">
        <v>155.31371831422501</v>
      </c>
      <c r="BO41">
        <v>110.63109881934599</v>
      </c>
      <c r="BP41">
        <v>41.719010197697301</v>
      </c>
      <c r="BQ41">
        <v>130.057287493312</v>
      </c>
      <c r="BR41">
        <v>61.797832424295997</v>
      </c>
      <c r="BS41">
        <v>123.436296359379</v>
      </c>
      <c r="BT41">
        <v>80.049339262861807</v>
      </c>
      <c r="BU41">
        <v>92.669037180090299</v>
      </c>
      <c r="BV41">
        <v>106.757493865119</v>
      </c>
      <c r="BW41">
        <v>79.379216052722398</v>
      </c>
      <c r="BX41">
        <v>88.660885291737202</v>
      </c>
      <c r="BY41">
        <v>46.769396530852298</v>
      </c>
      <c r="BZ41">
        <v>100.901214444141</v>
      </c>
      <c r="CA41">
        <v>100.901214444141</v>
      </c>
      <c r="CB41">
        <v>234.69099456083899</v>
      </c>
      <c r="CC41">
        <v>56.4781106437514</v>
      </c>
      <c r="CD41">
        <v>229.268507642369</v>
      </c>
      <c r="CE41">
        <v>140.65458921450201</v>
      </c>
      <c r="CF41">
        <v>52.702144162612001</v>
      </c>
      <c r="CG41">
        <v>176.41736610742501</v>
      </c>
      <c r="CH41">
        <v>82.053189565244793</v>
      </c>
      <c r="CI41">
        <v>200.99365602173799</v>
      </c>
      <c r="CJ41">
        <v>96.246321844955602</v>
      </c>
      <c r="CK41">
        <v>125.879247347171</v>
      </c>
      <c r="CL41">
        <v>136.85942319912499</v>
      </c>
      <c r="CM41">
        <v>100.31671827131299</v>
      </c>
      <c r="CN41">
        <v>122.809082292745</v>
      </c>
      <c r="CO41">
        <v>69.048631703213601</v>
      </c>
      <c r="CP41">
        <v>120.95691014391301</v>
      </c>
      <c r="CQ41">
        <v>120.95691014391301</v>
      </c>
      <c r="CR41" s="1">
        <v>238093180.266709</v>
      </c>
      <c r="CS41" s="1">
        <v>260601404.399003</v>
      </c>
      <c r="CT41" s="1">
        <v>238050410.67034999</v>
      </c>
      <c r="CU41" s="1">
        <v>199965733.65241501</v>
      </c>
      <c r="CV41" s="1">
        <v>172098377.652482</v>
      </c>
      <c r="CW41" s="1">
        <v>145691104.68496901</v>
      </c>
      <c r="CX41" s="1">
        <v>136259385.59916899</v>
      </c>
      <c r="CY41" s="1">
        <v>103462417.838488</v>
      </c>
      <c r="CZ41" s="1">
        <v>100118682.91346499</v>
      </c>
      <c r="DA41" s="1">
        <v>101869212.52315199</v>
      </c>
      <c r="DB41" s="1">
        <v>107925286.18730301</v>
      </c>
      <c r="DC41" s="1">
        <v>140830320.204353</v>
      </c>
      <c r="DD41" s="1">
        <v>137981743.76283699</v>
      </c>
      <c r="DE41" s="1">
        <v>114808710.35458501</v>
      </c>
      <c r="DF41" s="1">
        <v>118282711.75501201</v>
      </c>
      <c r="DG41" s="1">
        <v>163688138.003043</v>
      </c>
      <c r="DH41" s="1">
        <v>11101821471.7686</v>
      </c>
      <c r="DI41" s="1">
        <v>12039193157.6749</v>
      </c>
      <c r="DJ41" s="1">
        <v>10979751100.219999</v>
      </c>
      <c r="DK41" s="1">
        <v>9326039639.7660007</v>
      </c>
      <c r="DL41" s="1">
        <v>8228908129.9978399</v>
      </c>
      <c r="DM41" s="1">
        <v>6980947849.2651596</v>
      </c>
      <c r="DN41" s="1">
        <v>6539522960.0715103</v>
      </c>
      <c r="DO41" s="1">
        <v>5040676886.2529001</v>
      </c>
      <c r="DP41" s="1">
        <v>4932237037.9717197</v>
      </c>
      <c r="DQ41" s="1">
        <v>5037515666.4045095</v>
      </c>
      <c r="DR41" s="1">
        <v>5337703078.9096098</v>
      </c>
      <c r="DS41" s="1">
        <v>6908915474.7024002</v>
      </c>
      <c r="DT41" s="1">
        <v>6817710261.3555698</v>
      </c>
      <c r="DU41" s="1">
        <v>5682494459.0223703</v>
      </c>
      <c r="DV41" s="1">
        <v>5858035473.5096302</v>
      </c>
      <c r="DW41" s="1">
        <v>8003618664.2055397</v>
      </c>
    </row>
    <row r="42" spans="1:127" x14ac:dyDescent="0.25">
      <c r="A42" t="s">
        <v>69</v>
      </c>
      <c r="B42">
        <v>43.65</v>
      </c>
      <c r="C42">
        <v>-70.3</v>
      </c>
      <c r="D42">
        <v>-17.7</v>
      </c>
      <c r="E42">
        <v>-15.1</v>
      </c>
      <c r="F42">
        <v>30.5</v>
      </c>
      <c r="G42">
        <v>21.8</v>
      </c>
      <c r="H42">
        <v>28.6</v>
      </c>
      <c r="I42">
        <v>21.1</v>
      </c>
      <c r="J42">
        <v>5.2499999999999902</v>
      </c>
      <c r="K42">
        <v>0</v>
      </c>
      <c r="L42">
        <v>2756320723.1398501</v>
      </c>
      <c r="M42">
        <v>585558225.78021801</v>
      </c>
      <c r="N42">
        <v>5007.7712899999997</v>
      </c>
      <c r="O42" s="75">
        <v>63435996411.986603</v>
      </c>
      <c r="P42">
        <f>79294995514.9834*(0.8/0.96)</f>
        <v>66079162929.152832</v>
      </c>
      <c r="Q42">
        <v>29308</v>
      </c>
      <c r="R42">
        <v>556706524.80892396</v>
      </c>
      <c r="S42">
        <f>3988.61216890745*(0.8/0.96)</f>
        <v>3323.8434740895418</v>
      </c>
      <c r="T42">
        <v>40.378206621210801</v>
      </c>
      <c r="U42">
        <v>23.9955949991392</v>
      </c>
      <c r="V42">
        <v>27.534373580150501</v>
      </c>
      <c r="W42">
        <v>19.061472193264802</v>
      </c>
      <c r="X42">
        <v>14.1179546021059</v>
      </c>
      <c r="Y42">
        <v>18.148032185491001</v>
      </c>
      <c r="Z42">
        <v>14.6481696060975</v>
      </c>
      <c r="AA42">
        <v>8.3350191353538694</v>
      </c>
      <c r="AB42">
        <v>25.778652484193898</v>
      </c>
      <c r="AC42">
        <v>19.536819854027001</v>
      </c>
      <c r="AD42">
        <v>10.051680144915499</v>
      </c>
      <c r="AE42">
        <v>15.919479771551201</v>
      </c>
      <c r="AF42">
        <v>5.9314752590321103</v>
      </c>
      <c r="AG42">
        <v>9.8603432538586109</v>
      </c>
      <c r="AH42">
        <v>14.625197510748199</v>
      </c>
      <c r="AI42">
        <v>14.6251470394379</v>
      </c>
      <c r="AJ42">
        <v>5.1666666666666599</v>
      </c>
      <c r="AK42">
        <v>40.583333333333201</v>
      </c>
      <c r="AL42">
        <v>2767432387.68501</v>
      </c>
      <c r="AM42">
        <v>354252219.75345701</v>
      </c>
      <c r="AN42">
        <v>5007.7712899999997</v>
      </c>
      <c r="AO42" s="69">
        <v>49154913903.5522</v>
      </c>
      <c r="AP42">
        <v>17869341880.4967</v>
      </c>
      <c r="AQ42">
        <v>5007.7712899999997</v>
      </c>
      <c r="AR42" s="69">
        <v>11722106674.215</v>
      </c>
      <c r="AS42">
        <v>11722106674.215</v>
      </c>
      <c r="AT42">
        <v>8787.6838700000008</v>
      </c>
      <c r="AU42">
        <v>3232883766.4187999</v>
      </c>
      <c r="AV42">
        <v>1298.3768011376701</v>
      </c>
      <c r="AW42">
        <v>773.46756009330795</v>
      </c>
      <c r="AX42">
        <v>898.62590373020896</v>
      </c>
      <c r="AY42">
        <v>613.81413564198203</v>
      </c>
      <c r="AZ42">
        <v>463.456315498641</v>
      </c>
      <c r="BA42">
        <v>580.85752862014101</v>
      </c>
      <c r="BB42">
        <v>469.33235949217902</v>
      </c>
      <c r="BC42">
        <v>268.355021793638</v>
      </c>
      <c r="BD42">
        <v>841.84052159293401</v>
      </c>
      <c r="BE42">
        <v>633.46021104320903</v>
      </c>
      <c r="BF42">
        <v>330.37367479695303</v>
      </c>
      <c r="BG42">
        <v>515.57813518428202</v>
      </c>
      <c r="BH42">
        <v>193.905160706294</v>
      </c>
      <c r="BI42">
        <v>323.966442229226</v>
      </c>
      <c r="BJ42">
        <v>470.20896854291402</v>
      </c>
      <c r="BK42">
        <v>470.20679452511899</v>
      </c>
      <c r="BL42">
        <v>235.11009664098</v>
      </c>
      <c r="BM42">
        <v>139.348166087994</v>
      </c>
      <c r="BN42">
        <v>161.36424920683299</v>
      </c>
      <c r="BO42">
        <v>109.83761908173101</v>
      </c>
      <c r="BP42">
        <v>83.125267114815699</v>
      </c>
      <c r="BQ42">
        <v>104.54872914253799</v>
      </c>
      <c r="BR42">
        <v>84.134776949626399</v>
      </c>
      <c r="BS42">
        <v>49.187007707930597</v>
      </c>
      <c r="BT42">
        <v>150.46450551258499</v>
      </c>
      <c r="BU42">
        <v>113.10872642686201</v>
      </c>
      <c r="BV42">
        <v>59.457565422656899</v>
      </c>
      <c r="BW42">
        <v>91.755455632657302</v>
      </c>
      <c r="BX42">
        <v>34.361821017743303</v>
      </c>
      <c r="BY42">
        <v>57.732710562471503</v>
      </c>
      <c r="BZ42">
        <v>83.962799654655498</v>
      </c>
      <c r="CA42">
        <v>83.962449430107696</v>
      </c>
      <c r="CB42">
        <v>840.089600561731</v>
      </c>
      <c r="CC42">
        <v>526.58799669544703</v>
      </c>
      <c r="CD42">
        <v>559.96737580710703</v>
      </c>
      <c r="CE42">
        <v>460.54969447141201</v>
      </c>
      <c r="CF42">
        <v>277.78270932516199</v>
      </c>
      <c r="CG42">
        <v>451.37180088349498</v>
      </c>
      <c r="CH42">
        <v>359.65215421265401</v>
      </c>
      <c r="CI42">
        <v>143.402309935614</v>
      </c>
      <c r="CJ42">
        <v>553.97554223927705</v>
      </c>
      <c r="CK42">
        <v>480.45432426551901</v>
      </c>
      <c r="CL42">
        <v>181.51296245100701</v>
      </c>
      <c r="CM42">
        <v>379.387493819626</v>
      </c>
      <c r="CN42">
        <v>140.43933419521801</v>
      </c>
      <c r="CO42">
        <v>205.06490472665999</v>
      </c>
      <c r="CP42">
        <v>364.09246755017398</v>
      </c>
      <c r="CQ42">
        <v>364.09266462947102</v>
      </c>
      <c r="CR42" s="1">
        <v>141953785.539803</v>
      </c>
      <c r="CS42" s="1">
        <v>199773875.003923</v>
      </c>
      <c r="CT42" s="1">
        <v>170798668.07209799</v>
      </c>
      <c r="CU42" s="1">
        <v>123049470.384554</v>
      </c>
      <c r="CV42" s="1">
        <v>98875929.172784895</v>
      </c>
      <c r="CW42" s="1">
        <v>76574598.881932095</v>
      </c>
      <c r="CX42" s="1">
        <v>66523961.839618698</v>
      </c>
      <c r="CY42" s="1">
        <v>71380806.700928405</v>
      </c>
      <c r="CZ42" s="1">
        <v>61363779.768196799</v>
      </c>
      <c r="DA42" s="1">
        <v>76248938.851422295</v>
      </c>
      <c r="DB42" s="1">
        <v>66706780.036330998</v>
      </c>
      <c r="DC42" s="1">
        <v>56335737.039732397</v>
      </c>
      <c r="DD42" s="1">
        <v>82491731.191790193</v>
      </c>
      <c r="DE42" s="1">
        <v>67001141.796649501</v>
      </c>
      <c r="DF42" s="1">
        <v>72034879.588263795</v>
      </c>
      <c r="DG42" s="1">
        <v>88941986.028388306</v>
      </c>
      <c r="DH42" s="1">
        <v>8957964910.3386307</v>
      </c>
      <c r="DI42" s="1">
        <v>12033019110.1117</v>
      </c>
      <c r="DJ42" s="1">
        <v>10655816207.5798</v>
      </c>
      <c r="DK42" s="1">
        <v>7579012758.7221298</v>
      </c>
      <c r="DL42" s="1">
        <v>6150526867.5050898</v>
      </c>
      <c r="DM42" s="1">
        <v>4444451196.25284</v>
      </c>
      <c r="DN42" s="1">
        <v>3948155076.6389098</v>
      </c>
      <c r="DO42" s="1">
        <v>4461437084.5039701</v>
      </c>
      <c r="DP42" s="1">
        <v>3707151168.9549098</v>
      </c>
      <c r="DQ42" s="1">
        <v>4490393284.0748997</v>
      </c>
      <c r="DR42" s="1">
        <v>3858508521.4130602</v>
      </c>
      <c r="DS42" s="1">
        <v>3122463330.8537502</v>
      </c>
      <c r="DT42" s="1">
        <v>4962034163.3996201</v>
      </c>
      <c r="DU42" s="1">
        <v>4150052077.9023399</v>
      </c>
      <c r="DV42" s="1">
        <v>4240245356.5114102</v>
      </c>
      <c r="DW42" s="1">
        <v>5380745390.5824499</v>
      </c>
    </row>
    <row r="43" spans="1:127" x14ac:dyDescent="0.25">
      <c r="A43" t="s">
        <v>70</v>
      </c>
      <c r="B43">
        <v>46.68</v>
      </c>
      <c r="C43">
        <v>-68.05</v>
      </c>
      <c r="D43">
        <v>-28.1</v>
      </c>
      <c r="E43">
        <v>-25.2</v>
      </c>
      <c r="F43">
        <v>29.1</v>
      </c>
      <c r="G43">
        <v>20.2</v>
      </c>
      <c r="H43">
        <v>27.5</v>
      </c>
      <c r="I43">
        <v>19</v>
      </c>
      <c r="J43">
        <v>0.16666666666666599</v>
      </c>
      <c r="K43">
        <v>0</v>
      </c>
      <c r="L43">
        <v>2272110398.2154698</v>
      </c>
      <c r="M43">
        <v>501484919.13144201</v>
      </c>
      <c r="N43">
        <v>6239.39624</v>
      </c>
      <c r="O43" s="75">
        <v>76381541535.219299</v>
      </c>
      <c r="P43">
        <f>95476926919.0244*(0.8/0.96)</f>
        <v>79564105765.853668</v>
      </c>
      <c r="Q43">
        <v>29308</v>
      </c>
      <c r="R43">
        <v>884490499.88437498</v>
      </c>
      <c r="S43">
        <f>4802.57839837004*(0.8/0.96)</f>
        <v>4002.1486653083671</v>
      </c>
      <c r="T43">
        <v>64.122501652821299</v>
      </c>
      <c r="U43">
        <v>37.5725599034106</v>
      </c>
      <c r="V43">
        <v>42.861580926330298</v>
      </c>
      <c r="W43">
        <v>29.6583106883167</v>
      </c>
      <c r="X43">
        <v>22.099963271722299</v>
      </c>
      <c r="Y43">
        <v>28.80736060513</v>
      </c>
      <c r="Z43">
        <v>22.815560079912601</v>
      </c>
      <c r="AA43">
        <v>13.441801537660499</v>
      </c>
      <c r="AB43">
        <v>40.389716880735399</v>
      </c>
      <c r="AC43">
        <v>30.894887846103899</v>
      </c>
      <c r="AD43">
        <v>15.3271939002457</v>
      </c>
      <c r="AE43">
        <v>24.507427340769599</v>
      </c>
      <c r="AF43">
        <v>8.7298890884098004</v>
      </c>
      <c r="AG43">
        <v>15.208045535724001</v>
      </c>
      <c r="AH43">
        <v>22.869859653207701</v>
      </c>
      <c r="AI43">
        <v>22.869811630506401</v>
      </c>
      <c r="AJ43">
        <v>0.16666666666666599</v>
      </c>
      <c r="AK43">
        <v>31.833333333333101</v>
      </c>
      <c r="AL43">
        <v>2283534184.22086</v>
      </c>
      <c r="AM43">
        <v>282648654.66810298</v>
      </c>
      <c r="AN43">
        <v>6239.39624</v>
      </c>
      <c r="AO43" s="69">
        <v>51772980616.714996</v>
      </c>
      <c r="AP43">
        <v>19441878449.3629</v>
      </c>
      <c r="AQ43">
        <v>6239.39624</v>
      </c>
      <c r="AR43" s="69">
        <v>21631693265.617802</v>
      </c>
      <c r="AS43">
        <v>21631693265.617802</v>
      </c>
      <c r="AT43">
        <v>11392.38134</v>
      </c>
      <c r="AU43">
        <v>4010108641.1858802</v>
      </c>
      <c r="AV43">
        <v>1400.58436422092</v>
      </c>
      <c r="AW43">
        <v>830.55146189178595</v>
      </c>
      <c r="AX43">
        <v>935.89162173415605</v>
      </c>
      <c r="AY43">
        <v>643.27147330169601</v>
      </c>
      <c r="AZ43">
        <v>488.35346591227602</v>
      </c>
      <c r="BA43">
        <v>594.66573175418796</v>
      </c>
      <c r="BB43">
        <v>474.93229198046402</v>
      </c>
      <c r="BC43">
        <v>317.34209779671102</v>
      </c>
      <c r="BD43">
        <v>889.72400105804695</v>
      </c>
      <c r="BE43">
        <v>656.85007215227097</v>
      </c>
      <c r="BF43">
        <v>355.94736439615201</v>
      </c>
      <c r="BG43">
        <v>530.54290478892904</v>
      </c>
      <c r="BH43">
        <v>197.135135727311</v>
      </c>
      <c r="BI43">
        <v>335.51061352668</v>
      </c>
      <c r="BJ43">
        <v>473.36674016102398</v>
      </c>
      <c r="BK43">
        <v>473.36503421532001</v>
      </c>
      <c r="BL43">
        <v>290.71400443440001</v>
      </c>
      <c r="BM43">
        <v>170.28084089935001</v>
      </c>
      <c r="BN43">
        <v>194.928532557751</v>
      </c>
      <c r="BO43">
        <v>133.41307218763001</v>
      </c>
      <c r="BP43">
        <v>100.25736216418299</v>
      </c>
      <c r="BQ43">
        <v>128.09511621584201</v>
      </c>
      <c r="BR43">
        <v>101.843545509782</v>
      </c>
      <c r="BS43">
        <v>61.991466903318504</v>
      </c>
      <c r="BT43">
        <v>182.513438522912</v>
      </c>
      <c r="BU43">
        <v>138.37902228548299</v>
      </c>
      <c r="BV43">
        <v>70.629080167470306</v>
      </c>
      <c r="BW43">
        <v>110.085333649831</v>
      </c>
      <c r="BX43">
        <v>39.9309854595326</v>
      </c>
      <c r="BY43">
        <v>69.157121554817493</v>
      </c>
      <c r="BZ43">
        <v>101.244868220497</v>
      </c>
      <c r="CA43">
        <v>101.24458439220901</v>
      </c>
      <c r="CB43">
        <v>1575.3934977813301</v>
      </c>
      <c r="CC43">
        <v>949.15873889255795</v>
      </c>
      <c r="CD43">
        <v>1057.00646678423</v>
      </c>
      <c r="CE43">
        <v>823.12084953274905</v>
      </c>
      <c r="CF43">
        <v>534.78592724609598</v>
      </c>
      <c r="CG43">
        <v>864.71680254618104</v>
      </c>
      <c r="CH43">
        <v>671.303426441836</v>
      </c>
      <c r="CI43">
        <v>256.16317929070698</v>
      </c>
      <c r="CJ43">
        <v>1037.9255958019801</v>
      </c>
      <c r="CK43">
        <v>892.04162919777195</v>
      </c>
      <c r="CL43">
        <v>307.19319186425503</v>
      </c>
      <c r="CM43">
        <v>685.83094884467096</v>
      </c>
      <c r="CN43">
        <v>214.18641642023999</v>
      </c>
      <c r="CO43">
        <v>382.05169358907898</v>
      </c>
      <c r="CP43">
        <v>695.73954250238103</v>
      </c>
      <c r="CQ43">
        <v>695.74272885854305</v>
      </c>
      <c r="CR43" s="1">
        <v>208385097.46731001</v>
      </c>
      <c r="CS43" s="1">
        <v>320708746.22662699</v>
      </c>
      <c r="CT43" s="1">
        <v>262620474.26029399</v>
      </c>
      <c r="CU43" s="1">
        <v>177061199.22929001</v>
      </c>
      <c r="CV43" s="1">
        <v>140331497.39382601</v>
      </c>
      <c r="CW43" s="1">
        <v>113556531.08954</v>
      </c>
      <c r="CX43" s="1">
        <v>96960260.724247307</v>
      </c>
      <c r="CY43" s="1">
        <v>104964813.918392</v>
      </c>
      <c r="CZ43" s="1">
        <v>90296943.023736805</v>
      </c>
      <c r="DA43" s="1">
        <v>112614702.228725</v>
      </c>
      <c r="DB43" s="1">
        <v>97164641.976732105</v>
      </c>
      <c r="DC43" s="1">
        <v>81791892.787191197</v>
      </c>
      <c r="DD43" s="1">
        <v>114721105.35232601</v>
      </c>
      <c r="DE43" s="1">
        <v>89102572.953964397</v>
      </c>
      <c r="DF43" s="1">
        <v>98494481.356580198</v>
      </c>
      <c r="DG43" s="1">
        <v>128535148.854275</v>
      </c>
      <c r="DH43" s="1">
        <v>11204050279.2314</v>
      </c>
      <c r="DI43" s="1">
        <v>17506471358.779202</v>
      </c>
      <c r="DJ43" s="1">
        <v>13979979610.388901</v>
      </c>
      <c r="DK43" s="1">
        <v>9059658184.2646103</v>
      </c>
      <c r="DL43" s="1">
        <v>7214731398.8011703</v>
      </c>
      <c r="DM43" s="1">
        <v>5929757919.3450603</v>
      </c>
      <c r="DN43" s="1">
        <v>4992538487.9710703</v>
      </c>
      <c r="DO43" s="1">
        <v>5629441093.3923903</v>
      </c>
      <c r="DP43" s="1">
        <v>4625107822.9952202</v>
      </c>
      <c r="DQ43" s="1">
        <v>5897341404.2525597</v>
      </c>
      <c r="DR43" s="1">
        <v>4833117972.2568502</v>
      </c>
      <c r="DS43" s="1">
        <v>4077560024.6140099</v>
      </c>
      <c r="DT43" s="1">
        <v>5646976731.6180601</v>
      </c>
      <c r="DU43" s="1">
        <v>4188022096.61308</v>
      </c>
      <c r="DV43" s="1">
        <v>4664317884.2546396</v>
      </c>
      <c r="DW43" s="1">
        <v>6560222236.2567902</v>
      </c>
    </row>
    <row r="44" spans="1:127" x14ac:dyDescent="0.25">
      <c r="A44" t="s">
        <v>71</v>
      </c>
      <c r="B44">
        <v>42.4</v>
      </c>
      <c r="C44">
        <v>-83</v>
      </c>
      <c r="D44">
        <v>-14.9</v>
      </c>
      <c r="E44">
        <v>-12.5</v>
      </c>
      <c r="F44">
        <v>32.6</v>
      </c>
      <c r="G44">
        <v>23</v>
      </c>
      <c r="H44">
        <v>31.2</v>
      </c>
      <c r="I44">
        <v>22.3</v>
      </c>
      <c r="J44">
        <v>51.500000000000099</v>
      </c>
      <c r="K44">
        <v>0</v>
      </c>
      <c r="L44">
        <v>9685642211.9628792</v>
      </c>
      <c r="M44">
        <v>2172387303.8042102</v>
      </c>
      <c r="N44">
        <v>4648.6446699999997</v>
      </c>
      <c r="O44" s="75">
        <v>48049938343.013</v>
      </c>
      <c r="P44">
        <f>60062422928.7664*(0.8/0.96)</f>
        <v>50052019107.305336</v>
      </c>
      <c r="Q44">
        <v>29308</v>
      </c>
      <c r="R44">
        <v>382326347.29881901</v>
      </c>
      <c r="S44">
        <f>3021.19584510823*(0.8/0.96)</f>
        <v>2517.6632042568585</v>
      </c>
      <c r="T44">
        <v>64.958758924267798</v>
      </c>
      <c r="U44">
        <v>15.4023725659771</v>
      </c>
      <c r="V44">
        <v>58.343946261669203</v>
      </c>
      <c r="W44">
        <v>36.737139526625498</v>
      </c>
      <c r="X44">
        <v>15.237355038768399</v>
      </c>
      <c r="Y44">
        <v>34.494401553586599</v>
      </c>
      <c r="Z44">
        <v>37.612077330491999</v>
      </c>
      <c r="AA44">
        <v>25.4069526071296</v>
      </c>
      <c r="AB44">
        <v>31.5823390994235</v>
      </c>
      <c r="AC44">
        <v>21.671748036641599</v>
      </c>
      <c r="AD44">
        <v>43.7336431019692</v>
      </c>
      <c r="AE44">
        <v>41.474661758709999</v>
      </c>
      <c r="AF44">
        <v>6.2959044239963404</v>
      </c>
      <c r="AG44">
        <v>36.144482908628802</v>
      </c>
      <c r="AH44">
        <v>8.5510821731009692</v>
      </c>
      <c r="AI44">
        <v>8.5510832586980801</v>
      </c>
      <c r="AJ44">
        <v>51.0833333333334</v>
      </c>
      <c r="AK44">
        <v>38.0833333333333</v>
      </c>
      <c r="AL44">
        <v>9710889180.4316692</v>
      </c>
      <c r="AM44">
        <v>1501069827.46229</v>
      </c>
      <c r="AN44">
        <v>4648.6446699999997</v>
      </c>
      <c r="AO44" s="69">
        <v>37871270058.879501</v>
      </c>
      <c r="AP44">
        <v>13691622941.2516</v>
      </c>
      <c r="AQ44">
        <v>4648.6446699999997</v>
      </c>
      <c r="AR44" s="69">
        <v>8287594830.6018</v>
      </c>
      <c r="AS44">
        <v>8287594830.6018</v>
      </c>
      <c r="AT44">
        <v>7802.57773</v>
      </c>
      <c r="AU44">
        <v>2392489854.5940099</v>
      </c>
      <c r="AV44">
        <v>2328.54760100969</v>
      </c>
      <c r="AW44">
        <v>551.41560671027798</v>
      </c>
      <c r="AX44">
        <v>2105.7314429344801</v>
      </c>
      <c r="AY44">
        <v>1342.06857987956</v>
      </c>
      <c r="AZ44">
        <v>549.73127423977996</v>
      </c>
      <c r="BA44">
        <v>1244.54339815446</v>
      </c>
      <c r="BB44">
        <v>1352.6928314486599</v>
      </c>
      <c r="BC44">
        <v>908.83684363380303</v>
      </c>
      <c r="BD44">
        <v>1141.28297431339</v>
      </c>
      <c r="BE44">
        <v>780.121455981243</v>
      </c>
      <c r="BF44">
        <v>1576.2194190364401</v>
      </c>
      <c r="BG44">
        <v>1489.4798735838899</v>
      </c>
      <c r="BH44">
        <v>221.49051678154001</v>
      </c>
      <c r="BI44">
        <v>1302.2426313622</v>
      </c>
      <c r="BJ44">
        <v>307.18434137031602</v>
      </c>
      <c r="BK44">
        <v>307.184473953478</v>
      </c>
      <c r="BL44">
        <v>406.64622731651201</v>
      </c>
      <c r="BM44">
        <v>95.562081586379094</v>
      </c>
      <c r="BN44">
        <v>363.93128650120099</v>
      </c>
      <c r="BO44">
        <v>231.729112732125</v>
      </c>
      <c r="BP44">
        <v>95.605214742144796</v>
      </c>
      <c r="BQ44">
        <v>216.07487985605999</v>
      </c>
      <c r="BR44">
        <v>234.118660268296</v>
      </c>
      <c r="BS44">
        <v>157.99112170212001</v>
      </c>
      <c r="BT44">
        <v>198.531840249357</v>
      </c>
      <c r="BU44">
        <v>135.852244259288</v>
      </c>
      <c r="BV44">
        <v>273.74047079564298</v>
      </c>
      <c r="BW44">
        <v>258.10888917913297</v>
      </c>
      <c r="BX44">
        <v>38.936459066523803</v>
      </c>
      <c r="BY44">
        <v>225.37463693765599</v>
      </c>
      <c r="BZ44">
        <v>53.048843945476499</v>
      </c>
      <c r="CA44">
        <v>53.048863322076002</v>
      </c>
      <c r="CB44">
        <v>1408.3515430918601</v>
      </c>
      <c r="CC44">
        <v>365.11932464258399</v>
      </c>
      <c r="CD44">
        <v>1351.6882953494501</v>
      </c>
      <c r="CE44">
        <v>785.882183809504</v>
      </c>
      <c r="CF44">
        <v>333.177657292086</v>
      </c>
      <c r="CG44">
        <v>762.23562583744797</v>
      </c>
      <c r="CH44">
        <v>865.469374429715</v>
      </c>
      <c r="CI44">
        <v>589.49796356307297</v>
      </c>
      <c r="CJ44">
        <v>673.41914268513904</v>
      </c>
      <c r="CK44">
        <v>464.981672455303</v>
      </c>
      <c r="CL44">
        <v>967.58019955020302</v>
      </c>
      <c r="CM44">
        <v>965.73685678100105</v>
      </c>
      <c r="CN44">
        <v>145.34102544653399</v>
      </c>
      <c r="CO44">
        <v>833.85279491900201</v>
      </c>
      <c r="CP44">
        <v>202.00534493845399</v>
      </c>
      <c r="CQ44">
        <v>202.00510634158101</v>
      </c>
      <c r="CR44" s="1">
        <v>151527014.14013201</v>
      </c>
      <c r="CS44" s="1">
        <v>183389084.193284</v>
      </c>
      <c r="CT44" s="1">
        <v>137353411.43183699</v>
      </c>
      <c r="CU44" s="1">
        <v>119225950.65620901</v>
      </c>
      <c r="CV44" s="1">
        <v>91629643.651027203</v>
      </c>
      <c r="CW44" s="1">
        <v>98713899.051023796</v>
      </c>
      <c r="CX44" s="1">
        <v>129385752.60856099</v>
      </c>
      <c r="CY44" s="1">
        <v>120135858.202097</v>
      </c>
      <c r="CZ44" s="1">
        <v>113114570.013785</v>
      </c>
      <c r="DA44" s="1">
        <v>126046472.385324</v>
      </c>
      <c r="DB44" s="1">
        <v>131939015.13286</v>
      </c>
      <c r="DC44" s="1">
        <v>158343879.219163</v>
      </c>
      <c r="DD44" s="1">
        <v>147617879.12278</v>
      </c>
      <c r="DE44" s="1">
        <v>124379526.604495</v>
      </c>
      <c r="DF44" s="1">
        <v>166055712.95523301</v>
      </c>
      <c r="DG44" s="1">
        <v>160438259.587309</v>
      </c>
      <c r="DH44" s="1">
        <v>9673440108.8953991</v>
      </c>
      <c r="DI44" s="1">
        <v>11653700659.6702</v>
      </c>
      <c r="DJ44" s="1">
        <v>8764549753.4543896</v>
      </c>
      <c r="DK44" s="1">
        <v>7651131380.25352</v>
      </c>
      <c r="DL44" s="1">
        <v>5951077232.6007204</v>
      </c>
      <c r="DM44" s="1">
        <v>6411288610.1282196</v>
      </c>
      <c r="DN44" s="1">
        <v>8389652618.20049</v>
      </c>
      <c r="DO44" s="1">
        <v>7741560796.4418402</v>
      </c>
      <c r="DP44" s="1">
        <v>7270931022.1746397</v>
      </c>
      <c r="DQ44" s="1">
        <v>8153681042.6130896</v>
      </c>
      <c r="DR44" s="1">
        <v>8433890486.4719801</v>
      </c>
      <c r="DS44" s="1">
        <v>10311966533.1717</v>
      </c>
      <c r="DT44" s="1">
        <v>9489272985.1538696</v>
      </c>
      <c r="DU44" s="1">
        <v>7989349525.6284704</v>
      </c>
      <c r="DV44" s="1">
        <v>10584785717.5047</v>
      </c>
      <c r="DW44" s="1">
        <v>10185362799.8386</v>
      </c>
    </row>
    <row r="45" spans="1:127" x14ac:dyDescent="0.25">
      <c r="A45" t="s">
        <v>73</v>
      </c>
      <c r="B45">
        <v>44.37</v>
      </c>
      <c r="C45">
        <v>-84.68</v>
      </c>
      <c r="D45">
        <v>-21</v>
      </c>
      <c r="E45">
        <v>-17.8</v>
      </c>
      <c r="F45">
        <v>30.4</v>
      </c>
      <c r="G45">
        <v>21.7</v>
      </c>
      <c r="H45">
        <v>28.8</v>
      </c>
      <c r="I45">
        <v>20.8</v>
      </c>
      <c r="J45">
        <v>1.9166666666666601</v>
      </c>
      <c r="K45">
        <v>0</v>
      </c>
      <c r="L45">
        <v>4426548019.8575001</v>
      </c>
      <c r="M45">
        <v>958546827.30322802</v>
      </c>
      <c r="N45">
        <v>5400.7634799999996</v>
      </c>
      <c r="O45" s="75">
        <v>70038367781.833099</v>
      </c>
      <c r="P45">
        <f>87547959727.291*(0.8/0.96)</f>
        <v>72956633106.075836</v>
      </c>
      <c r="Q45">
        <v>29308</v>
      </c>
      <c r="R45">
        <v>682875217.77502596</v>
      </c>
      <c r="S45">
        <f>4403.74395967157*(0.8/0.96)</f>
        <v>3669.7866330596421</v>
      </c>
      <c r="T45">
        <v>116.02174155249899</v>
      </c>
      <c r="U45">
        <v>27.2985160460095</v>
      </c>
      <c r="V45">
        <v>104.500363885778</v>
      </c>
      <c r="W45">
        <v>66.697138576126903</v>
      </c>
      <c r="X45">
        <v>26.6489250789494</v>
      </c>
      <c r="Y45">
        <v>61.951461032662799</v>
      </c>
      <c r="Z45">
        <v>67.476586408380697</v>
      </c>
      <c r="AA45">
        <v>45.382814361771302</v>
      </c>
      <c r="AB45">
        <v>56.383431484736001</v>
      </c>
      <c r="AC45">
        <v>40.057875402262901</v>
      </c>
      <c r="AD45">
        <v>79.553549918064405</v>
      </c>
      <c r="AE45">
        <v>74.186100060595393</v>
      </c>
      <c r="AF45">
        <v>12.2500015729011</v>
      </c>
      <c r="AG45">
        <v>64.103662634409503</v>
      </c>
      <c r="AH45">
        <v>15.3379352292138</v>
      </c>
      <c r="AI45">
        <v>15.337942245825801</v>
      </c>
      <c r="AJ45">
        <v>1.9166666666666601</v>
      </c>
      <c r="AK45">
        <v>41.3333333333334</v>
      </c>
      <c r="AL45">
        <v>4446005754.8980999</v>
      </c>
      <c r="AM45">
        <v>570284234.65740001</v>
      </c>
      <c r="AN45">
        <v>5400.7634799999996</v>
      </c>
      <c r="AO45" s="69">
        <v>51858731249.548103</v>
      </c>
      <c r="AP45">
        <v>19600121280.097599</v>
      </c>
      <c r="AQ45">
        <v>5400.7634799999996</v>
      </c>
      <c r="AR45" s="69">
        <v>15333004271.313601</v>
      </c>
      <c r="AS45">
        <v>15333004271.313601</v>
      </c>
      <c r="AT45">
        <v>9379.2446199999995</v>
      </c>
      <c r="AU45">
        <v>3687005689.5279498</v>
      </c>
      <c r="AV45">
        <v>3333.7424455082</v>
      </c>
      <c r="AW45">
        <v>782.31306532287704</v>
      </c>
      <c r="AX45">
        <v>2983.1030746035699</v>
      </c>
      <c r="AY45">
        <v>1942.1174633375999</v>
      </c>
      <c r="AZ45">
        <v>769.69972338772698</v>
      </c>
      <c r="BA45">
        <v>1782.98420572948</v>
      </c>
      <c r="BB45">
        <v>1944.3739390739299</v>
      </c>
      <c r="BC45">
        <v>1288.37195352308</v>
      </c>
      <c r="BD45">
        <v>1627.0934828854299</v>
      </c>
      <c r="BE45">
        <v>1153.0233241624201</v>
      </c>
      <c r="BF45">
        <v>2284.2451333171798</v>
      </c>
      <c r="BG45">
        <v>2135.0515976991801</v>
      </c>
      <c r="BH45">
        <v>342.99068750381201</v>
      </c>
      <c r="BI45">
        <v>1836.3197607053301</v>
      </c>
      <c r="BJ45">
        <v>442.52541563112402</v>
      </c>
      <c r="BK45">
        <v>442.525834404325</v>
      </c>
      <c r="BL45">
        <v>626.78675931310795</v>
      </c>
      <c r="BM45">
        <v>146.56373079122099</v>
      </c>
      <c r="BN45">
        <v>561.54617177318505</v>
      </c>
      <c r="BO45">
        <v>361.67749608158198</v>
      </c>
      <c r="BP45">
        <v>143.787003990676</v>
      </c>
      <c r="BQ45">
        <v>334.33765077141402</v>
      </c>
      <c r="BR45">
        <v>364.10466145121399</v>
      </c>
      <c r="BS45">
        <v>242.580633719795</v>
      </c>
      <c r="BT45">
        <v>304.17771849832002</v>
      </c>
      <c r="BU45">
        <v>216.96435600696199</v>
      </c>
      <c r="BV45">
        <v>429.99812087157397</v>
      </c>
      <c r="BW45">
        <v>399.83770224276299</v>
      </c>
      <c r="BX45">
        <v>65.2994897583946</v>
      </c>
      <c r="BY45">
        <v>343.90407849908303</v>
      </c>
      <c r="BZ45">
        <v>82.337834414598305</v>
      </c>
      <c r="CA45">
        <v>82.337900585819298</v>
      </c>
      <c r="CB45">
        <v>2610.7195204495602</v>
      </c>
      <c r="CC45">
        <v>653.39561837966198</v>
      </c>
      <c r="CD45">
        <v>2552.0735971591898</v>
      </c>
      <c r="CE45">
        <v>1544.4614633263</v>
      </c>
      <c r="CF45">
        <v>619.32764677142995</v>
      </c>
      <c r="CG45">
        <v>1455.2335693989901</v>
      </c>
      <c r="CH45">
        <v>1559.5727592291701</v>
      </c>
      <c r="CI45">
        <v>1125.69757913903</v>
      </c>
      <c r="CJ45">
        <v>1302.92316144151</v>
      </c>
      <c r="CK45">
        <v>895.038233548314</v>
      </c>
      <c r="CL45">
        <v>1817.7706498201301</v>
      </c>
      <c r="CM45">
        <v>1755.1749667619199</v>
      </c>
      <c r="CN45">
        <v>280.448910308265</v>
      </c>
      <c r="CO45">
        <v>1559.9019987363299</v>
      </c>
      <c r="CP45">
        <v>371.85784454459201</v>
      </c>
      <c r="CQ45">
        <v>371.85788510370401</v>
      </c>
      <c r="CR45" s="1">
        <v>271683354.78416198</v>
      </c>
      <c r="CS45" s="1">
        <v>327934708.83446503</v>
      </c>
      <c r="CT45" s="1">
        <v>247842245.78999099</v>
      </c>
      <c r="CU45" s="1">
        <v>214013850.80754301</v>
      </c>
      <c r="CV45" s="1">
        <v>165416531.801406</v>
      </c>
      <c r="CW45" s="1">
        <v>176914524.07203001</v>
      </c>
      <c r="CX45" s="1">
        <v>232766655.54391199</v>
      </c>
      <c r="CY45" s="1">
        <v>215997653.79120201</v>
      </c>
      <c r="CZ45" s="1">
        <v>206308926.46594101</v>
      </c>
      <c r="DA45" s="1">
        <v>225991676.04818299</v>
      </c>
      <c r="DB45" s="1">
        <v>242924258.30903801</v>
      </c>
      <c r="DC45" s="1">
        <v>290106992.49153697</v>
      </c>
      <c r="DD45" s="1">
        <v>270773260.62955999</v>
      </c>
      <c r="DE45" s="1">
        <v>228656150.885535</v>
      </c>
      <c r="DF45" s="1">
        <v>305379009.02456701</v>
      </c>
      <c r="DG45" s="1">
        <v>297059916.28358001</v>
      </c>
      <c r="DH45" s="1">
        <v>15425793582.355101</v>
      </c>
      <c r="DI45" s="1">
        <v>18575408859.836601</v>
      </c>
      <c r="DJ45" s="1">
        <v>14153320846.5578</v>
      </c>
      <c r="DK45" s="1">
        <v>12294108477.4</v>
      </c>
      <c r="DL45" s="1">
        <v>9705912171.7473392</v>
      </c>
      <c r="DM45" s="1">
        <v>10391016024.3859</v>
      </c>
      <c r="DN45" s="1">
        <v>13558730769.040701</v>
      </c>
      <c r="DO45" s="1">
        <v>12495710981.1632</v>
      </c>
      <c r="DP45" s="1">
        <v>11994269382.4874</v>
      </c>
      <c r="DQ45" s="1">
        <v>13183937918.2997</v>
      </c>
      <c r="DR45" s="1">
        <v>14257322458.550699</v>
      </c>
      <c r="DS45" s="1">
        <v>17210842466.6343</v>
      </c>
      <c r="DT45" s="1">
        <v>15935583736.387899</v>
      </c>
      <c r="DU45" s="1">
        <v>13565073844.777201</v>
      </c>
      <c r="DV45" s="1">
        <v>17858715283.273701</v>
      </c>
      <c r="DW45" s="1">
        <v>17428457571.888199</v>
      </c>
    </row>
    <row r="46" spans="1:127" x14ac:dyDescent="0.25">
      <c r="A46" t="s">
        <v>72</v>
      </c>
      <c r="B46">
        <v>44.73</v>
      </c>
      <c r="C46">
        <v>-85.58</v>
      </c>
      <c r="D46">
        <v>-17.399999999999999</v>
      </c>
      <c r="E46">
        <v>-14.8</v>
      </c>
      <c r="F46">
        <v>31.9</v>
      </c>
      <c r="G46">
        <v>22.1</v>
      </c>
      <c r="H46">
        <v>29.9</v>
      </c>
      <c r="I46">
        <v>21.1</v>
      </c>
      <c r="J46">
        <v>0.25</v>
      </c>
      <c r="K46">
        <v>0</v>
      </c>
      <c r="L46">
        <v>663070232.67458701</v>
      </c>
      <c r="M46">
        <v>150652645.97846499</v>
      </c>
      <c r="N46">
        <v>4955.4189200000001</v>
      </c>
      <c r="O46" s="75">
        <v>68108140905.597397</v>
      </c>
      <c r="P46">
        <f>85135176131.9968*(0.8/0.96)</f>
        <v>70945980109.99733</v>
      </c>
      <c r="Q46">
        <v>29308</v>
      </c>
      <c r="R46">
        <v>599156303.61285901</v>
      </c>
      <c r="S46">
        <f>4282.37869637053*(0.8/0.96)</f>
        <v>3568.6489136421083</v>
      </c>
      <c r="T46">
        <v>102.19599769398801</v>
      </c>
      <c r="U46">
        <v>23.613285735448201</v>
      </c>
      <c r="V46">
        <v>91.262154471676098</v>
      </c>
      <c r="W46">
        <v>58.4340952790335</v>
      </c>
      <c r="X46">
        <v>23.463859566606502</v>
      </c>
      <c r="Y46">
        <v>54.271149057016999</v>
      </c>
      <c r="Z46">
        <v>58.798750674142298</v>
      </c>
      <c r="AA46">
        <v>39.699568115674097</v>
      </c>
      <c r="AB46">
        <v>49.332218626567901</v>
      </c>
      <c r="AC46">
        <v>35.260141743633</v>
      </c>
      <c r="AD46">
        <v>69.753144922269598</v>
      </c>
      <c r="AE46">
        <v>64.588511923774107</v>
      </c>
      <c r="AF46">
        <v>10.6203054253833</v>
      </c>
      <c r="AG46">
        <v>55.751985921785099</v>
      </c>
      <c r="AH46">
        <v>13.2136922263554</v>
      </c>
      <c r="AI46">
        <v>13.2137014145873</v>
      </c>
      <c r="AJ46">
        <v>0.25</v>
      </c>
      <c r="AK46">
        <v>33.333333333333201</v>
      </c>
      <c r="AL46">
        <v>665109231.41719103</v>
      </c>
      <c r="AM46">
        <v>103724712.484219</v>
      </c>
      <c r="AN46">
        <v>4955.4189200000001</v>
      </c>
      <c r="AO46" s="69">
        <v>50968476665.653702</v>
      </c>
      <c r="AP46">
        <v>18866302135.063801</v>
      </c>
      <c r="AQ46">
        <v>4955.4189200000001</v>
      </c>
      <c r="AR46" s="69">
        <v>14432708505.5688</v>
      </c>
      <c r="AS46">
        <v>14432708505.5688</v>
      </c>
      <c r="AT46">
        <v>8628.6633500000007</v>
      </c>
      <c r="AU46">
        <v>3457339834.4623098</v>
      </c>
      <c r="AV46">
        <v>3216.0314258522299</v>
      </c>
      <c r="AW46">
        <v>747.92531947661905</v>
      </c>
      <c r="AX46">
        <v>2867.0385164165</v>
      </c>
      <c r="AY46">
        <v>1850.78884523801</v>
      </c>
      <c r="AZ46">
        <v>740.29464916466497</v>
      </c>
      <c r="BA46">
        <v>1707.27903854635</v>
      </c>
      <c r="BB46">
        <v>1869.5167089020799</v>
      </c>
      <c r="BC46">
        <v>1240.4564494451599</v>
      </c>
      <c r="BD46">
        <v>1557.6185610626601</v>
      </c>
      <c r="BE46">
        <v>1106.12453674023</v>
      </c>
      <c r="BF46">
        <v>2198.8873282080699</v>
      </c>
      <c r="BG46">
        <v>2040.3174345674099</v>
      </c>
      <c r="BH46">
        <v>328.04853014852301</v>
      </c>
      <c r="BI46">
        <v>1763.1179039358401</v>
      </c>
      <c r="BJ46">
        <v>417.77487253157102</v>
      </c>
      <c r="BK46">
        <v>417.77515845088902</v>
      </c>
      <c r="BL46">
        <v>588.91731721234498</v>
      </c>
      <c r="BM46">
        <v>136.541119655024</v>
      </c>
      <c r="BN46">
        <v>523.31222360233903</v>
      </c>
      <c r="BO46">
        <v>336.15640082551499</v>
      </c>
      <c r="BP46">
        <v>134.608897124744</v>
      </c>
      <c r="BQ46">
        <v>311.822418558756</v>
      </c>
      <c r="BR46">
        <v>341.07415568795</v>
      </c>
      <c r="BS46">
        <v>227.22808709220101</v>
      </c>
      <c r="BT46">
        <v>283.492532661746</v>
      </c>
      <c r="BU46">
        <v>203.86372987348099</v>
      </c>
      <c r="BV46">
        <v>402.99975357397898</v>
      </c>
      <c r="BW46">
        <v>372.04602968836599</v>
      </c>
      <c r="BX46">
        <v>61.4532335089593</v>
      </c>
      <c r="BY46">
        <v>320.772191516112</v>
      </c>
      <c r="BZ46">
        <v>76.279391006634896</v>
      </c>
      <c r="CA46">
        <v>76.279433747045104</v>
      </c>
      <c r="CB46">
        <v>2487.9272969836402</v>
      </c>
      <c r="CC46">
        <v>579.63478719180603</v>
      </c>
      <c r="CD46">
        <v>2363.2185376544498</v>
      </c>
      <c r="CE46">
        <v>1508.41628014158</v>
      </c>
      <c r="CF46">
        <v>597.25968169814405</v>
      </c>
      <c r="CG46">
        <v>1381.7436098790999</v>
      </c>
      <c r="CH46">
        <v>1412.4149301438299</v>
      </c>
      <c r="CI46">
        <v>1025.3447512796699</v>
      </c>
      <c r="CJ46">
        <v>1245.15051778821</v>
      </c>
      <c r="CK46">
        <v>844.88443427306595</v>
      </c>
      <c r="CL46">
        <v>1701.2053073878701</v>
      </c>
      <c r="CM46">
        <v>1633.8012410937899</v>
      </c>
      <c r="CN46">
        <v>236.06751353807701</v>
      </c>
      <c r="CO46">
        <v>1413.59601902799</v>
      </c>
      <c r="CP46">
        <v>330.980957986872</v>
      </c>
      <c r="CQ46">
        <v>330.98167785454598</v>
      </c>
      <c r="CR46" s="1">
        <v>239800372.24825999</v>
      </c>
      <c r="CS46" s="1">
        <v>287540502.28136402</v>
      </c>
      <c r="CT46" s="1">
        <v>217651444.381313</v>
      </c>
      <c r="CU46" s="1">
        <v>186425680.258517</v>
      </c>
      <c r="CV46" s="1">
        <v>143422239.93007699</v>
      </c>
      <c r="CW46" s="1">
        <v>152433721.83106399</v>
      </c>
      <c r="CX46" s="1">
        <v>202024603.03291601</v>
      </c>
      <c r="CY46" s="1">
        <v>187210535.11664301</v>
      </c>
      <c r="CZ46" s="1">
        <v>179948031.70900801</v>
      </c>
      <c r="DA46" s="1">
        <v>197021070.777753</v>
      </c>
      <c r="DB46" s="1">
        <v>210034875.53009301</v>
      </c>
      <c r="DC46" s="1">
        <v>250674715.129976</v>
      </c>
      <c r="DD46" s="1">
        <v>233669773.82787701</v>
      </c>
      <c r="DE46" s="1">
        <v>196275624.62644401</v>
      </c>
      <c r="DF46" s="1">
        <v>264158814.991157</v>
      </c>
      <c r="DG46" s="1">
        <v>255197293.83169901</v>
      </c>
      <c r="DH46" s="1">
        <v>14881762342.254</v>
      </c>
      <c r="DI46" s="1">
        <v>17614893499.409599</v>
      </c>
      <c r="DJ46" s="1">
        <v>13425378873.091101</v>
      </c>
      <c r="DK46" s="1">
        <v>11455659861.445999</v>
      </c>
      <c r="DL46" s="1">
        <v>9013845796.0798702</v>
      </c>
      <c r="DM46" s="1">
        <v>9506826434.5321007</v>
      </c>
      <c r="DN46" s="1">
        <v>12654896871.880501</v>
      </c>
      <c r="DO46" s="1">
        <v>11693754886.3472</v>
      </c>
      <c r="DP46" s="1">
        <v>11251572225.888599</v>
      </c>
      <c r="DQ46" s="1">
        <v>12334065786.878901</v>
      </c>
      <c r="DR46" s="1">
        <v>13112414635.702801</v>
      </c>
      <c r="DS46" s="1">
        <v>15855963026.870399</v>
      </c>
      <c r="DT46" s="1">
        <v>14739974385.8078</v>
      </c>
      <c r="DU46" s="1">
        <v>12391417039.1884</v>
      </c>
      <c r="DV46" s="1">
        <v>16569200582.2918</v>
      </c>
      <c r="DW46" s="1">
        <v>16005412129.049299</v>
      </c>
    </row>
    <row r="47" spans="1:127" x14ac:dyDescent="0.25">
      <c r="A47" t="s">
        <v>75</v>
      </c>
      <c r="B47">
        <v>46.83</v>
      </c>
      <c r="C47">
        <v>-92.22</v>
      </c>
      <c r="D47">
        <v>-27.7</v>
      </c>
      <c r="E47">
        <v>-24.7</v>
      </c>
      <c r="F47">
        <v>29</v>
      </c>
      <c r="G47">
        <v>20.9</v>
      </c>
      <c r="H47">
        <v>27.4</v>
      </c>
      <c r="I47">
        <v>19.600000000000001</v>
      </c>
      <c r="J47">
        <v>8.3333333333333301E-2</v>
      </c>
      <c r="K47">
        <v>0</v>
      </c>
      <c r="L47">
        <v>1947663386.2811201</v>
      </c>
      <c r="M47">
        <v>421484416.38773298</v>
      </c>
      <c r="N47">
        <v>6740.7996899999998</v>
      </c>
      <c r="O47" s="75">
        <v>86928052811.956406</v>
      </c>
      <c r="P47">
        <f>108660066014.944*(0.8/0.96)</f>
        <v>90550055012.453339</v>
      </c>
      <c r="Q47">
        <v>29308</v>
      </c>
      <c r="R47">
        <v>1064741717.24272</v>
      </c>
      <c r="S47">
        <f>5465.70258017861*(0.8/0.96)</f>
        <v>4554.7521501488418</v>
      </c>
      <c r="T47">
        <v>162.44245791605101</v>
      </c>
      <c r="U47">
        <v>105.65989591258401</v>
      </c>
      <c r="V47">
        <v>129.275428018659</v>
      </c>
      <c r="W47">
        <v>94.340453987117897</v>
      </c>
      <c r="X47">
        <v>29.324729693885299</v>
      </c>
      <c r="Y47">
        <v>18.695342905790199</v>
      </c>
      <c r="Z47">
        <v>53.596316303248997</v>
      </c>
      <c r="AA47">
        <v>87.714390308139997</v>
      </c>
      <c r="AB47">
        <v>54.868247444451299</v>
      </c>
      <c r="AC47">
        <v>138.113605453915</v>
      </c>
      <c r="AD47">
        <v>41.507695915525503</v>
      </c>
      <c r="AE47">
        <v>22.971488863444801</v>
      </c>
      <c r="AF47">
        <v>108.504480767576</v>
      </c>
      <c r="AG47">
        <v>35.461098302209002</v>
      </c>
      <c r="AH47">
        <v>20.658336569154901</v>
      </c>
      <c r="AI47">
        <v>20.658767386148501</v>
      </c>
      <c r="AJ47">
        <v>0</v>
      </c>
      <c r="AK47">
        <v>32.249999999999901</v>
      </c>
      <c r="AL47">
        <v>1958730774.5676</v>
      </c>
      <c r="AM47">
        <v>237028825.33224601</v>
      </c>
      <c r="AN47">
        <v>6740.7996899999998</v>
      </c>
      <c r="AO47" s="69">
        <v>57019257994.207901</v>
      </c>
      <c r="AP47">
        <v>23436498028.546001</v>
      </c>
      <c r="AQ47">
        <v>6740.7996899999998</v>
      </c>
      <c r="AR47" s="69">
        <v>26553058934.749001</v>
      </c>
      <c r="AS47">
        <v>26553058934.749001</v>
      </c>
      <c r="AT47">
        <v>11668.19268</v>
      </c>
      <c r="AU47">
        <v>4566666075.8439703</v>
      </c>
      <c r="AV47">
        <v>3598.0035493707501</v>
      </c>
      <c r="AW47">
        <v>2309.4322615024398</v>
      </c>
      <c r="AX47">
        <v>2862.5795434521601</v>
      </c>
      <c r="AY47">
        <v>2025.3708988025101</v>
      </c>
      <c r="AZ47">
        <v>622.70318917178599</v>
      </c>
      <c r="BA47">
        <v>421.00894528292798</v>
      </c>
      <c r="BB47">
        <v>1118.34326724939</v>
      </c>
      <c r="BC47">
        <v>1807.09948092169</v>
      </c>
      <c r="BD47">
        <v>1166.38785837201</v>
      </c>
      <c r="BE47">
        <v>2984.3263877774498</v>
      </c>
      <c r="BF47">
        <v>846.823366481373</v>
      </c>
      <c r="BG47">
        <v>452.899066624439</v>
      </c>
      <c r="BH47">
        <v>2258.3181280177</v>
      </c>
      <c r="BI47">
        <v>735.47095957533998</v>
      </c>
      <c r="BJ47">
        <v>412.88462142934202</v>
      </c>
      <c r="BK47">
        <v>412.89350909370501</v>
      </c>
      <c r="BL47">
        <v>697.86798896258097</v>
      </c>
      <c r="BM47">
        <v>451.30012999246998</v>
      </c>
      <c r="BN47">
        <v>554.02807908315197</v>
      </c>
      <c r="BO47">
        <v>400.76384187068101</v>
      </c>
      <c r="BP47">
        <v>124.254451401604</v>
      </c>
      <c r="BQ47">
        <v>80.625430302577399</v>
      </c>
      <c r="BR47">
        <v>225.87702519093401</v>
      </c>
      <c r="BS47">
        <v>370.00377090397097</v>
      </c>
      <c r="BT47">
        <v>231.99063818937401</v>
      </c>
      <c r="BU47">
        <v>588.3921744539</v>
      </c>
      <c r="BV47">
        <v>174.55182268781499</v>
      </c>
      <c r="BW47">
        <v>95.059894099225104</v>
      </c>
      <c r="BX47">
        <v>458.21916464306298</v>
      </c>
      <c r="BY47">
        <v>149.80992688743501</v>
      </c>
      <c r="BZ47">
        <v>85.603772478716706</v>
      </c>
      <c r="CA47">
        <v>85.605572251993607</v>
      </c>
      <c r="CB47">
        <v>3975.7504211312598</v>
      </c>
      <c r="CC47">
        <v>2832.29990049865</v>
      </c>
      <c r="CD47">
        <v>3201.2610118239099</v>
      </c>
      <c r="CE47">
        <v>2598.6274651875201</v>
      </c>
      <c r="CF47">
        <v>828.42363528273495</v>
      </c>
      <c r="CG47">
        <v>464.26805384536902</v>
      </c>
      <c r="CH47">
        <v>1675.5024668849301</v>
      </c>
      <c r="CI47">
        <v>2801.3771062812002</v>
      </c>
      <c r="CJ47">
        <v>1563.87727277509</v>
      </c>
      <c r="CK47">
        <v>4011.29300054436</v>
      </c>
      <c r="CL47">
        <v>1318.7272683614599</v>
      </c>
      <c r="CM47">
        <v>776.28721168075003</v>
      </c>
      <c r="CN47">
        <v>3384.89108930679</v>
      </c>
      <c r="CO47">
        <v>1094.01704778166</v>
      </c>
      <c r="CP47">
        <v>704.44728904504302</v>
      </c>
      <c r="CQ47">
        <v>704.46070921234605</v>
      </c>
      <c r="CR47" s="1">
        <v>289295871.679456</v>
      </c>
      <c r="CS47" s="1">
        <v>241476494.33073401</v>
      </c>
      <c r="CT47" s="1">
        <v>201832849.84952801</v>
      </c>
      <c r="CU47" s="1">
        <v>108233606.804206</v>
      </c>
      <c r="CV47" s="1">
        <v>65137486.0942498</v>
      </c>
      <c r="CW47" s="1">
        <v>53522810.066192798</v>
      </c>
      <c r="CX47" s="1">
        <v>31307071.752556499</v>
      </c>
      <c r="CY47" s="1">
        <v>32497916.133024801</v>
      </c>
      <c r="CZ47" s="1">
        <v>23219742.172056999</v>
      </c>
      <c r="DA47" s="1">
        <v>17937277.7650543</v>
      </c>
      <c r="DB47" s="1">
        <v>8246784.3956965497</v>
      </c>
      <c r="DC47" s="1">
        <v>7538108.2493467201</v>
      </c>
      <c r="DD47" s="1">
        <v>6481563.7390692998</v>
      </c>
      <c r="DE47" s="1">
        <v>9155479.1620813608</v>
      </c>
      <c r="DF47" s="1">
        <v>10535264.345702101</v>
      </c>
      <c r="DG47" s="1">
        <v>4896411.7489437498</v>
      </c>
      <c r="DH47" s="1">
        <v>15098294967.4923</v>
      </c>
      <c r="DI47" s="1">
        <v>12685463506.7981</v>
      </c>
      <c r="DJ47" s="1">
        <v>10780746246.3559</v>
      </c>
      <c r="DK47" s="1">
        <v>5998832087.67624</v>
      </c>
      <c r="DL47" s="1">
        <v>3629844369.3446999</v>
      </c>
      <c r="DM47" s="1">
        <v>2958393016.4116201</v>
      </c>
      <c r="DN47" s="1">
        <v>1628451763.0899799</v>
      </c>
      <c r="DO47" s="1">
        <v>1717423211.8724999</v>
      </c>
      <c r="DP47" s="1">
        <v>1316812590.51074</v>
      </c>
      <c r="DQ47" s="1">
        <v>1020047586.4253</v>
      </c>
      <c r="DR47" s="1">
        <v>462071323.20015103</v>
      </c>
      <c r="DS47" s="1">
        <v>396719195.16262299</v>
      </c>
      <c r="DT47" s="1">
        <v>374433197.54399401</v>
      </c>
      <c r="DU47" s="1">
        <v>464122212.58544302</v>
      </c>
      <c r="DV47" s="1">
        <v>574995087.82762396</v>
      </c>
      <c r="DW47" s="1">
        <v>255538427.68641099</v>
      </c>
    </row>
    <row r="48" spans="1:127" x14ac:dyDescent="0.25">
      <c r="A48" t="s">
        <v>74</v>
      </c>
      <c r="B48">
        <v>44.88</v>
      </c>
      <c r="C48">
        <v>-93.23</v>
      </c>
      <c r="D48">
        <v>-24</v>
      </c>
      <c r="E48">
        <v>-21.2</v>
      </c>
      <c r="F48">
        <v>32.700000000000003</v>
      </c>
      <c r="G48">
        <v>22.7</v>
      </c>
      <c r="H48">
        <v>31.1</v>
      </c>
      <c r="I48">
        <v>22.2</v>
      </c>
      <c r="J48">
        <v>8.2499999999999893</v>
      </c>
      <c r="K48">
        <v>0</v>
      </c>
      <c r="L48">
        <v>9234957154.1173096</v>
      </c>
      <c r="M48">
        <v>2065743736.7104001</v>
      </c>
      <c r="N48">
        <v>6222.5878599999996</v>
      </c>
      <c r="O48" s="75">
        <v>67024398470.334801</v>
      </c>
      <c r="P48">
        <f>83780498087.9183*(0.8/0.96)</f>
        <v>69817081739.931931</v>
      </c>
      <c r="Q48">
        <v>29308</v>
      </c>
      <c r="R48">
        <v>725270580.84617996</v>
      </c>
      <c r="S48">
        <f>4214.2371283375*(0.8/0.96)</f>
        <v>3511.864273614583</v>
      </c>
      <c r="T48">
        <v>109.75405019625001</v>
      </c>
      <c r="U48">
        <v>73.005296272010298</v>
      </c>
      <c r="V48">
        <v>86.166677551794294</v>
      </c>
      <c r="W48">
        <v>64.848741809006398</v>
      </c>
      <c r="X48">
        <v>20.5630653763825</v>
      </c>
      <c r="Y48">
        <v>12.580605243223101</v>
      </c>
      <c r="Z48">
        <v>36.479563419815896</v>
      </c>
      <c r="AA48">
        <v>64.013058089328595</v>
      </c>
      <c r="AB48">
        <v>37.811774064692699</v>
      </c>
      <c r="AC48">
        <v>96.362436987203296</v>
      </c>
      <c r="AD48">
        <v>29.8625541188757</v>
      </c>
      <c r="AE48">
        <v>16.205950011485299</v>
      </c>
      <c r="AF48">
        <v>76.600637359788294</v>
      </c>
      <c r="AG48">
        <v>25.021149338161699</v>
      </c>
      <c r="AH48">
        <v>14.316935960801301</v>
      </c>
      <c r="AI48">
        <v>14.317209293105799</v>
      </c>
      <c r="AJ48">
        <v>8.1666666666666607</v>
      </c>
      <c r="AK48">
        <v>41.916666666666501</v>
      </c>
      <c r="AL48">
        <v>9263796550.17066</v>
      </c>
      <c r="AM48">
        <v>1302583597.14059</v>
      </c>
      <c r="AN48">
        <v>6222.5878599999996</v>
      </c>
      <c r="AO48" s="69">
        <v>48789538004.552597</v>
      </c>
      <c r="AP48">
        <v>18963783702.6968</v>
      </c>
      <c r="AQ48">
        <v>6222.5878599999996</v>
      </c>
      <c r="AR48" s="69">
        <v>15720100378.7966</v>
      </c>
      <c r="AS48">
        <v>15720100378.7966</v>
      </c>
      <c r="AT48">
        <v>10530.951880000001</v>
      </c>
      <c r="AU48">
        <v>3385691150.8343401</v>
      </c>
      <c r="AV48">
        <v>2869.1188683213099</v>
      </c>
      <c r="AW48">
        <v>1911.7071012997901</v>
      </c>
      <c r="AX48">
        <v>2287.3830424564599</v>
      </c>
      <c r="AY48">
        <v>1696.5236390083701</v>
      </c>
      <c r="AZ48">
        <v>533.07396847016503</v>
      </c>
      <c r="BA48">
        <v>332.45383079531098</v>
      </c>
      <c r="BB48">
        <v>949.77476635552603</v>
      </c>
      <c r="BC48">
        <v>1608.3225056000099</v>
      </c>
      <c r="BD48">
        <v>986.24706621345297</v>
      </c>
      <c r="BE48">
        <v>2508.92358715613</v>
      </c>
      <c r="BF48">
        <v>732.644050721795</v>
      </c>
      <c r="BG48">
        <v>416.281423290166</v>
      </c>
      <c r="BH48">
        <v>1955.05244597912</v>
      </c>
      <c r="BI48">
        <v>623.987344762048</v>
      </c>
      <c r="BJ48">
        <v>365.44883581387398</v>
      </c>
      <c r="BK48">
        <v>365.456122672932</v>
      </c>
      <c r="BL48">
        <v>512.51367998968703</v>
      </c>
      <c r="BM48">
        <v>340.14928908518601</v>
      </c>
      <c r="BN48">
        <v>403.47246725323902</v>
      </c>
      <c r="BO48">
        <v>301.92163800962601</v>
      </c>
      <c r="BP48">
        <v>95.234912240607301</v>
      </c>
      <c r="BQ48">
        <v>58.897172000207</v>
      </c>
      <c r="BR48">
        <v>169.31965783035201</v>
      </c>
      <c r="BS48">
        <v>292.03940066920001</v>
      </c>
      <c r="BT48">
        <v>176.37970003300299</v>
      </c>
      <c r="BU48">
        <v>445.44318226203501</v>
      </c>
      <c r="BV48">
        <v>134.88126773475901</v>
      </c>
      <c r="BW48">
        <v>74.980882789380004</v>
      </c>
      <c r="BX48">
        <v>352.47570355569098</v>
      </c>
      <c r="BY48">
        <v>114.11303328512599</v>
      </c>
      <c r="BZ48">
        <v>66.158952682372998</v>
      </c>
      <c r="CA48">
        <v>66.1601995826977</v>
      </c>
      <c r="CB48">
        <v>2329.8050188990001</v>
      </c>
      <c r="CC48">
        <v>1653.4147807653101</v>
      </c>
      <c r="CD48">
        <v>1788.39954490284</v>
      </c>
      <c r="CE48">
        <v>1497.3253573417801</v>
      </c>
      <c r="CF48">
        <v>503.81986076868401</v>
      </c>
      <c r="CG48">
        <v>264.88777720807701</v>
      </c>
      <c r="CH48">
        <v>924.34804061365401</v>
      </c>
      <c r="CI48">
        <v>1869.6543849484799</v>
      </c>
      <c r="CJ48">
        <v>878.87551722844</v>
      </c>
      <c r="CK48">
        <v>2403.8771628199802</v>
      </c>
      <c r="CL48">
        <v>890.84761849302299</v>
      </c>
      <c r="CM48">
        <v>436.61142830831801</v>
      </c>
      <c r="CN48">
        <v>2093.0356265778701</v>
      </c>
      <c r="CO48">
        <v>711.31519848522396</v>
      </c>
      <c r="CP48">
        <v>397.19569353219299</v>
      </c>
      <c r="CQ48">
        <v>397.20180958761398</v>
      </c>
      <c r="CR48" s="1">
        <v>199633453.32833299</v>
      </c>
      <c r="CS48" s="1">
        <v>162896660.03667</v>
      </c>
      <c r="CT48" s="1">
        <v>140093449.31201801</v>
      </c>
      <c r="CU48" s="1">
        <v>75226997.486221299</v>
      </c>
      <c r="CV48" s="1">
        <v>45773656.960460201</v>
      </c>
      <c r="CW48" s="1">
        <v>36878424.652140997</v>
      </c>
      <c r="CX48" s="1">
        <v>21592387.594426699</v>
      </c>
      <c r="CY48" s="1">
        <v>22728362.533140801</v>
      </c>
      <c r="CZ48" s="1">
        <v>16143019.359401699</v>
      </c>
      <c r="DA48" s="1">
        <v>12120284.426450901</v>
      </c>
      <c r="DB48" s="1">
        <v>6258617.7412736397</v>
      </c>
      <c r="DC48" s="1">
        <v>5759680.5497407597</v>
      </c>
      <c r="DD48" s="1">
        <v>4713941.4886455704</v>
      </c>
      <c r="DE48" s="1">
        <v>7079092.0252615502</v>
      </c>
      <c r="DF48" s="1">
        <v>8579546.1557337604</v>
      </c>
      <c r="DG48" s="1">
        <v>4291551.4328610199</v>
      </c>
      <c r="DH48" s="1">
        <v>10617627378.506399</v>
      </c>
      <c r="DI48" s="1">
        <v>8601221873.2016697</v>
      </c>
      <c r="DJ48" s="1">
        <v>7707261170.7969398</v>
      </c>
      <c r="DK48" s="1">
        <v>4131855580.5625</v>
      </c>
      <c r="DL48" s="1">
        <v>2631299767.6396098</v>
      </c>
      <c r="DM48" s="1">
        <v>1938954739.3415799</v>
      </c>
      <c r="DN48" s="1">
        <v>1114744058.3985</v>
      </c>
      <c r="DO48" s="1">
        <v>1205729736.25035</v>
      </c>
      <c r="DP48" s="1">
        <v>887843275.00232804</v>
      </c>
      <c r="DQ48" s="1">
        <v>649566193.08417404</v>
      </c>
      <c r="DR48" s="1">
        <v>378761937.50602502</v>
      </c>
      <c r="DS48" s="1">
        <v>318903477.27954203</v>
      </c>
      <c r="DT48" s="1">
        <v>267547562.95650399</v>
      </c>
      <c r="DU48" s="1">
        <v>369601496.10337102</v>
      </c>
      <c r="DV48" s="1">
        <v>517393895.75012398</v>
      </c>
      <c r="DW48" s="1">
        <v>264236131.75477299</v>
      </c>
    </row>
    <row r="49" spans="1:127" x14ac:dyDescent="0.25">
      <c r="A49" t="s">
        <v>76</v>
      </c>
      <c r="B49">
        <v>39.119999999999997</v>
      </c>
      <c r="C49">
        <v>-94.6</v>
      </c>
      <c r="D49">
        <v>-15</v>
      </c>
      <c r="E49">
        <v>-12.3</v>
      </c>
      <c r="F49">
        <v>36</v>
      </c>
      <c r="G49">
        <v>24.7</v>
      </c>
      <c r="H49">
        <v>34</v>
      </c>
      <c r="I49">
        <v>24.4</v>
      </c>
      <c r="J49">
        <v>98.999999999999801</v>
      </c>
      <c r="K49">
        <v>0</v>
      </c>
      <c r="L49">
        <v>26113967208.805401</v>
      </c>
      <c r="M49">
        <v>6128022344.9022703</v>
      </c>
      <c r="N49">
        <v>6188.8466600000002</v>
      </c>
      <c r="O49" s="75">
        <v>28149183194.693001</v>
      </c>
      <c r="P49">
        <f>35186478993.3663*(0.8/0.96)</f>
        <v>29322065827.805252</v>
      </c>
      <c r="Q49">
        <v>29308</v>
      </c>
      <c r="R49">
        <v>290159639.73385203</v>
      </c>
      <c r="S49">
        <f>1769.9126834231*(0.8/0.96)</f>
        <v>1474.9272361859166</v>
      </c>
      <c r="T49">
        <v>56.788112136041498</v>
      </c>
      <c r="U49">
        <v>28.178089501386602</v>
      </c>
      <c r="V49">
        <v>45.756804289742199</v>
      </c>
      <c r="W49">
        <v>33.853977483779502</v>
      </c>
      <c r="X49">
        <v>12.9738189907339</v>
      </c>
      <c r="Y49">
        <v>21.367131595823501</v>
      </c>
      <c r="Z49">
        <v>28.7475640819709</v>
      </c>
      <c r="AA49">
        <v>23.102646208344801</v>
      </c>
      <c r="AB49">
        <v>25.002108521897</v>
      </c>
      <c r="AC49">
        <v>18.159379375251799</v>
      </c>
      <c r="AD49">
        <v>10.5076575352915</v>
      </c>
      <c r="AE49">
        <v>9.6630672250303995</v>
      </c>
      <c r="AF49">
        <v>21.022585685566799</v>
      </c>
      <c r="AG49">
        <v>30.616144969390799</v>
      </c>
      <c r="AH49">
        <v>21.274253225774402</v>
      </c>
      <c r="AI49">
        <v>21.274253225774402</v>
      </c>
      <c r="AJ49">
        <v>98.833333333333201</v>
      </c>
      <c r="AK49">
        <v>14.25</v>
      </c>
      <c r="AL49">
        <v>26139552824.3186</v>
      </c>
      <c r="AM49">
        <v>4485106904.2819004</v>
      </c>
      <c r="AN49">
        <v>6188.8466600000002</v>
      </c>
      <c r="AO49" s="69">
        <v>26213869188.497898</v>
      </c>
      <c r="AP49">
        <v>8418599058.4204702</v>
      </c>
      <c r="AQ49">
        <v>6188.8466600000002</v>
      </c>
      <c r="AR49" s="69">
        <v>896845193.93171406</v>
      </c>
      <c r="AS49">
        <v>896845193.93171406</v>
      </c>
      <c r="AT49">
        <v>7801.5940899999996</v>
      </c>
      <c r="AU49">
        <v>1443536301.1473</v>
      </c>
      <c r="AV49">
        <v>1649.45897057298</v>
      </c>
      <c r="AW49">
        <v>822.42004161163095</v>
      </c>
      <c r="AX49">
        <v>1338.1642429946301</v>
      </c>
      <c r="AY49">
        <v>1005.9211731096</v>
      </c>
      <c r="AZ49">
        <v>384.22095789890199</v>
      </c>
      <c r="BA49">
        <v>630.39882843952603</v>
      </c>
      <c r="BB49">
        <v>849.39277407214001</v>
      </c>
      <c r="BC49">
        <v>677.139599804667</v>
      </c>
      <c r="BD49">
        <v>734.27516436444705</v>
      </c>
      <c r="BE49">
        <v>535.33106174063005</v>
      </c>
      <c r="BF49">
        <v>306.25554783929601</v>
      </c>
      <c r="BG49">
        <v>284.028015331392</v>
      </c>
      <c r="BH49">
        <v>631.56952088632102</v>
      </c>
      <c r="BI49">
        <v>896.14776653771798</v>
      </c>
      <c r="BJ49">
        <v>631.01383316777196</v>
      </c>
      <c r="BK49">
        <v>631.01383316777196</v>
      </c>
      <c r="BL49">
        <v>282.522934565171</v>
      </c>
      <c r="BM49">
        <v>140.182498062745</v>
      </c>
      <c r="BN49">
        <v>227.84448825197401</v>
      </c>
      <c r="BO49">
        <v>167.69429966720199</v>
      </c>
      <c r="BP49">
        <v>64.389839941738899</v>
      </c>
      <c r="BQ49">
        <v>106.12597565815599</v>
      </c>
      <c r="BR49">
        <v>142.93889347370501</v>
      </c>
      <c r="BS49">
        <v>114.488447336641</v>
      </c>
      <c r="BT49">
        <v>124.54729858312101</v>
      </c>
      <c r="BU49">
        <v>89.992483062465794</v>
      </c>
      <c r="BV49">
        <v>52.226116916920901</v>
      </c>
      <c r="BW49">
        <v>48.000593638660803</v>
      </c>
      <c r="BX49">
        <v>104.276035714069</v>
      </c>
      <c r="BY49">
        <v>151.98767873014</v>
      </c>
      <c r="BZ49">
        <v>105.788075873604</v>
      </c>
      <c r="CA49">
        <v>105.788075873604</v>
      </c>
      <c r="CB49">
        <v>175.199593528798</v>
      </c>
      <c r="CC49">
        <v>84.008526342694395</v>
      </c>
      <c r="CD49">
        <v>145.870979830133</v>
      </c>
      <c r="CE49">
        <v>116.754949467259</v>
      </c>
      <c r="CF49">
        <v>40.2598637119751</v>
      </c>
      <c r="CG49">
        <v>70.964069593105407</v>
      </c>
      <c r="CH49">
        <v>97.358855981650294</v>
      </c>
      <c r="CI49">
        <v>68.874204619706603</v>
      </c>
      <c r="CJ49">
        <v>76.252042746821701</v>
      </c>
      <c r="CK49">
        <v>53.811016556198297</v>
      </c>
      <c r="CL49">
        <v>33.000980824584197</v>
      </c>
      <c r="CM49">
        <v>27.504316929179002</v>
      </c>
      <c r="CN49">
        <v>84.475616724150996</v>
      </c>
      <c r="CO49">
        <v>93.648995357861494</v>
      </c>
      <c r="CP49">
        <v>68.719357187544603</v>
      </c>
      <c r="CQ49">
        <v>68.719357187544603</v>
      </c>
      <c r="CR49" s="1">
        <v>55230513.7160808</v>
      </c>
      <c r="CS49" s="1">
        <v>39668800.923672803</v>
      </c>
      <c r="CT49" s="1">
        <v>32762853.076977398</v>
      </c>
      <c r="CU49" s="1">
        <v>14513096.771455999</v>
      </c>
      <c r="CV49" s="1">
        <v>8292551.4484446896</v>
      </c>
      <c r="CW49" s="1">
        <v>5768596.3620291399</v>
      </c>
      <c r="CX49" s="1">
        <v>2177087.3345200499</v>
      </c>
      <c r="CY49" s="1">
        <v>2143981.1171639701</v>
      </c>
      <c r="CZ49" s="1">
        <v>762862.43347572396</v>
      </c>
      <c r="DA49" s="1">
        <v>228286.01096398101</v>
      </c>
      <c r="DB49" s="1">
        <v>93131.815538293406</v>
      </c>
      <c r="DC49" s="1">
        <v>0</v>
      </c>
      <c r="DD49" s="1">
        <v>117607.83197510301</v>
      </c>
      <c r="DE49" s="1">
        <v>8728.2928192550207</v>
      </c>
      <c r="DF49" s="1">
        <v>48.9871042225666</v>
      </c>
      <c r="DG49" s="1">
        <v>0</v>
      </c>
      <c r="DH49" s="1">
        <v>2048010554.1498101</v>
      </c>
      <c r="DI49" s="1">
        <v>1472681541.9950099</v>
      </c>
      <c r="DJ49" s="1">
        <v>1208273095.3270199</v>
      </c>
      <c r="DK49" s="1">
        <v>535530562.29926902</v>
      </c>
      <c r="DL49" s="1">
        <v>318237933.25047803</v>
      </c>
      <c r="DM49" s="1">
        <v>208438213.43260199</v>
      </c>
      <c r="DN49" s="1">
        <v>79472242.883335695</v>
      </c>
      <c r="DO49" s="1">
        <v>74074816.901229396</v>
      </c>
      <c r="DP49" s="1">
        <v>26802060.8157981</v>
      </c>
      <c r="DQ49" s="1">
        <v>7993973.27232143</v>
      </c>
      <c r="DR49" s="1">
        <v>3330853.1119117001</v>
      </c>
      <c r="DS49" s="1">
        <v>0</v>
      </c>
      <c r="DT49" s="1">
        <v>4206355.4395541502</v>
      </c>
      <c r="DU49" s="1">
        <v>265962.04303227598</v>
      </c>
      <c r="DV49" s="1">
        <v>1140.4702332792899</v>
      </c>
      <c r="DW49" s="1">
        <v>0</v>
      </c>
    </row>
    <row r="50" spans="1:127" x14ac:dyDescent="0.25">
      <c r="A50" t="s">
        <v>77</v>
      </c>
      <c r="B50">
        <v>39.770000000000003</v>
      </c>
      <c r="C50">
        <v>-94.9</v>
      </c>
      <c r="D50">
        <v>-17.5</v>
      </c>
      <c r="E50">
        <v>-14.9</v>
      </c>
      <c r="F50">
        <v>33.9</v>
      </c>
      <c r="G50">
        <v>25.2</v>
      </c>
      <c r="H50">
        <v>32.700000000000003</v>
      </c>
      <c r="I50">
        <v>24.6</v>
      </c>
      <c r="J50">
        <v>96.999999999999801</v>
      </c>
      <c r="K50">
        <v>0</v>
      </c>
      <c r="L50">
        <v>14457340534.394899</v>
      </c>
      <c r="M50">
        <v>3278138662.6135898</v>
      </c>
      <c r="N50">
        <v>5119.0138800000004</v>
      </c>
      <c r="O50" s="75">
        <v>36202116754.441101</v>
      </c>
      <c r="P50">
        <f>45252645943.0511*(0.8/0.96)</f>
        <v>37710538285.875923</v>
      </c>
      <c r="Q50">
        <v>29308</v>
      </c>
      <c r="R50">
        <v>294414699.572918</v>
      </c>
      <c r="S50">
        <f>2276.25026158944*(0.8/0.96)</f>
        <v>1896.8752179912001</v>
      </c>
      <c r="T50">
        <v>56.963107416132402</v>
      </c>
      <c r="U50">
        <v>27.548640504709802</v>
      </c>
      <c r="V50">
        <v>46.052791826209003</v>
      </c>
      <c r="W50">
        <v>34.299441903169303</v>
      </c>
      <c r="X50">
        <v>12.6127725179817</v>
      </c>
      <c r="Y50">
        <v>21.4844985947034</v>
      </c>
      <c r="Z50">
        <v>28.778962392291501</v>
      </c>
      <c r="AA50">
        <v>23.119301627050199</v>
      </c>
      <c r="AB50">
        <v>24.2183636832603</v>
      </c>
      <c r="AC50">
        <v>17.015316711244601</v>
      </c>
      <c r="AD50">
        <v>10.565949659347901</v>
      </c>
      <c r="AE50">
        <v>9.4472593586465496</v>
      </c>
      <c r="AF50">
        <v>19.713156398368501</v>
      </c>
      <c r="AG50">
        <v>30.779654066359001</v>
      </c>
      <c r="AH50">
        <v>19.7064319396742</v>
      </c>
      <c r="AI50">
        <v>19.7064319396742</v>
      </c>
      <c r="AJ50">
        <v>96.499999999999801</v>
      </c>
      <c r="AK50">
        <v>23.9166666666666</v>
      </c>
      <c r="AL50">
        <v>14480084379.724501</v>
      </c>
      <c r="AM50">
        <v>2412327156.4274402</v>
      </c>
      <c r="AN50">
        <v>5119.0138800000004</v>
      </c>
      <c r="AO50" s="69">
        <v>31118983158.909302</v>
      </c>
      <c r="AP50">
        <v>10984708470.7237</v>
      </c>
      <c r="AQ50">
        <v>5119.0138800000004</v>
      </c>
      <c r="AR50" s="69">
        <v>3802270340.9513898</v>
      </c>
      <c r="AS50">
        <v>3802270340.9513898</v>
      </c>
      <c r="AT50">
        <v>7920.9026999999996</v>
      </c>
      <c r="AU50">
        <v>1706268409.6696899</v>
      </c>
      <c r="AV50">
        <v>2127.1379882650999</v>
      </c>
      <c r="AW50">
        <v>1042.5460912552901</v>
      </c>
      <c r="AX50">
        <v>1741.9034913196399</v>
      </c>
      <c r="AY50">
        <v>1315.63247349929</v>
      </c>
      <c r="AZ50">
        <v>482.52456237693798</v>
      </c>
      <c r="BA50">
        <v>810.91341911189602</v>
      </c>
      <c r="BB50">
        <v>1096.46141835392</v>
      </c>
      <c r="BC50">
        <v>876.85585531904701</v>
      </c>
      <c r="BD50">
        <v>920.72518738252302</v>
      </c>
      <c r="BE50">
        <v>650.37044363618804</v>
      </c>
      <c r="BF50">
        <v>398.25900934834101</v>
      </c>
      <c r="BG50">
        <v>360.44148468511003</v>
      </c>
      <c r="BH50">
        <v>756.01667172752695</v>
      </c>
      <c r="BI50">
        <v>1164.22064409625</v>
      </c>
      <c r="BJ50">
        <v>756.05570328840895</v>
      </c>
      <c r="BK50">
        <v>756.05570328840895</v>
      </c>
      <c r="BL50">
        <v>330.70879577749298</v>
      </c>
      <c r="BM50">
        <v>159.886528209228</v>
      </c>
      <c r="BN50">
        <v>266.75781065099102</v>
      </c>
      <c r="BO50">
        <v>197.92152197442701</v>
      </c>
      <c r="BP50">
        <v>72.915774401739895</v>
      </c>
      <c r="BQ50">
        <v>124.583877749724</v>
      </c>
      <c r="BR50">
        <v>166.16402190359699</v>
      </c>
      <c r="BS50">
        <v>133.59714405512099</v>
      </c>
      <c r="BT50">
        <v>140.55232995987399</v>
      </c>
      <c r="BU50">
        <v>98.912811411067295</v>
      </c>
      <c r="BV50">
        <v>61.307992316375497</v>
      </c>
      <c r="BW50">
        <v>54.541583994169201</v>
      </c>
      <c r="BX50">
        <v>114.065579188575</v>
      </c>
      <c r="BY50">
        <v>178.007833596273</v>
      </c>
      <c r="BZ50">
        <v>114.674885342284</v>
      </c>
      <c r="CA50">
        <v>114.674885342284</v>
      </c>
      <c r="CB50">
        <v>715.68947412853299</v>
      </c>
      <c r="CC50">
        <v>340.15178001106398</v>
      </c>
      <c r="CD50">
        <v>590.22787809338695</v>
      </c>
      <c r="CE50">
        <v>441.24399907110899</v>
      </c>
      <c r="CF50">
        <v>158.52575273532099</v>
      </c>
      <c r="CG50">
        <v>273.54852076320498</v>
      </c>
      <c r="CH50">
        <v>396.94640563624898</v>
      </c>
      <c r="CI50">
        <v>290.73853922615501</v>
      </c>
      <c r="CJ50">
        <v>297.45112041368202</v>
      </c>
      <c r="CK50">
        <v>198.11062026442201</v>
      </c>
      <c r="CL50">
        <v>125.996758142213</v>
      </c>
      <c r="CM50">
        <v>115.404644677607</v>
      </c>
      <c r="CN50">
        <v>248.968251008321</v>
      </c>
      <c r="CO50">
        <v>385.102050951119</v>
      </c>
      <c r="CP50">
        <v>226.726282472478</v>
      </c>
      <c r="CQ50">
        <v>226.726282472478</v>
      </c>
      <c r="CR50" s="1">
        <v>52767499.4030791</v>
      </c>
      <c r="CS50" s="1">
        <v>37131397.940721802</v>
      </c>
      <c r="CT50" s="1">
        <v>31841914.5076335</v>
      </c>
      <c r="CU50" s="1">
        <v>12811111.8433969</v>
      </c>
      <c r="CV50" s="1">
        <v>6884946.4683857197</v>
      </c>
      <c r="CW50" s="1">
        <v>4986322.22391323</v>
      </c>
      <c r="CX50" s="1">
        <v>1899140.6918158899</v>
      </c>
      <c r="CY50" s="1">
        <v>1907135.4987498601</v>
      </c>
      <c r="CZ50" s="1">
        <v>692144.35649376002</v>
      </c>
      <c r="DA50" s="1">
        <v>132698.026117895</v>
      </c>
      <c r="DB50" s="1">
        <v>67994.713833345202</v>
      </c>
      <c r="DC50" s="1">
        <v>0</v>
      </c>
      <c r="DD50" s="1">
        <v>86475.119197370193</v>
      </c>
      <c r="DE50" s="1">
        <v>6483.51371737517</v>
      </c>
      <c r="DF50" s="1">
        <v>0</v>
      </c>
      <c r="DG50" s="1">
        <v>0</v>
      </c>
      <c r="DH50" s="1">
        <v>2937171298.1967702</v>
      </c>
      <c r="DI50" s="1">
        <v>2005713193.81178</v>
      </c>
      <c r="DJ50" s="1">
        <v>1753715435.2123499</v>
      </c>
      <c r="DK50" s="1">
        <v>711384056.16361201</v>
      </c>
      <c r="DL50" s="1">
        <v>366184548.10057098</v>
      </c>
      <c r="DM50" s="1">
        <v>263825589.512353</v>
      </c>
      <c r="DN50" s="1">
        <v>101660847.662176</v>
      </c>
      <c r="DO50" s="1">
        <v>103221326.193137</v>
      </c>
      <c r="DP50" s="1">
        <v>40907276.5133387</v>
      </c>
      <c r="DQ50" s="1">
        <v>5792410.4528165096</v>
      </c>
      <c r="DR50" s="1">
        <v>3258292.9506062898</v>
      </c>
      <c r="DS50" s="1">
        <v>0</v>
      </c>
      <c r="DT50" s="1">
        <v>4143242.4655197999</v>
      </c>
      <c r="DU50" s="1">
        <v>283996.97137683601</v>
      </c>
      <c r="DV50" s="1">
        <v>0</v>
      </c>
      <c r="DW50" s="1">
        <v>0</v>
      </c>
    </row>
    <row r="51" spans="1:127" x14ac:dyDescent="0.25">
      <c r="A51" t="s">
        <v>78</v>
      </c>
      <c r="B51">
        <v>30.4</v>
      </c>
      <c r="C51">
        <v>-89.07</v>
      </c>
      <c r="D51">
        <v>-2</v>
      </c>
      <c r="E51">
        <v>0.2</v>
      </c>
      <c r="F51">
        <v>34</v>
      </c>
      <c r="G51">
        <v>25.7</v>
      </c>
      <c r="H51">
        <v>32.9</v>
      </c>
      <c r="I51">
        <v>25.5</v>
      </c>
      <c r="J51">
        <v>84.666666666666302</v>
      </c>
      <c r="K51">
        <v>0</v>
      </c>
      <c r="L51">
        <v>33403459301.798599</v>
      </c>
      <c r="M51">
        <v>7316924322.58916</v>
      </c>
      <c r="N51">
        <v>5599.7459799999997</v>
      </c>
      <c r="O51" s="75">
        <v>4680437465.63099</v>
      </c>
      <c r="P51">
        <f>5850546832.03873*(0.8/0.96)</f>
        <v>4875455693.3656082</v>
      </c>
      <c r="Q51">
        <v>29308</v>
      </c>
      <c r="R51">
        <v>42185617.379610799</v>
      </c>
      <c r="S51">
        <f>294.287957739063*(0.8/0.96)</f>
        <v>245.23996478255253</v>
      </c>
      <c r="T51">
        <v>5.0834869876773601</v>
      </c>
      <c r="U51">
        <v>3.55795672607647</v>
      </c>
      <c r="V51">
        <v>6.7096462575760301</v>
      </c>
      <c r="W51">
        <v>5.3247012516445604</v>
      </c>
      <c r="X51">
        <v>3.8240811262630401</v>
      </c>
      <c r="Y51">
        <v>2.6466663076329699</v>
      </c>
      <c r="Z51">
        <v>4.1658979046315903</v>
      </c>
      <c r="AA51">
        <v>3.2043187861081401</v>
      </c>
      <c r="AB51">
        <v>4.15083164323545</v>
      </c>
      <c r="AC51">
        <v>2.6922271982799901</v>
      </c>
      <c r="AD51">
        <v>1.7601870698686399</v>
      </c>
      <c r="AE51">
        <v>2.4092180641268901</v>
      </c>
      <c r="AF51">
        <v>4.0428885396729104</v>
      </c>
      <c r="AG51">
        <v>3.5470874092714602</v>
      </c>
      <c r="AH51">
        <v>1.54499756884879</v>
      </c>
      <c r="AI51">
        <v>1.54499756884879</v>
      </c>
      <c r="AJ51">
        <v>83.499999999999702</v>
      </c>
      <c r="AK51">
        <v>2.5833333333333299</v>
      </c>
      <c r="AL51">
        <v>33433967219.2374</v>
      </c>
      <c r="AM51">
        <v>5089715923.1104403</v>
      </c>
      <c r="AN51">
        <v>5599.7459799999997</v>
      </c>
      <c r="AO51" s="69">
        <v>4442978687.6012497</v>
      </c>
      <c r="AP51">
        <v>1259512045.4537599</v>
      </c>
      <c r="AQ51">
        <v>5599.7459799999997</v>
      </c>
      <c r="AR51" s="69">
        <v>67991965.344303995</v>
      </c>
      <c r="AS51">
        <v>67991965.344303995</v>
      </c>
      <c r="AT51">
        <v>4181.44625</v>
      </c>
      <c r="AU51">
        <v>226652828.83647799</v>
      </c>
      <c r="AV51">
        <v>153.16617238965901</v>
      </c>
      <c r="AW51">
        <v>107.58384594576501</v>
      </c>
      <c r="AX51">
        <v>210.33921877075699</v>
      </c>
      <c r="AY51">
        <v>162.55118402744401</v>
      </c>
      <c r="AZ51">
        <v>119.93040286110499</v>
      </c>
      <c r="BA51">
        <v>81.060209416646103</v>
      </c>
      <c r="BB51">
        <v>129.82567400911401</v>
      </c>
      <c r="BC51">
        <v>96.598906527307705</v>
      </c>
      <c r="BD51">
        <v>129.37079996361601</v>
      </c>
      <c r="BE51">
        <v>80.455605169572195</v>
      </c>
      <c r="BF51">
        <v>52.692505621799</v>
      </c>
      <c r="BG51">
        <v>73.286477402843005</v>
      </c>
      <c r="BH51">
        <v>122.21695238540801</v>
      </c>
      <c r="BI51">
        <v>109.614333590097</v>
      </c>
      <c r="BJ51">
        <v>46.7033129802915</v>
      </c>
      <c r="BK51">
        <v>46.7033129802915</v>
      </c>
      <c r="BL51">
        <v>27.395489465795301</v>
      </c>
      <c r="BM51">
        <v>19.149484593824798</v>
      </c>
      <c r="BN51">
        <v>36.0366484308392</v>
      </c>
      <c r="BO51">
        <v>28.598077920574401</v>
      </c>
      <c r="BP51">
        <v>20.545287096287499</v>
      </c>
      <c r="BQ51">
        <v>14.237587994494501</v>
      </c>
      <c r="BR51">
        <v>22.3898761150678</v>
      </c>
      <c r="BS51">
        <v>17.245647449592401</v>
      </c>
      <c r="BT51">
        <v>22.278511567251599</v>
      </c>
      <c r="BU51">
        <v>14.488454903406</v>
      </c>
      <c r="BV51">
        <v>9.49185904328289</v>
      </c>
      <c r="BW51">
        <v>12.934823200674799</v>
      </c>
      <c r="BX51">
        <v>21.741204655331199</v>
      </c>
      <c r="BY51">
        <v>18.995544708172002</v>
      </c>
      <c r="BZ51">
        <v>8.3334622799883196</v>
      </c>
      <c r="CA51">
        <v>8.3334622799883196</v>
      </c>
      <c r="CB51">
        <v>7.0721384969119603</v>
      </c>
      <c r="CC51">
        <v>5.5768696356111702</v>
      </c>
      <c r="CD51">
        <v>10.32919934553</v>
      </c>
      <c r="CE51">
        <v>9.1941932628531404</v>
      </c>
      <c r="CF51">
        <v>5.7642878841539797</v>
      </c>
      <c r="CG51">
        <v>4.67915314831082</v>
      </c>
      <c r="CH51">
        <v>6.5861571790214501</v>
      </c>
      <c r="CI51">
        <v>5.7822816691308896</v>
      </c>
      <c r="CJ51">
        <v>6.5620203147781</v>
      </c>
      <c r="CK51">
        <v>4.7366410988664498</v>
      </c>
      <c r="CL51">
        <v>3.2571771652794101</v>
      </c>
      <c r="CM51">
        <v>4.62651801275232</v>
      </c>
      <c r="CN51">
        <v>6.52494857129573</v>
      </c>
      <c r="CO51">
        <v>5.9019360581419598</v>
      </c>
      <c r="CP51">
        <v>2.2750911415665902</v>
      </c>
      <c r="CQ51">
        <v>2.2750911415665902</v>
      </c>
      <c r="CR51" s="1">
        <v>57418632.411968097</v>
      </c>
      <c r="CS51" s="1">
        <v>56047220.3800015</v>
      </c>
      <c r="CT51" s="1">
        <v>53409190.8919857</v>
      </c>
      <c r="CU51" s="1">
        <v>27784782.279438999</v>
      </c>
      <c r="CV51" s="1">
        <v>24052033.221941199</v>
      </c>
      <c r="CW51" s="1">
        <v>17328403.079199798</v>
      </c>
      <c r="CX51" s="1">
        <v>18301264.4628448</v>
      </c>
      <c r="CY51" s="1">
        <v>18013547.223106101</v>
      </c>
      <c r="CZ51" s="1">
        <v>14594929.1076029</v>
      </c>
      <c r="DA51" s="1">
        <v>18641155.116592001</v>
      </c>
      <c r="DB51" s="1">
        <v>18371222.092033301</v>
      </c>
      <c r="DC51" s="1">
        <v>15224799.0025685</v>
      </c>
      <c r="DD51" s="1">
        <v>12999981.7884674</v>
      </c>
      <c r="DE51" s="1">
        <v>39526958.674243502</v>
      </c>
      <c r="DF51" s="1">
        <v>35612940.338240698</v>
      </c>
      <c r="DG51" s="1">
        <v>35869742.527469702</v>
      </c>
      <c r="DH51" s="1">
        <v>2115898153.09744</v>
      </c>
      <c r="DI51" s="1">
        <v>2066448168.0436001</v>
      </c>
      <c r="DJ51" s="1">
        <v>1966159105.5619199</v>
      </c>
      <c r="DK51" s="1">
        <v>1037139160.8106101</v>
      </c>
      <c r="DL51" s="1">
        <v>902018326.46229005</v>
      </c>
      <c r="DM51" s="1">
        <v>658652002.38704395</v>
      </c>
      <c r="DN51" s="1">
        <v>694690257.26979995</v>
      </c>
      <c r="DO51" s="1">
        <v>684871764.39335895</v>
      </c>
      <c r="DP51" s="1">
        <v>559440180.13493097</v>
      </c>
      <c r="DQ51" s="1">
        <v>729287102.40273702</v>
      </c>
      <c r="DR51" s="1">
        <v>715615081.37693703</v>
      </c>
      <c r="DS51" s="1">
        <v>588075110.67184401</v>
      </c>
      <c r="DT51" s="1">
        <v>500714612.33388197</v>
      </c>
      <c r="DU51" s="1">
        <v>1530370864.3178999</v>
      </c>
      <c r="DV51" s="1">
        <v>1381307652.21697</v>
      </c>
      <c r="DW51" s="1">
        <v>1394848561.8943601</v>
      </c>
    </row>
    <row r="52" spans="1:127" x14ac:dyDescent="0.25">
      <c r="A52" t="s">
        <v>79</v>
      </c>
      <c r="B52">
        <v>32.32</v>
      </c>
      <c r="C52">
        <v>-90.08</v>
      </c>
      <c r="D52">
        <v>-4.9000000000000004</v>
      </c>
      <c r="E52">
        <v>-3</v>
      </c>
      <c r="F52">
        <v>35.799999999999997</v>
      </c>
      <c r="G52">
        <v>24.7</v>
      </c>
      <c r="H52">
        <v>34.4</v>
      </c>
      <c r="I52">
        <v>24.6</v>
      </c>
      <c r="J52">
        <v>92.916666666666302</v>
      </c>
      <c r="K52">
        <v>0</v>
      </c>
      <c r="L52">
        <v>25284535642.621899</v>
      </c>
      <c r="M52">
        <v>5738819180.82197</v>
      </c>
      <c r="N52">
        <v>5526.7588299999998</v>
      </c>
      <c r="O52" s="75">
        <v>11977639761.521601</v>
      </c>
      <c r="P52">
        <f>14972049701.902*(0.8/0.96)</f>
        <v>12476708084.918335</v>
      </c>
      <c r="Q52">
        <v>29308</v>
      </c>
      <c r="R52">
        <v>110504826.368729</v>
      </c>
      <c r="S52">
        <f>753.108052363902*(0.8/0.96)</f>
        <v>627.59004363658494</v>
      </c>
      <c r="T52">
        <v>13.4009177475304</v>
      </c>
      <c r="U52">
        <v>9.4846077235575397</v>
      </c>
      <c r="V52">
        <v>17.474046544529799</v>
      </c>
      <c r="W52">
        <v>14.2535606301927</v>
      </c>
      <c r="X52">
        <v>10.3352931076292</v>
      </c>
      <c r="Y52">
        <v>7.5354066841413196</v>
      </c>
      <c r="Z52">
        <v>10.9285589909901</v>
      </c>
      <c r="AA52">
        <v>8.3279398436222305</v>
      </c>
      <c r="AB52">
        <v>10.4280415484955</v>
      </c>
      <c r="AC52">
        <v>7.0417242875753798</v>
      </c>
      <c r="AD52">
        <v>4.68571971582874</v>
      </c>
      <c r="AE52">
        <v>6.57970175073251</v>
      </c>
      <c r="AF52">
        <v>10.538660540754501</v>
      </c>
      <c r="AG52">
        <v>8.9920051062108808</v>
      </c>
      <c r="AH52">
        <v>4.16276313350075</v>
      </c>
      <c r="AI52">
        <v>4.16276313350075</v>
      </c>
      <c r="AJ52">
        <v>92.083333333333002</v>
      </c>
      <c r="AK52">
        <v>5.9166666666666599</v>
      </c>
      <c r="AL52">
        <v>25313334255.444302</v>
      </c>
      <c r="AM52">
        <v>4107419874.7834601</v>
      </c>
      <c r="AN52">
        <v>5526.7588299999998</v>
      </c>
      <c r="AO52" s="69">
        <v>11360512420.4769</v>
      </c>
      <c r="AP52">
        <v>3356992836.9205198</v>
      </c>
      <c r="AQ52">
        <v>5526.7588299999998</v>
      </c>
      <c r="AR52" s="69">
        <v>180085450.87092301</v>
      </c>
      <c r="AS52">
        <v>180085450.87092301</v>
      </c>
      <c r="AT52">
        <v>4791.6113100000002</v>
      </c>
      <c r="AU52">
        <v>595266569.52596998</v>
      </c>
      <c r="AV52">
        <v>411.21541069688601</v>
      </c>
      <c r="AW52">
        <v>290.55854334813699</v>
      </c>
      <c r="AX52">
        <v>550.58215094609398</v>
      </c>
      <c r="AY52">
        <v>447.77799926159798</v>
      </c>
      <c r="AZ52">
        <v>326.85621812941901</v>
      </c>
      <c r="BA52">
        <v>236.709609871938</v>
      </c>
      <c r="BB52">
        <v>341.507440484509</v>
      </c>
      <c r="BC52">
        <v>258.03219941447799</v>
      </c>
      <c r="BD52">
        <v>323.53516879012699</v>
      </c>
      <c r="BE52">
        <v>220.161393306034</v>
      </c>
      <c r="BF52">
        <v>144.669446965703</v>
      </c>
      <c r="BG52">
        <v>208.01127225874501</v>
      </c>
      <c r="BH52">
        <v>322.70416889948899</v>
      </c>
      <c r="BI52">
        <v>281.35469540544699</v>
      </c>
      <c r="BJ52">
        <v>130.01373437635999</v>
      </c>
      <c r="BK52">
        <v>130.01373437635999</v>
      </c>
      <c r="BL52">
        <v>72.046339812626101</v>
      </c>
      <c r="BM52">
        <v>51.113470918386597</v>
      </c>
      <c r="BN52">
        <v>94.107757396623299</v>
      </c>
      <c r="BO52">
        <v>76.460923501514898</v>
      </c>
      <c r="BP52">
        <v>55.473550172387803</v>
      </c>
      <c r="BQ52">
        <v>40.538947234598602</v>
      </c>
      <c r="BR52">
        <v>58.774594747541997</v>
      </c>
      <c r="BS52">
        <v>44.866738375968801</v>
      </c>
      <c r="BT52">
        <v>56.095677439662303</v>
      </c>
      <c r="BU52">
        <v>37.677866163338201</v>
      </c>
      <c r="BV52">
        <v>25.274872282759201</v>
      </c>
      <c r="BW52">
        <v>35.240809749419597</v>
      </c>
      <c r="BX52">
        <v>56.7566765099915</v>
      </c>
      <c r="BY52">
        <v>48.119103762427798</v>
      </c>
      <c r="BZ52">
        <v>22.354106967690502</v>
      </c>
      <c r="CA52">
        <v>22.354106967690502</v>
      </c>
      <c r="CB52">
        <v>19.776088918767499</v>
      </c>
      <c r="CC52">
        <v>14.44859778464</v>
      </c>
      <c r="CD52">
        <v>28.0689173793496</v>
      </c>
      <c r="CE52">
        <v>24.7599245952266</v>
      </c>
      <c r="CF52">
        <v>14.9732057245487</v>
      </c>
      <c r="CG52">
        <v>13.3212919877083</v>
      </c>
      <c r="CH52">
        <v>17.647155589024699</v>
      </c>
      <c r="CI52">
        <v>13.573722054933601</v>
      </c>
      <c r="CJ52">
        <v>17.7594461008261</v>
      </c>
      <c r="CK52">
        <v>13.4309852473395</v>
      </c>
      <c r="CL52">
        <v>8.2315277274600493</v>
      </c>
      <c r="CM52">
        <v>12.4560661856201</v>
      </c>
      <c r="CN52">
        <v>17.778395006857298</v>
      </c>
      <c r="CO52">
        <v>15.495632282131499</v>
      </c>
      <c r="CP52">
        <v>6.2007896450262701</v>
      </c>
      <c r="CQ52">
        <v>6.2007896450262701</v>
      </c>
      <c r="CR52" s="1">
        <v>148474613.60486799</v>
      </c>
      <c r="CS52" s="1">
        <v>143184163.05992901</v>
      </c>
      <c r="CT52" s="1">
        <v>134348825.564336</v>
      </c>
      <c r="CU52" s="1">
        <v>72863665.689706996</v>
      </c>
      <c r="CV52" s="1">
        <v>58002170.701580599</v>
      </c>
      <c r="CW52" s="1">
        <v>48412004.325451598</v>
      </c>
      <c r="CX52" s="1">
        <v>52582101.6315061</v>
      </c>
      <c r="CY52" s="1">
        <v>46533284.899174802</v>
      </c>
      <c r="CZ52" s="1">
        <v>42797186.636470199</v>
      </c>
      <c r="DA52" s="1">
        <v>47127745.274001002</v>
      </c>
      <c r="DB52" s="1">
        <v>48026772.366673999</v>
      </c>
      <c r="DC52" s="1">
        <v>38204706.202021897</v>
      </c>
      <c r="DD52" s="1">
        <v>35569891.942459099</v>
      </c>
      <c r="DE52" s="1">
        <v>102740324.496978</v>
      </c>
      <c r="DF52" s="1">
        <v>88891198.028517395</v>
      </c>
      <c r="DG52" s="1">
        <v>93632318.941981107</v>
      </c>
      <c r="DH52" s="1">
        <v>5547698133.6019697</v>
      </c>
      <c r="DI52" s="1">
        <v>5347861605.4136105</v>
      </c>
      <c r="DJ52" s="1">
        <v>5034835087.4176502</v>
      </c>
      <c r="DK52" s="1">
        <v>2747465712.1034498</v>
      </c>
      <c r="DL52" s="1">
        <v>2201174326.8539801</v>
      </c>
      <c r="DM52" s="1">
        <v>1893240883.8859601</v>
      </c>
      <c r="DN52" s="1">
        <v>2069380523.33269</v>
      </c>
      <c r="DO52" s="1">
        <v>1815575739.2943201</v>
      </c>
      <c r="DP52" s="1">
        <v>1668236070.2402599</v>
      </c>
      <c r="DQ52" s="1">
        <v>1837345766.26776</v>
      </c>
      <c r="DR52" s="1">
        <v>1898868771.77475</v>
      </c>
      <c r="DS52" s="1">
        <v>1490821664.32744</v>
      </c>
      <c r="DT52" s="1">
        <v>1396385084.26105</v>
      </c>
      <c r="DU52" s="1">
        <v>4009788073.0402899</v>
      </c>
      <c r="DV52" s="1">
        <v>3460736650.3804202</v>
      </c>
      <c r="DW52" s="1">
        <v>3650672351.21208</v>
      </c>
    </row>
    <row r="53" spans="1:127" x14ac:dyDescent="0.25">
      <c r="A53" t="s">
        <v>80</v>
      </c>
      <c r="B53">
        <v>45.8</v>
      </c>
      <c r="C53">
        <v>-108.55</v>
      </c>
      <c r="D53">
        <v>-23</v>
      </c>
      <c r="E53">
        <v>-19.5</v>
      </c>
      <c r="F53">
        <v>34.9</v>
      </c>
      <c r="G53">
        <v>17.2</v>
      </c>
      <c r="H53">
        <v>32.9</v>
      </c>
      <c r="I53">
        <v>16.600000000000001</v>
      </c>
      <c r="J53">
        <v>14.0833333333333</v>
      </c>
      <c r="K53">
        <v>0</v>
      </c>
      <c r="L53">
        <v>6981324777.4443903</v>
      </c>
      <c r="M53">
        <v>1704122078.33867</v>
      </c>
      <c r="N53">
        <v>4996.0742700000001</v>
      </c>
      <c r="O53" s="75">
        <v>54536790106.809998</v>
      </c>
      <c r="P53">
        <f>68170987633.5126*(0.8/0.96)</f>
        <v>56809156361.260506</v>
      </c>
      <c r="Q53">
        <v>29308</v>
      </c>
      <c r="R53">
        <v>595881294.51923203</v>
      </c>
      <c r="S53">
        <f>3429.06420607702*(0.8/0.96)</f>
        <v>2857.5535050641834</v>
      </c>
      <c r="T53">
        <v>82.813773058502505</v>
      </c>
      <c r="U53">
        <v>15.405215569808201</v>
      </c>
      <c r="V53">
        <v>83.315055010401906</v>
      </c>
      <c r="W53">
        <v>33.941956776542597</v>
      </c>
      <c r="X53">
        <v>21.949200488549401</v>
      </c>
      <c r="Y53">
        <v>50.248636357041903</v>
      </c>
      <c r="Z53">
        <v>54.599003223075101</v>
      </c>
      <c r="AA53">
        <v>62.508499188329097</v>
      </c>
      <c r="AB53">
        <v>26.956679872864001</v>
      </c>
      <c r="AC53">
        <v>24.048114646032499</v>
      </c>
      <c r="AD53">
        <v>22.4992842443169</v>
      </c>
      <c r="AE53">
        <v>23.218724396781202</v>
      </c>
      <c r="AF53">
        <v>7.7723097520212097</v>
      </c>
      <c r="AG53">
        <v>35.625208771481603</v>
      </c>
      <c r="AH53">
        <v>34.545023183085199</v>
      </c>
      <c r="AI53">
        <v>34.5462364346822</v>
      </c>
      <c r="AJ53">
        <v>14.0833333333333</v>
      </c>
      <c r="AK53">
        <v>22.833333333333201</v>
      </c>
      <c r="AL53">
        <v>6983089220.4793196</v>
      </c>
      <c r="AM53">
        <v>1156246200.9331</v>
      </c>
      <c r="AN53">
        <v>4996.0742700000001</v>
      </c>
      <c r="AO53" s="69">
        <v>40568312102.997704</v>
      </c>
      <c r="AP53">
        <v>14556049252.1985</v>
      </c>
      <c r="AQ53">
        <v>4996.0742700000001</v>
      </c>
      <c r="AR53" s="69">
        <v>11342144543.7959</v>
      </c>
      <c r="AS53">
        <v>11342144543.7959</v>
      </c>
      <c r="AT53">
        <v>9618.6826500000006</v>
      </c>
      <c r="AU53">
        <v>3361337949.88166</v>
      </c>
      <c r="AV53">
        <v>1993.41149986094</v>
      </c>
      <c r="AW53">
        <v>391.52259648998</v>
      </c>
      <c r="AX53">
        <v>2028.2247589886599</v>
      </c>
      <c r="AY53">
        <v>844.24839415332201</v>
      </c>
      <c r="AZ53">
        <v>532.28020734323604</v>
      </c>
      <c r="BA53">
        <v>1233.76360859433</v>
      </c>
      <c r="BB53">
        <v>1337.1107894791</v>
      </c>
      <c r="BC53">
        <v>1513.8435720316199</v>
      </c>
      <c r="BD53">
        <v>657.23776590201999</v>
      </c>
      <c r="BE53">
        <v>572.90781999017895</v>
      </c>
      <c r="BF53">
        <v>537.63406543656299</v>
      </c>
      <c r="BG53">
        <v>563.465073199725</v>
      </c>
      <c r="BH53">
        <v>189.27569786256501</v>
      </c>
      <c r="BI53">
        <v>837.04482944784797</v>
      </c>
      <c r="BJ53">
        <v>848.48448714850201</v>
      </c>
      <c r="BK53">
        <v>848.517920548701</v>
      </c>
      <c r="BL53">
        <v>459.70090925641102</v>
      </c>
      <c r="BM53">
        <v>89.052659637345897</v>
      </c>
      <c r="BN53">
        <v>469.02433142276999</v>
      </c>
      <c r="BO53">
        <v>193.81441485052301</v>
      </c>
      <c r="BP53">
        <v>121.900937982244</v>
      </c>
      <c r="BQ53">
        <v>283.12272300759599</v>
      </c>
      <c r="BR53">
        <v>307.15819537761701</v>
      </c>
      <c r="BS53">
        <v>348.48311795856699</v>
      </c>
      <c r="BT53">
        <v>150.90023893434599</v>
      </c>
      <c r="BU53">
        <v>132.26349926930999</v>
      </c>
      <c r="BV53">
        <v>125.180659114058</v>
      </c>
      <c r="BW53">
        <v>129.98734669244899</v>
      </c>
      <c r="BX53">
        <v>43.196057011793002</v>
      </c>
      <c r="BY53">
        <v>194.60453255514</v>
      </c>
      <c r="BZ53">
        <v>193.84100437364799</v>
      </c>
      <c r="CA53">
        <v>193.84846091680399</v>
      </c>
      <c r="CB53">
        <v>1828.1460178284101</v>
      </c>
      <c r="CC53">
        <v>227.546512702184</v>
      </c>
      <c r="CD53">
        <v>1651.89242297739</v>
      </c>
      <c r="CE53">
        <v>581.46482655433397</v>
      </c>
      <c r="CF53">
        <v>486.701338569965</v>
      </c>
      <c r="CG53">
        <v>1003.14249292284</v>
      </c>
      <c r="CH53">
        <v>1096.2440363858</v>
      </c>
      <c r="CI53">
        <v>1366.3234369188999</v>
      </c>
      <c r="CJ53">
        <v>560.26230035173103</v>
      </c>
      <c r="CK53">
        <v>592.010322982709</v>
      </c>
      <c r="CL53">
        <v>483.243227005324</v>
      </c>
      <c r="CM53">
        <v>483.49627284750801</v>
      </c>
      <c r="CN53">
        <v>172.68180841764499</v>
      </c>
      <c r="CO53">
        <v>895.96346203368398</v>
      </c>
      <c r="CP53">
        <v>706.61901850999595</v>
      </c>
      <c r="CQ53">
        <v>706.61494207129397</v>
      </c>
      <c r="CR53" s="1">
        <v>679584.89642338001</v>
      </c>
      <c r="CS53" s="1">
        <v>40554.569772533599</v>
      </c>
      <c r="CT53" s="1">
        <v>15746.0089324357</v>
      </c>
      <c r="CU53" s="1">
        <v>13871.9448947157</v>
      </c>
      <c r="CV53" s="1">
        <v>45287.000211001701</v>
      </c>
      <c r="CW53" s="1">
        <v>98188.781671056204</v>
      </c>
      <c r="CX53" s="1">
        <v>177416.660348579</v>
      </c>
      <c r="CY53" s="1">
        <v>70347.510502158693</v>
      </c>
      <c r="CZ53" s="1">
        <v>17679.057851293001</v>
      </c>
      <c r="DA53" s="1">
        <v>2518.97516456938</v>
      </c>
      <c r="DB53" s="1">
        <v>1738.21793531554</v>
      </c>
      <c r="DC53" s="1">
        <v>0</v>
      </c>
      <c r="DD53" s="1">
        <v>574.02293499961502</v>
      </c>
      <c r="DE53" s="1">
        <v>367.78572088098298</v>
      </c>
      <c r="DF53" s="1">
        <v>331.83712295177003</v>
      </c>
      <c r="DG53" s="1">
        <v>0</v>
      </c>
      <c r="DH53" s="1">
        <v>32386079.7681145</v>
      </c>
      <c r="DI53" s="1">
        <v>1775379.8057953201</v>
      </c>
      <c r="DJ53" s="1">
        <v>602580.01622769202</v>
      </c>
      <c r="DK53" s="1">
        <v>721194.73139691597</v>
      </c>
      <c r="DL53" s="1">
        <v>2725700.7609319398</v>
      </c>
      <c r="DM53" s="1">
        <v>3011629.1421902999</v>
      </c>
      <c r="DN53" s="1">
        <v>5563045.9135985496</v>
      </c>
      <c r="DO53" s="1">
        <v>2076149.4709504901</v>
      </c>
      <c r="DP53" s="1">
        <v>456373.618528764</v>
      </c>
      <c r="DQ53" s="1">
        <v>86428.434398733298</v>
      </c>
      <c r="DR53" s="1">
        <v>52552.796597050699</v>
      </c>
      <c r="DS53" s="1">
        <v>0</v>
      </c>
      <c r="DT53" s="1">
        <v>14869.7023944095</v>
      </c>
      <c r="DU53" s="1">
        <v>9516.5319037897807</v>
      </c>
      <c r="DV53" s="1">
        <v>8581.9713208915891</v>
      </c>
      <c r="DW53" s="1">
        <v>0</v>
      </c>
    </row>
    <row r="54" spans="1:127" x14ac:dyDescent="0.25">
      <c r="A54" t="s">
        <v>81</v>
      </c>
      <c r="B54">
        <v>35.22</v>
      </c>
      <c r="C54">
        <v>-80.95</v>
      </c>
      <c r="D54">
        <v>-6.1</v>
      </c>
      <c r="E54">
        <v>-3.9</v>
      </c>
      <c r="F54">
        <v>34.6</v>
      </c>
      <c r="G54">
        <v>23.6</v>
      </c>
      <c r="H54">
        <v>33.299999999999997</v>
      </c>
      <c r="I54">
        <v>23.3</v>
      </c>
      <c r="J54">
        <v>71.1666666666666</v>
      </c>
      <c r="K54">
        <v>0</v>
      </c>
      <c r="L54">
        <v>19340119693.9547</v>
      </c>
      <c r="M54">
        <v>4341396576.9793501</v>
      </c>
      <c r="N54">
        <v>5339.6141799999996</v>
      </c>
      <c r="O54" s="75">
        <v>18713933009.364799</v>
      </c>
      <c r="P54">
        <f>23392416261.706*(0.8/0.96)</f>
        <v>19493680218.088337</v>
      </c>
      <c r="Q54">
        <v>29308</v>
      </c>
      <c r="R54">
        <v>173998556.27626699</v>
      </c>
      <c r="S54">
        <f>1176.66033720828*(0.8/0.96)</f>
        <v>980.55028100690004</v>
      </c>
      <c r="T54">
        <v>18.632452835275</v>
      </c>
      <c r="U54">
        <v>18.770553864861402</v>
      </c>
      <c r="V54">
        <v>21.140493922947499</v>
      </c>
      <c r="W54">
        <v>19.2022573083648</v>
      </c>
      <c r="X54">
        <v>4.5712702040373303</v>
      </c>
      <c r="Y54">
        <v>13.1073465631862</v>
      </c>
      <c r="Z54">
        <v>11.5148833390635</v>
      </c>
      <c r="AA54">
        <v>16.8904515599014</v>
      </c>
      <c r="AB54">
        <v>13.626640387154801</v>
      </c>
      <c r="AC54">
        <v>14.699029324847199</v>
      </c>
      <c r="AD54">
        <v>6.1119623265208602</v>
      </c>
      <c r="AE54">
        <v>9.8508666061618708</v>
      </c>
      <c r="AF54">
        <v>8.5318252329493607</v>
      </c>
      <c r="AG54">
        <v>8.3320517862796493</v>
      </c>
      <c r="AH54">
        <v>5.5990874850402204</v>
      </c>
      <c r="AI54">
        <v>5.5990874850402204</v>
      </c>
      <c r="AJ54">
        <v>70.749999999999901</v>
      </c>
      <c r="AK54">
        <v>8.7499999999999893</v>
      </c>
      <c r="AL54">
        <v>19371688606.977402</v>
      </c>
      <c r="AM54">
        <v>3028611619.0997701</v>
      </c>
      <c r="AN54">
        <v>5339.6141799999996</v>
      </c>
      <c r="AO54" s="69">
        <v>17655452471.902302</v>
      </c>
      <c r="AP54">
        <v>5027591465.2123899</v>
      </c>
      <c r="AQ54">
        <v>5339.6141799999996</v>
      </c>
      <c r="AR54" s="69">
        <v>333544662.48435998</v>
      </c>
      <c r="AS54">
        <v>333544662.48435998</v>
      </c>
      <c r="AT54">
        <v>5316.6440000000002</v>
      </c>
      <c r="AU54">
        <v>974754406.708444</v>
      </c>
      <c r="AV54">
        <v>539.92155962490904</v>
      </c>
      <c r="AW54">
        <v>549.09557026351501</v>
      </c>
      <c r="AX54">
        <v>624.65663699397896</v>
      </c>
      <c r="AY54">
        <v>572.52823182152395</v>
      </c>
      <c r="AZ54">
        <v>134.01923741038701</v>
      </c>
      <c r="BA54">
        <v>390.85054965525501</v>
      </c>
      <c r="BB54">
        <v>333.75824850295902</v>
      </c>
      <c r="BC54">
        <v>498.71779246413098</v>
      </c>
      <c r="BD54">
        <v>404.33957942471</v>
      </c>
      <c r="BE54">
        <v>427.10237500315401</v>
      </c>
      <c r="BF54">
        <v>183.24490899196201</v>
      </c>
      <c r="BG54">
        <v>290.86389932421503</v>
      </c>
      <c r="BH54">
        <v>251.72852427241099</v>
      </c>
      <c r="BI54">
        <v>245.41260731296501</v>
      </c>
      <c r="BJ54">
        <v>166.18346265001199</v>
      </c>
      <c r="BK54">
        <v>166.18346265001199</v>
      </c>
      <c r="BL54">
        <v>104.186581655422</v>
      </c>
      <c r="BM54">
        <v>105.04235253934</v>
      </c>
      <c r="BN54">
        <v>118.088330761516</v>
      </c>
      <c r="BO54">
        <v>107.00890858734</v>
      </c>
      <c r="BP54">
        <v>25.542057598442099</v>
      </c>
      <c r="BQ54">
        <v>73.041445848778594</v>
      </c>
      <c r="BR54">
        <v>64.350092528480005</v>
      </c>
      <c r="BS54">
        <v>94.430013777119001</v>
      </c>
      <c r="BT54">
        <v>76.111774575227301</v>
      </c>
      <c r="BU54">
        <v>82.026509769803496</v>
      </c>
      <c r="BV54">
        <v>34.010993775821902</v>
      </c>
      <c r="BW54">
        <v>55.065590849499898</v>
      </c>
      <c r="BX54">
        <v>47.6408048744551</v>
      </c>
      <c r="BY54">
        <v>46.4860946055177</v>
      </c>
      <c r="BZ54">
        <v>31.1903383342636</v>
      </c>
      <c r="CA54">
        <v>31.1903383342636</v>
      </c>
      <c r="CB54">
        <v>37.252135298232602</v>
      </c>
      <c r="CC54">
        <v>39.5286888291132</v>
      </c>
      <c r="CD54">
        <v>43.141765936960702</v>
      </c>
      <c r="CE54">
        <v>41.820673648388201</v>
      </c>
      <c r="CF54">
        <v>11.0445417230905</v>
      </c>
      <c r="CG54">
        <v>27.0177306194411</v>
      </c>
      <c r="CH54">
        <v>23.592260410684901</v>
      </c>
      <c r="CI54">
        <v>34.6667240731147</v>
      </c>
      <c r="CJ54">
        <v>29.504466859953599</v>
      </c>
      <c r="CK54">
        <v>29.0208575675966</v>
      </c>
      <c r="CL54">
        <v>12.0737271646398</v>
      </c>
      <c r="CM54">
        <v>21.4445933791879</v>
      </c>
      <c r="CN54">
        <v>18.379309557728199</v>
      </c>
      <c r="CO54">
        <v>18.1397085849134</v>
      </c>
      <c r="CP54">
        <v>11.961164366232399</v>
      </c>
      <c r="CQ54">
        <v>11.961164366232399</v>
      </c>
      <c r="CR54" s="1">
        <v>100108436.260345</v>
      </c>
      <c r="CS54" s="1">
        <v>98415739.384509996</v>
      </c>
      <c r="CT54" s="1">
        <v>94316129.796082705</v>
      </c>
      <c r="CU54" s="1">
        <v>83145094.723234996</v>
      </c>
      <c r="CV54" s="1">
        <v>77972539.673938602</v>
      </c>
      <c r="CW54" s="1">
        <v>57379498.795534998</v>
      </c>
      <c r="CX54" s="1">
        <v>57058750.970534399</v>
      </c>
      <c r="CY54" s="1">
        <v>49346179.118219599</v>
      </c>
      <c r="CZ54" s="1">
        <v>46347001.447332703</v>
      </c>
      <c r="DA54" s="1">
        <v>49977302.058662698</v>
      </c>
      <c r="DB54" s="1">
        <v>44000782.712806799</v>
      </c>
      <c r="DC54" s="1">
        <v>38653493.350744702</v>
      </c>
      <c r="DD54" s="1">
        <v>41455657.258325703</v>
      </c>
      <c r="DE54" s="1">
        <v>51933274.793283097</v>
      </c>
      <c r="DF54" s="1">
        <v>62522974.126896799</v>
      </c>
      <c r="DG54" s="1">
        <v>63058997.268603697</v>
      </c>
      <c r="DH54" s="1">
        <v>3650724966.2838001</v>
      </c>
      <c r="DI54" s="1">
        <v>3602578663.3333602</v>
      </c>
      <c r="DJ54" s="1">
        <v>3453032392.9061899</v>
      </c>
      <c r="DK54" s="1">
        <v>3046953503.3319302</v>
      </c>
      <c r="DL54" s="1">
        <v>2869132507.18187</v>
      </c>
      <c r="DM54" s="1">
        <v>2119758002.32989</v>
      </c>
      <c r="DN54" s="1">
        <v>2116717612.72525</v>
      </c>
      <c r="DO54" s="1">
        <v>1839331298.8666601</v>
      </c>
      <c r="DP54" s="1">
        <v>1731198014.6619501</v>
      </c>
      <c r="DQ54" s="1">
        <v>1874925529.1660399</v>
      </c>
      <c r="DR54" s="1">
        <v>1642912975.1866</v>
      </c>
      <c r="DS54" s="1">
        <v>1464310795.99248</v>
      </c>
      <c r="DT54" s="1">
        <v>1572769246.64185</v>
      </c>
      <c r="DU54" s="1">
        <v>1976791276.19788</v>
      </c>
      <c r="DV54" s="1">
        <v>2374856811.52175</v>
      </c>
      <c r="DW54" s="1">
        <v>2412008308.6261001</v>
      </c>
    </row>
    <row r="55" spans="1:127" x14ac:dyDescent="0.25">
      <c r="A55" t="s">
        <v>82</v>
      </c>
      <c r="B55">
        <v>35.869999999999997</v>
      </c>
      <c r="C55">
        <v>-78.78</v>
      </c>
      <c r="D55">
        <v>-6.9</v>
      </c>
      <c r="E55">
        <v>-4.5999999999999996</v>
      </c>
      <c r="F55">
        <v>34.9</v>
      </c>
      <c r="G55">
        <v>24.3</v>
      </c>
      <c r="H55">
        <v>33.5</v>
      </c>
      <c r="I55">
        <v>24</v>
      </c>
      <c r="J55">
        <v>50.666666666666799</v>
      </c>
      <c r="K55">
        <v>0</v>
      </c>
      <c r="L55">
        <v>20327760224.5368</v>
      </c>
      <c r="M55">
        <v>4476061485.9979601</v>
      </c>
      <c r="N55">
        <v>5418.6270100000002</v>
      </c>
      <c r="O55" s="75">
        <v>21772878600.779099</v>
      </c>
      <c r="P55">
        <f>27216098250.974*(0.8/0.96)</f>
        <v>22680081875.811668</v>
      </c>
      <c r="Q55">
        <v>29308</v>
      </c>
      <c r="R55">
        <v>198647444.761518</v>
      </c>
      <c r="S55">
        <f>1368.99510453347*(0.8/0.96)</f>
        <v>1140.8292537778918</v>
      </c>
      <c r="T55">
        <v>21.350258119584598</v>
      </c>
      <c r="U55">
        <v>21.3615445977718</v>
      </c>
      <c r="V55">
        <v>24.6951064796047</v>
      </c>
      <c r="W55">
        <v>22.470396914595899</v>
      </c>
      <c r="X55">
        <v>5.2236008387723603</v>
      </c>
      <c r="Y55">
        <v>15.0581947326746</v>
      </c>
      <c r="Z55">
        <v>13.311915905486501</v>
      </c>
      <c r="AA55">
        <v>19.574765170255102</v>
      </c>
      <c r="AB55">
        <v>15.5835443142365</v>
      </c>
      <c r="AC55">
        <v>16.9406781073675</v>
      </c>
      <c r="AD55">
        <v>6.9631200983681003</v>
      </c>
      <c r="AE55">
        <v>11.338665506398501</v>
      </c>
      <c r="AF55">
        <v>10.150301046688501</v>
      </c>
      <c r="AG55">
        <v>9.4834537274458199</v>
      </c>
      <c r="AH55">
        <v>6.4960799587368099</v>
      </c>
      <c r="AI55">
        <v>6.4960799587368099</v>
      </c>
      <c r="AJ55">
        <v>50.166666666666799</v>
      </c>
      <c r="AK55">
        <v>9.4999999999999893</v>
      </c>
      <c r="AL55">
        <v>20370605979.9757</v>
      </c>
      <c r="AM55">
        <v>3012425666.6331701</v>
      </c>
      <c r="AN55">
        <v>5418.6270100000002</v>
      </c>
      <c r="AO55" s="69">
        <v>20544902084.1283</v>
      </c>
      <c r="AP55">
        <v>6149776652.6016302</v>
      </c>
      <c r="AQ55">
        <v>5418.6270100000002</v>
      </c>
      <c r="AR55" s="69">
        <v>437399787.33237398</v>
      </c>
      <c r="AS55">
        <v>437399787.33237398</v>
      </c>
      <c r="AT55">
        <v>5546.7491</v>
      </c>
      <c r="AU55">
        <v>1089206579.3155501</v>
      </c>
      <c r="AV55">
        <v>664.63900201457398</v>
      </c>
      <c r="AW55">
        <v>670.51256848239598</v>
      </c>
      <c r="AX55">
        <v>784.20265020274803</v>
      </c>
      <c r="AY55">
        <v>720.67988032788696</v>
      </c>
      <c r="AZ55">
        <v>165.17580735822199</v>
      </c>
      <c r="BA55">
        <v>479.93168778327703</v>
      </c>
      <c r="BB55">
        <v>416.74936161072202</v>
      </c>
      <c r="BC55">
        <v>618.31932822619899</v>
      </c>
      <c r="BD55">
        <v>496.62123213108703</v>
      </c>
      <c r="BE55">
        <v>531.70615547745604</v>
      </c>
      <c r="BF55">
        <v>224.00267310757201</v>
      </c>
      <c r="BG55">
        <v>358.861217470447</v>
      </c>
      <c r="BH55">
        <v>323.40226234640102</v>
      </c>
      <c r="BI55">
        <v>298.34881532820202</v>
      </c>
      <c r="BJ55">
        <v>206.43110235118999</v>
      </c>
      <c r="BK55">
        <v>206.43110235118999</v>
      </c>
      <c r="BL55">
        <v>116.860575461927</v>
      </c>
      <c r="BM55">
        <v>117.208677236916</v>
      </c>
      <c r="BN55">
        <v>134.69027607095001</v>
      </c>
      <c r="BO55">
        <v>121.966855095357</v>
      </c>
      <c r="BP55">
        <v>28.509576334164599</v>
      </c>
      <c r="BQ55">
        <v>82.074756749698906</v>
      </c>
      <c r="BR55">
        <v>72.628356849417798</v>
      </c>
      <c r="BS55">
        <v>106.87456802065</v>
      </c>
      <c r="BT55">
        <v>85.029500890746505</v>
      </c>
      <c r="BU55">
        <v>92.216992859114995</v>
      </c>
      <c r="BV55">
        <v>37.677227919021398</v>
      </c>
      <c r="BW55">
        <v>61.969892203265601</v>
      </c>
      <c r="BX55">
        <v>55.344346842970303</v>
      </c>
      <c r="BY55">
        <v>51.7870589989571</v>
      </c>
      <c r="BZ55">
        <v>35.339349672479699</v>
      </c>
      <c r="CA55">
        <v>35.339349672479699</v>
      </c>
      <c r="CB55">
        <v>50.034017256388999</v>
      </c>
      <c r="CC55">
        <v>53.4228637876504</v>
      </c>
      <c r="CD55">
        <v>60.358273295393502</v>
      </c>
      <c r="CE55">
        <v>57.655761334358097</v>
      </c>
      <c r="CF55">
        <v>14.747297519193699</v>
      </c>
      <c r="CG55">
        <v>36.089411447855603</v>
      </c>
      <c r="CH55">
        <v>32.840872350647203</v>
      </c>
      <c r="CI55">
        <v>46.132091942573403</v>
      </c>
      <c r="CJ55">
        <v>40.829901183517798</v>
      </c>
      <c r="CK55">
        <v>38.611133403775703</v>
      </c>
      <c r="CL55">
        <v>15.890064481257101</v>
      </c>
      <c r="CM55">
        <v>29.138016564912999</v>
      </c>
      <c r="CN55">
        <v>26.635207454681701</v>
      </c>
      <c r="CO55">
        <v>23.660124567807198</v>
      </c>
      <c r="CP55">
        <v>15.861054749675199</v>
      </c>
      <c r="CQ55">
        <v>15.861054749675199</v>
      </c>
      <c r="CR55" s="1">
        <v>114022310.544017</v>
      </c>
      <c r="CS55" s="1">
        <v>110899891.059164</v>
      </c>
      <c r="CT55" s="1">
        <v>106261275.229836</v>
      </c>
      <c r="CU55" s="1">
        <v>96423122.091265202</v>
      </c>
      <c r="CV55" s="1">
        <v>92163652.658799499</v>
      </c>
      <c r="CW55" s="1">
        <v>68398914.889559299</v>
      </c>
      <c r="CX55" s="1">
        <v>67895886.006939098</v>
      </c>
      <c r="CY55" s="1">
        <v>60754505.9948733</v>
      </c>
      <c r="CZ55" s="1">
        <v>57493112.361593798</v>
      </c>
      <c r="DA55" s="1">
        <v>60536390.375923701</v>
      </c>
      <c r="DB55" s="1">
        <v>55296310.449403897</v>
      </c>
      <c r="DC55" s="1">
        <v>49047358.834380403</v>
      </c>
      <c r="DD55" s="1">
        <v>51886269.883684397</v>
      </c>
      <c r="DE55" s="1">
        <v>65807060.412663303</v>
      </c>
      <c r="DF55" s="1">
        <v>76553367.933343202</v>
      </c>
      <c r="DG55" s="1">
        <v>78817479.632892996</v>
      </c>
      <c r="DH55" s="1">
        <v>4412390794.9026899</v>
      </c>
      <c r="DI55" s="1">
        <v>4292866779.37216</v>
      </c>
      <c r="DJ55" s="1">
        <v>4112595449.3744402</v>
      </c>
      <c r="DK55" s="1">
        <v>3779615549.4138899</v>
      </c>
      <c r="DL55" s="1">
        <v>3634411743.5327902</v>
      </c>
      <c r="DM55" s="1">
        <v>2717166303.8025398</v>
      </c>
      <c r="DN55" s="1">
        <v>2699674192.7796402</v>
      </c>
      <c r="DO55" s="1">
        <v>2432475577.6135001</v>
      </c>
      <c r="DP55" s="1">
        <v>2312924988.8248</v>
      </c>
      <c r="DQ55" s="1">
        <v>2428434351.9600701</v>
      </c>
      <c r="DR55" s="1">
        <v>2222199487.47159</v>
      </c>
      <c r="DS55" s="1">
        <v>2000737882.7156601</v>
      </c>
      <c r="DT55" s="1">
        <v>2114067729.7026601</v>
      </c>
      <c r="DU55" s="1">
        <v>2688200526.9037199</v>
      </c>
      <c r="DV55" s="1">
        <v>3105607226.5546999</v>
      </c>
      <c r="DW55" s="1">
        <v>3223965142.9384699</v>
      </c>
    </row>
    <row r="56" spans="1:127" x14ac:dyDescent="0.25">
      <c r="A56" t="s">
        <v>83</v>
      </c>
      <c r="B56">
        <v>46.77</v>
      </c>
      <c r="C56">
        <v>-100.77</v>
      </c>
      <c r="D56">
        <v>-28.1</v>
      </c>
      <c r="E56">
        <v>-25</v>
      </c>
      <c r="F56">
        <v>34.4</v>
      </c>
      <c r="G56">
        <v>20.9</v>
      </c>
      <c r="H56">
        <v>32.299999999999997</v>
      </c>
      <c r="I56">
        <v>20.399999999999999</v>
      </c>
      <c r="J56">
        <v>0.83333333333333304</v>
      </c>
      <c r="K56">
        <v>0</v>
      </c>
      <c r="L56">
        <v>6707957694.6088896</v>
      </c>
      <c r="M56">
        <v>1568419108.0788801</v>
      </c>
      <c r="N56">
        <v>6421.4720500000003</v>
      </c>
      <c r="O56" s="75">
        <v>74915000413.012802</v>
      </c>
      <c r="P56">
        <f>93643750516.2659*(0.8/0.96)</f>
        <v>78036458763.554916</v>
      </c>
      <c r="Q56">
        <v>29308</v>
      </c>
      <c r="R56">
        <v>911503511.23434699</v>
      </c>
      <c r="S56">
        <f>4710.36791698581*(0.8/0.96)</f>
        <v>3925.3065974881747</v>
      </c>
      <c r="T56">
        <v>209.187429234864</v>
      </c>
      <c r="U56">
        <v>111.38684557003</v>
      </c>
      <c r="V56">
        <v>177.816270973499</v>
      </c>
      <c r="W56">
        <v>113.28369742596399</v>
      </c>
      <c r="X56">
        <v>47.661208828081399</v>
      </c>
      <c r="Y56">
        <v>26.476002977140901</v>
      </c>
      <c r="Z56">
        <v>86.232794417670505</v>
      </c>
      <c r="AA56">
        <v>82.587512105348694</v>
      </c>
      <c r="AB56">
        <v>65.421136563121806</v>
      </c>
      <c r="AC56">
        <v>114.62104681246799</v>
      </c>
      <c r="AD56">
        <v>35.541837556963998</v>
      </c>
      <c r="AE56">
        <v>93.251113002774503</v>
      </c>
      <c r="AF56">
        <v>91.783160491381693</v>
      </c>
      <c r="AG56">
        <v>45.842049382690298</v>
      </c>
      <c r="AH56">
        <v>34.185232516213198</v>
      </c>
      <c r="AI56">
        <v>34.184658974722304</v>
      </c>
      <c r="AJ56">
        <v>0.83333333333333304</v>
      </c>
      <c r="AK56">
        <v>36.416666666666501</v>
      </c>
      <c r="AL56">
        <v>6727758219.9961395</v>
      </c>
      <c r="AM56">
        <v>1001095346.47177</v>
      </c>
      <c r="AN56">
        <v>6421.4720500000003</v>
      </c>
      <c r="AO56" s="69">
        <v>47413999691.176903</v>
      </c>
      <c r="AP56">
        <v>18973568135.714199</v>
      </c>
      <c r="AQ56">
        <v>6421.4720500000003</v>
      </c>
      <c r="AR56" s="69">
        <v>24568344771.2048</v>
      </c>
      <c r="AS56">
        <v>24568344771.2048</v>
      </c>
      <c r="AT56">
        <v>11495.16696</v>
      </c>
      <c r="AU56">
        <v>3985581348.7802701</v>
      </c>
      <c r="AV56">
        <v>4321.8209794877203</v>
      </c>
      <c r="AW56">
        <v>2324.99866395753</v>
      </c>
      <c r="AX56">
        <v>3679.0054901742801</v>
      </c>
      <c r="AY56">
        <v>2335.4688998460601</v>
      </c>
      <c r="AZ56">
        <v>967.81119102636501</v>
      </c>
      <c r="BA56">
        <v>529.57638391487706</v>
      </c>
      <c r="BB56">
        <v>1749.4897303861601</v>
      </c>
      <c r="BC56">
        <v>1637.2629878416001</v>
      </c>
      <c r="BD56">
        <v>1336.5586210819299</v>
      </c>
      <c r="BE56">
        <v>2301.11622537617</v>
      </c>
      <c r="BF56">
        <v>679.70715183438404</v>
      </c>
      <c r="BG56">
        <v>1891.97130554148</v>
      </c>
      <c r="BH56">
        <v>1821.0758374065899</v>
      </c>
      <c r="BI56">
        <v>900.00651825224497</v>
      </c>
      <c r="BJ56">
        <v>683.45187300115595</v>
      </c>
      <c r="BK56">
        <v>683.423394696017</v>
      </c>
      <c r="BL56">
        <v>912.09456482219002</v>
      </c>
      <c r="BM56">
        <v>487.466772002737</v>
      </c>
      <c r="BN56">
        <v>776.88133615270795</v>
      </c>
      <c r="BO56">
        <v>494.08088089708502</v>
      </c>
      <c r="BP56">
        <v>206.34113670872301</v>
      </c>
      <c r="BQ56">
        <v>114.40288852123599</v>
      </c>
      <c r="BR56">
        <v>373.24370029655302</v>
      </c>
      <c r="BS56">
        <v>355.88983267098899</v>
      </c>
      <c r="BT56">
        <v>283.347143356054</v>
      </c>
      <c r="BU56">
        <v>494.86243136759401</v>
      </c>
      <c r="BV56">
        <v>151.75530958055899</v>
      </c>
      <c r="BW56">
        <v>404.06797220281402</v>
      </c>
      <c r="BX56">
        <v>394.22521405000998</v>
      </c>
      <c r="BY56">
        <v>197.67034594421199</v>
      </c>
      <c r="BZ56">
        <v>146.75284841057501</v>
      </c>
      <c r="CA56">
        <v>146.749694469769</v>
      </c>
      <c r="CB56">
        <v>5827.1579532330697</v>
      </c>
      <c r="CC56">
        <v>2997.4743412084399</v>
      </c>
      <c r="CD56">
        <v>4947.4762260774096</v>
      </c>
      <c r="CE56">
        <v>3196.1085240878801</v>
      </c>
      <c r="CF56">
        <v>1382.6776101943601</v>
      </c>
      <c r="CG56">
        <v>792.99602601854201</v>
      </c>
      <c r="CH56">
        <v>2703.9396231762398</v>
      </c>
      <c r="CI56">
        <v>2685.0845632527398</v>
      </c>
      <c r="CJ56">
        <v>1979.7656179109299</v>
      </c>
      <c r="CK56">
        <v>3643.1739385278602</v>
      </c>
      <c r="CL56">
        <v>1218.4072181040999</v>
      </c>
      <c r="CM56">
        <v>2935.1203024823199</v>
      </c>
      <c r="CN56">
        <v>2992.5889956112601</v>
      </c>
      <c r="CO56">
        <v>1478.7448693491399</v>
      </c>
      <c r="CP56">
        <v>1090.14685066437</v>
      </c>
      <c r="CQ56">
        <v>1090.2013301209499</v>
      </c>
      <c r="CR56" s="1">
        <v>3359837.6203832999</v>
      </c>
      <c r="CS56" s="1">
        <v>1760842.8715648099</v>
      </c>
      <c r="CT56" s="1">
        <v>1093674.6388644101</v>
      </c>
      <c r="CU56" s="1">
        <v>1203585.51313015</v>
      </c>
      <c r="CV56" s="1">
        <v>1287845.8994551001</v>
      </c>
      <c r="CW56" s="1">
        <v>2484410.48245375</v>
      </c>
      <c r="CX56" s="1">
        <v>1617827.6596324199</v>
      </c>
      <c r="CY56" s="1">
        <v>1059104.96787111</v>
      </c>
      <c r="CZ56" s="1">
        <v>324704.995575757</v>
      </c>
      <c r="DA56" s="1">
        <v>51261.442270371001</v>
      </c>
      <c r="DB56" s="1">
        <v>50031.9863478318</v>
      </c>
      <c r="DC56" s="1">
        <v>14374.889484573099</v>
      </c>
      <c r="DD56" s="1">
        <v>25539.193462645599</v>
      </c>
      <c r="DE56" s="1">
        <v>19835.7716906315</v>
      </c>
      <c r="DF56" s="1">
        <v>10572.7689921768</v>
      </c>
      <c r="DG56" s="1">
        <v>0</v>
      </c>
      <c r="DH56" s="1">
        <v>180670038.70311099</v>
      </c>
      <c r="DI56" s="1">
        <v>85753967.598131597</v>
      </c>
      <c r="DJ56" s="1">
        <v>52795965.390137397</v>
      </c>
      <c r="DK56" s="1">
        <v>67042580.739150703</v>
      </c>
      <c r="DL56" s="1">
        <v>69025119.561479196</v>
      </c>
      <c r="DM56" s="1">
        <v>109293976.01236901</v>
      </c>
      <c r="DN56" s="1">
        <v>68512709.241915405</v>
      </c>
      <c r="DO56" s="1">
        <v>42985404.086096302</v>
      </c>
      <c r="DP56" s="1">
        <v>14290715.7329404</v>
      </c>
      <c r="DQ56" s="1">
        <v>1476728.71161252</v>
      </c>
      <c r="DR56" s="1">
        <v>2161081.3518745801</v>
      </c>
      <c r="DS56" s="1">
        <v>345852.522302047</v>
      </c>
      <c r="DT56" s="1">
        <v>629733.48236465396</v>
      </c>
      <c r="DU56" s="1">
        <v>473141.39987662999</v>
      </c>
      <c r="DV56" s="1">
        <v>270579.12346300401</v>
      </c>
      <c r="DW56" s="1">
        <v>0</v>
      </c>
    </row>
    <row r="57" spans="1:127" x14ac:dyDescent="0.25">
      <c r="A57" t="s">
        <v>84</v>
      </c>
      <c r="B57">
        <v>46.93</v>
      </c>
      <c r="C57">
        <v>-96.82</v>
      </c>
      <c r="D57">
        <v>-28.5</v>
      </c>
      <c r="E57">
        <v>-25.8</v>
      </c>
      <c r="F57">
        <v>32.6</v>
      </c>
      <c r="G57">
        <v>22.2</v>
      </c>
      <c r="H57">
        <v>30.9</v>
      </c>
      <c r="I57">
        <v>21.3</v>
      </c>
      <c r="J57">
        <v>0.25</v>
      </c>
      <c r="K57">
        <v>0</v>
      </c>
      <c r="L57">
        <v>6188213015.9340696</v>
      </c>
      <c r="M57">
        <v>1389209579.96965</v>
      </c>
      <c r="N57">
        <v>6921.5049799999997</v>
      </c>
      <c r="O57" s="75">
        <v>88107231480.753998</v>
      </c>
      <c r="P57">
        <f>110134039350.943*(0.8/0.96)</f>
        <v>91778366125.785828</v>
      </c>
      <c r="Q57">
        <v>29308</v>
      </c>
      <c r="R57">
        <v>1074305282.59779</v>
      </c>
      <c r="S57">
        <f>5539.84481256573*(0.8/0.96)</f>
        <v>4616.5373438047745</v>
      </c>
      <c r="T57">
        <v>247.259141011688</v>
      </c>
      <c r="U57">
        <v>131.62344805137201</v>
      </c>
      <c r="V57">
        <v>211.69225982544401</v>
      </c>
      <c r="W57">
        <v>133.450858285377</v>
      </c>
      <c r="X57">
        <v>56.196100971725599</v>
      </c>
      <c r="Y57">
        <v>31.650520390255299</v>
      </c>
      <c r="Z57">
        <v>101.485975751317</v>
      </c>
      <c r="AA57">
        <v>97.981187807566698</v>
      </c>
      <c r="AB57">
        <v>78.171481634381806</v>
      </c>
      <c r="AC57">
        <v>136.11442380493401</v>
      </c>
      <c r="AD57">
        <v>42.711053438050797</v>
      </c>
      <c r="AE57">
        <v>110.951718141344</v>
      </c>
      <c r="AF57">
        <v>109.30743506573501</v>
      </c>
      <c r="AG57">
        <v>55.135042647020697</v>
      </c>
      <c r="AH57">
        <v>41.009110146966499</v>
      </c>
      <c r="AI57">
        <v>41.008216916456</v>
      </c>
      <c r="AJ57">
        <v>0.25</v>
      </c>
      <c r="AK57">
        <v>64.750000000000298</v>
      </c>
      <c r="AL57">
        <v>6211612311.8976202</v>
      </c>
      <c r="AM57">
        <v>843252106.81017399</v>
      </c>
      <c r="AN57">
        <v>6921.5049799999997</v>
      </c>
      <c r="AO57" s="69">
        <v>48747548345.887604</v>
      </c>
      <c r="AP57">
        <v>20108411272.574001</v>
      </c>
      <c r="AQ57">
        <v>6921.5049799999997</v>
      </c>
      <c r="AR57" s="69">
        <v>36219790556.991203</v>
      </c>
      <c r="AS57">
        <v>36219790556.991203</v>
      </c>
      <c r="AT57">
        <v>11838.234560000001</v>
      </c>
      <c r="AU57">
        <v>4274003988.6098099</v>
      </c>
      <c r="AV57">
        <v>4525.38320946354</v>
      </c>
      <c r="AW57">
        <v>2471.3996241643499</v>
      </c>
      <c r="AX57">
        <v>3874.9114647808701</v>
      </c>
      <c r="AY57">
        <v>2439.8320270832801</v>
      </c>
      <c r="AZ57">
        <v>1014.71323862937</v>
      </c>
      <c r="BA57">
        <v>553.84723519573799</v>
      </c>
      <c r="BB57">
        <v>1811.35148477844</v>
      </c>
      <c r="BC57">
        <v>1626.64831864404</v>
      </c>
      <c r="BD57">
        <v>1364.37264712864</v>
      </c>
      <c r="BE57">
        <v>2376.3629639842002</v>
      </c>
      <c r="BF57">
        <v>689.16731916637696</v>
      </c>
      <c r="BG57">
        <v>1874.6167459933699</v>
      </c>
      <c r="BH57">
        <v>1867.9294350494099</v>
      </c>
      <c r="BI57">
        <v>932.04448820790901</v>
      </c>
      <c r="BJ57">
        <v>693.94421272147497</v>
      </c>
      <c r="BK57">
        <v>693.90230178989395</v>
      </c>
      <c r="BL57">
        <v>977.91776124285605</v>
      </c>
      <c r="BM57">
        <v>524.66779257471603</v>
      </c>
      <c r="BN57">
        <v>837.55108744592201</v>
      </c>
      <c r="BO57">
        <v>528.42645431056496</v>
      </c>
      <c r="BP57">
        <v>220.95649548276401</v>
      </c>
      <c r="BQ57">
        <v>123.505494727727</v>
      </c>
      <c r="BR57">
        <v>399.82961417467101</v>
      </c>
      <c r="BS57">
        <v>378.83630943345099</v>
      </c>
      <c r="BT57">
        <v>305.37399841962298</v>
      </c>
      <c r="BU57">
        <v>531.52311636610705</v>
      </c>
      <c r="BV57">
        <v>163.203790498655</v>
      </c>
      <c r="BW57">
        <v>431.56548734869801</v>
      </c>
      <c r="BX57">
        <v>424.58330988163101</v>
      </c>
      <c r="BY57">
        <v>214.00975469610199</v>
      </c>
      <c r="BZ57">
        <v>158.43345283475401</v>
      </c>
      <c r="CA57">
        <v>158.429117322964</v>
      </c>
      <c r="CB57">
        <v>8726.0952390856401</v>
      </c>
      <c r="CC57">
        <v>4434.6912295620104</v>
      </c>
      <c r="CD57">
        <v>7489.9552292359604</v>
      </c>
      <c r="CE57">
        <v>4730.1090692459302</v>
      </c>
      <c r="CF57">
        <v>2050.1977841284902</v>
      </c>
      <c r="CG57">
        <v>1193.98685541193</v>
      </c>
      <c r="CH57">
        <v>3914.9382711775502</v>
      </c>
      <c r="CI57">
        <v>4095.1129859063999</v>
      </c>
      <c r="CJ57">
        <v>3060.5321332856602</v>
      </c>
      <c r="CK57">
        <v>5392.7793469418002</v>
      </c>
      <c r="CL57">
        <v>1857.18285756095</v>
      </c>
      <c r="CM57">
        <v>4537.7597411936404</v>
      </c>
      <c r="CN57">
        <v>4473.89958976868</v>
      </c>
      <c r="CO57">
        <v>2224.1558772768199</v>
      </c>
      <c r="CP57">
        <v>1686.2358062123101</v>
      </c>
      <c r="CQ57">
        <v>1686.2929088707899</v>
      </c>
      <c r="CR57" s="1">
        <v>4135577.6862606001</v>
      </c>
      <c r="CS57" s="1">
        <v>2717232.4049571198</v>
      </c>
      <c r="CT57" s="1">
        <v>1637362.84269767</v>
      </c>
      <c r="CU57" s="1">
        <v>1638422.0927897801</v>
      </c>
      <c r="CV57" s="1">
        <v>1645259.6196707201</v>
      </c>
      <c r="CW57" s="1">
        <v>3192451.0015224698</v>
      </c>
      <c r="CX57" s="1">
        <v>2217172.0942081199</v>
      </c>
      <c r="CY57" s="1">
        <v>1395519.8254297499</v>
      </c>
      <c r="CZ57" s="1">
        <v>302522.325024219</v>
      </c>
      <c r="DA57" s="1">
        <v>50799.742250183699</v>
      </c>
      <c r="DB57" s="1">
        <v>24260.843379655202</v>
      </c>
      <c r="DC57" s="1">
        <v>1186.55028007691</v>
      </c>
      <c r="DD57" s="1">
        <v>0</v>
      </c>
      <c r="DE57" s="1">
        <v>0</v>
      </c>
      <c r="DF57" s="1">
        <v>0</v>
      </c>
      <c r="DG57" s="1">
        <v>0</v>
      </c>
      <c r="DH57" s="1">
        <v>241206433.62405401</v>
      </c>
      <c r="DI57" s="1">
        <v>174479997.74876401</v>
      </c>
      <c r="DJ57" s="1">
        <v>96876694.046747893</v>
      </c>
      <c r="DK57" s="1">
        <v>100876652.274885</v>
      </c>
      <c r="DL57" s="1">
        <v>95975117.847297207</v>
      </c>
      <c r="DM57" s="1">
        <v>154900627.09148499</v>
      </c>
      <c r="DN57" s="1">
        <v>106572367.233768</v>
      </c>
      <c r="DO57" s="1">
        <v>68063585.559450597</v>
      </c>
      <c r="DP57" s="1">
        <v>14482335.4083483</v>
      </c>
      <c r="DQ57" s="1">
        <v>2436031.51145946</v>
      </c>
      <c r="DR57" s="1">
        <v>1168046.4829104999</v>
      </c>
      <c r="DS57" s="1">
        <v>25444.638786599699</v>
      </c>
      <c r="DT57" s="1">
        <v>0</v>
      </c>
      <c r="DU57" s="1">
        <v>0</v>
      </c>
      <c r="DV57" s="1">
        <v>0</v>
      </c>
      <c r="DW57" s="1">
        <v>0</v>
      </c>
    </row>
    <row r="58" spans="1:127" x14ac:dyDescent="0.25">
      <c r="A58" t="s">
        <v>85</v>
      </c>
      <c r="B58">
        <v>41.37</v>
      </c>
      <c r="C58">
        <v>-96.02</v>
      </c>
      <c r="D58">
        <v>-21.2</v>
      </c>
      <c r="E58">
        <v>-17.8</v>
      </c>
      <c r="F58">
        <v>34.5</v>
      </c>
      <c r="G58">
        <v>23.9</v>
      </c>
      <c r="H58">
        <v>32.700000000000003</v>
      </c>
      <c r="I58">
        <v>23.7</v>
      </c>
      <c r="J58">
        <v>0.83333333333333304</v>
      </c>
      <c r="K58">
        <v>0</v>
      </c>
      <c r="L58">
        <v>4436542033.0436497</v>
      </c>
      <c r="M58">
        <v>1058489991.62966</v>
      </c>
      <c r="N58">
        <v>5764.7194</v>
      </c>
      <c r="O58" s="75">
        <v>59856170585.639702</v>
      </c>
      <c r="P58">
        <f>74820213232.0502*(0.8/0.96)</f>
        <v>62350177693.375168</v>
      </c>
      <c r="Q58">
        <v>29308</v>
      </c>
      <c r="R58">
        <v>587299061.99458206</v>
      </c>
      <c r="S58">
        <f>3763.52645005466*(0.8/0.96)</f>
        <v>3136.2720417122168</v>
      </c>
      <c r="T58">
        <v>82.655080013760497</v>
      </c>
      <c r="U58">
        <v>76.963805104383894</v>
      </c>
      <c r="V58">
        <v>71.473233299103697</v>
      </c>
      <c r="W58">
        <v>65.712898408736606</v>
      </c>
      <c r="X58">
        <v>31.697084118811201</v>
      </c>
      <c r="Y58">
        <v>29.238204362825101</v>
      </c>
      <c r="Z58">
        <v>52.942992561523702</v>
      </c>
      <c r="AA58">
        <v>49.398496844762697</v>
      </c>
      <c r="AB58">
        <v>33.096164347494003</v>
      </c>
      <c r="AC58">
        <v>62.4126043783981</v>
      </c>
      <c r="AD58">
        <v>34.350342037967401</v>
      </c>
      <c r="AE58">
        <v>37.560753726371097</v>
      </c>
      <c r="AF58">
        <v>28.300383866153901</v>
      </c>
      <c r="AG58">
        <v>52.154815070433401</v>
      </c>
      <c r="AH58">
        <v>46.171445424753102</v>
      </c>
      <c r="AI58">
        <v>46.171445424753102</v>
      </c>
      <c r="AJ58">
        <v>0.83333333333333304</v>
      </c>
      <c r="AK58">
        <v>31.499999999999801</v>
      </c>
      <c r="AL58">
        <v>4442127278.5042896</v>
      </c>
      <c r="AM58">
        <v>785815526.22458601</v>
      </c>
      <c r="AN58">
        <v>5764.7194</v>
      </c>
      <c r="AO58" s="69">
        <v>44773170286.840103</v>
      </c>
      <c r="AP58">
        <v>16422642982.0177</v>
      </c>
      <c r="AQ58">
        <v>5764.7194</v>
      </c>
      <c r="AR58" s="69">
        <v>12877191308.7964</v>
      </c>
      <c r="AS58">
        <v>12877191308.7964</v>
      </c>
      <c r="AT58">
        <v>9384.8183399999998</v>
      </c>
      <c r="AU58">
        <v>2934764774.46311</v>
      </c>
      <c r="AV58">
        <v>2311.97644761745</v>
      </c>
      <c r="AW58">
        <v>2159.50523391762</v>
      </c>
      <c r="AX58">
        <v>2020.5218742730799</v>
      </c>
      <c r="AY58">
        <v>1855.30679155799</v>
      </c>
      <c r="AZ58">
        <v>893.50722502454198</v>
      </c>
      <c r="BA58">
        <v>838.96681059009495</v>
      </c>
      <c r="BB58">
        <v>1507.0417862444001</v>
      </c>
      <c r="BC58">
        <v>1393.7631279845</v>
      </c>
      <c r="BD58">
        <v>940.70531979933003</v>
      </c>
      <c r="BE58">
        <v>1768.8184894461299</v>
      </c>
      <c r="BF58">
        <v>974.34464502846595</v>
      </c>
      <c r="BG58">
        <v>1066.6700515479499</v>
      </c>
      <c r="BH58">
        <v>792.147202530502</v>
      </c>
      <c r="BI58">
        <v>1484.8773104264201</v>
      </c>
      <c r="BJ58">
        <v>1312.9780142043801</v>
      </c>
      <c r="BK58">
        <v>1312.9780142043801</v>
      </c>
      <c r="BL58">
        <v>413.24455306908902</v>
      </c>
      <c r="BM58">
        <v>382.62985448443698</v>
      </c>
      <c r="BN58">
        <v>356.721131992072</v>
      </c>
      <c r="BO58">
        <v>327.35567458033501</v>
      </c>
      <c r="BP58">
        <v>159.51442941305501</v>
      </c>
      <c r="BQ58">
        <v>146.10483739865401</v>
      </c>
      <c r="BR58">
        <v>263.59372057417698</v>
      </c>
      <c r="BS58">
        <v>243.96548693257199</v>
      </c>
      <c r="BT58">
        <v>163.78195841463901</v>
      </c>
      <c r="BU58">
        <v>309.08361569852798</v>
      </c>
      <c r="BV58">
        <v>170.26923286272</v>
      </c>
      <c r="BW58">
        <v>185.693140141984</v>
      </c>
      <c r="BX58">
        <v>138.577844928964</v>
      </c>
      <c r="BY58">
        <v>256.88307909669601</v>
      </c>
      <c r="BZ58">
        <v>226.56488490371501</v>
      </c>
      <c r="CA58">
        <v>226.56488490371501</v>
      </c>
      <c r="CB58">
        <v>1781.0769807967799</v>
      </c>
      <c r="CC58">
        <v>1830.73317009824</v>
      </c>
      <c r="CD58">
        <v>1672.9568702588999</v>
      </c>
      <c r="CE58">
        <v>1600.58425909981</v>
      </c>
      <c r="CF58">
        <v>660.37331290539498</v>
      </c>
      <c r="CG58">
        <v>663.25883140548899</v>
      </c>
      <c r="CH58">
        <v>1300.99903388454</v>
      </c>
      <c r="CI58">
        <v>1313.75189689176</v>
      </c>
      <c r="CJ58">
        <v>853.89350086353704</v>
      </c>
      <c r="CK58">
        <v>1580.57967190198</v>
      </c>
      <c r="CL58">
        <v>865.85552431558699</v>
      </c>
      <c r="CM58">
        <v>1018.28599705745</v>
      </c>
      <c r="CN58">
        <v>813.29865225076003</v>
      </c>
      <c r="CO58">
        <v>1426.52711262203</v>
      </c>
      <c r="CP58">
        <v>1333.0161149478299</v>
      </c>
      <c r="CQ58">
        <v>1333.0161149478299</v>
      </c>
      <c r="CR58" s="1">
        <v>32347917.417819899</v>
      </c>
      <c r="CS58" s="1">
        <v>18086637.704059899</v>
      </c>
      <c r="CT58" s="1">
        <v>33102158.316175599</v>
      </c>
      <c r="CU58" s="1">
        <v>13276554.774074901</v>
      </c>
      <c r="CV58" s="1">
        <v>6352370.4788399404</v>
      </c>
      <c r="CW58" s="1">
        <v>3340523.15509158</v>
      </c>
      <c r="CX58" s="1">
        <v>258460.54834476201</v>
      </c>
      <c r="CY58" s="1">
        <v>72155.190207105799</v>
      </c>
      <c r="CZ58" s="1">
        <v>74715.288853494101</v>
      </c>
      <c r="DA58" s="1">
        <v>24737.682383139701</v>
      </c>
      <c r="DB58" s="1">
        <v>35702.693303151798</v>
      </c>
      <c r="DC58" s="1">
        <v>32599.365858171899</v>
      </c>
      <c r="DD58" s="1">
        <v>23.044377250846701</v>
      </c>
      <c r="DE58" s="1">
        <v>90.138656727797695</v>
      </c>
      <c r="DF58" s="1">
        <v>0</v>
      </c>
      <c r="DG58" s="1">
        <v>0</v>
      </c>
      <c r="DH58" s="1">
        <v>1853119041.8320601</v>
      </c>
      <c r="DI58" s="1">
        <v>1004836118.8233401</v>
      </c>
      <c r="DJ58" s="1">
        <v>1658948917.9130499</v>
      </c>
      <c r="DK58" s="1">
        <v>646098505.401088</v>
      </c>
      <c r="DL58" s="1">
        <v>301730469.89904797</v>
      </c>
      <c r="DM58" s="1">
        <v>140303265.14934999</v>
      </c>
      <c r="DN58" s="1">
        <v>9247739.8345867693</v>
      </c>
      <c r="DO58" s="1">
        <v>3162281.92521672</v>
      </c>
      <c r="DP58" s="1">
        <v>3194808.9457171299</v>
      </c>
      <c r="DQ58" s="1">
        <v>828471.01403371606</v>
      </c>
      <c r="DR58" s="1">
        <v>1223118.5960693299</v>
      </c>
      <c r="DS58" s="1">
        <v>1083871.1616781901</v>
      </c>
      <c r="DT58" s="1">
        <v>479.819529654718</v>
      </c>
      <c r="DU58" s="1">
        <v>2089.7413614490401</v>
      </c>
      <c r="DV58" s="1">
        <v>0</v>
      </c>
      <c r="DW58" s="1">
        <v>0</v>
      </c>
    </row>
    <row r="59" spans="1:127" x14ac:dyDescent="0.25">
      <c r="A59" t="s">
        <v>87</v>
      </c>
      <c r="B59">
        <v>43.2</v>
      </c>
      <c r="C59">
        <v>-71.5</v>
      </c>
      <c r="D59">
        <v>-19.8</v>
      </c>
      <c r="E59">
        <v>-16.899999999999999</v>
      </c>
      <c r="F59">
        <v>32.299999999999997</v>
      </c>
      <c r="G59">
        <v>21.9</v>
      </c>
      <c r="H59">
        <v>30.6</v>
      </c>
      <c r="I59">
        <v>21.1</v>
      </c>
      <c r="J59">
        <v>0</v>
      </c>
      <c r="K59">
        <v>0</v>
      </c>
      <c r="L59">
        <v>810143970.24441397</v>
      </c>
      <c r="M59">
        <v>185242858.90033799</v>
      </c>
      <c r="N59">
        <v>5183.9084700000003</v>
      </c>
      <c r="O59" s="75">
        <v>61487697618.217102</v>
      </c>
      <c r="P59">
        <f>76859622022.7711*(0.8/0.96)</f>
        <v>64049685018.975922</v>
      </c>
      <c r="Q59">
        <v>29308</v>
      </c>
      <c r="R59">
        <v>569013560.02942896</v>
      </c>
      <c r="S59">
        <f>3866.11061274005*(0.8/0.96)</f>
        <v>3221.7588439500419</v>
      </c>
      <c r="T59">
        <v>4.6680376078896897</v>
      </c>
      <c r="U59">
        <v>1.3428117074788299</v>
      </c>
      <c r="V59">
        <v>5.3222305010851301</v>
      </c>
      <c r="W59">
        <v>10.0451196739085</v>
      </c>
      <c r="X59">
        <v>2.9190760499033002</v>
      </c>
      <c r="Y59">
        <v>1.5259065203961399</v>
      </c>
      <c r="Z59">
        <v>0.212883560110561</v>
      </c>
      <c r="AA59">
        <v>0.37012645856680798</v>
      </c>
      <c r="AB59">
        <v>5.6419711183923296</v>
      </c>
      <c r="AC59">
        <v>0.64750219276616805</v>
      </c>
      <c r="AD59">
        <v>4.9133384022781996</v>
      </c>
      <c r="AE59">
        <v>0.66353567477588804</v>
      </c>
      <c r="AF59">
        <v>2.32947679975649</v>
      </c>
      <c r="AG59">
        <v>6.33736471036912</v>
      </c>
      <c r="AH59">
        <v>0.80236109232275099</v>
      </c>
      <c r="AI59">
        <v>0.80236109232275099</v>
      </c>
      <c r="AJ59">
        <v>0</v>
      </c>
      <c r="AK59">
        <v>28.333333333333201</v>
      </c>
      <c r="AL59">
        <v>813122849.83756995</v>
      </c>
      <c r="AM59">
        <v>127130796.72656099</v>
      </c>
      <c r="AN59">
        <v>5183.9084700000003</v>
      </c>
      <c r="AO59" s="69">
        <v>47465644516.723999</v>
      </c>
      <c r="AP59">
        <v>17737167788.026501</v>
      </c>
      <c r="AQ59">
        <v>5183.9084700000003</v>
      </c>
      <c r="AR59" s="69">
        <v>11515254724.8249</v>
      </c>
      <c r="AS59">
        <v>11515254724.8249</v>
      </c>
      <c r="AT59">
        <v>9165.9371100000008</v>
      </c>
      <c r="AU59">
        <v>3218014661.4995599</v>
      </c>
      <c r="AV59">
        <v>150.915223842172</v>
      </c>
      <c r="AW59">
        <v>41.090875195003797</v>
      </c>
      <c r="AX59">
        <v>168.59664646607999</v>
      </c>
      <c r="AY59">
        <v>307.60821940541302</v>
      </c>
      <c r="AZ59">
        <v>96.311799634107004</v>
      </c>
      <c r="BA59">
        <v>48.443614568364502</v>
      </c>
      <c r="BB59">
        <v>6.4248076202787399</v>
      </c>
      <c r="BC59">
        <v>10.767641346049199</v>
      </c>
      <c r="BD59">
        <v>181.185869195728</v>
      </c>
      <c r="BE59">
        <v>20.526948457167801</v>
      </c>
      <c r="BF59">
        <v>151.148926520126</v>
      </c>
      <c r="BG59">
        <v>20.893497950153002</v>
      </c>
      <c r="BH59">
        <v>74.807480463633595</v>
      </c>
      <c r="BI59">
        <v>200.04128193705401</v>
      </c>
      <c r="BJ59">
        <v>24.742543481760599</v>
      </c>
      <c r="BK59">
        <v>24.742543481760599</v>
      </c>
      <c r="BL59">
        <v>27.426997036853798</v>
      </c>
      <c r="BM59">
        <v>7.5975201428871699</v>
      </c>
      <c r="BN59">
        <v>30.228089277480699</v>
      </c>
      <c r="BO59">
        <v>56.090269571645599</v>
      </c>
      <c r="BP59">
        <v>17.188639886783101</v>
      </c>
      <c r="BQ59">
        <v>8.6816868957546092</v>
      </c>
      <c r="BR59">
        <v>1.1936419049406899</v>
      </c>
      <c r="BS59">
        <v>2.0776358323403499</v>
      </c>
      <c r="BT59">
        <v>32.598997594510401</v>
      </c>
      <c r="BU59">
        <v>3.66484210941936</v>
      </c>
      <c r="BV59">
        <v>27.8854184572386</v>
      </c>
      <c r="BW59">
        <v>3.7791328485690698</v>
      </c>
      <c r="BX59">
        <v>13.4568959255406</v>
      </c>
      <c r="BY59">
        <v>36.2971504975771</v>
      </c>
      <c r="BZ59">
        <v>4.5307622191925301</v>
      </c>
      <c r="CA59">
        <v>4.5307622191925301</v>
      </c>
      <c r="CB59">
        <v>71.703131573842896</v>
      </c>
      <c r="CC59">
        <v>29.039055630152902</v>
      </c>
      <c r="CD59">
        <v>109.893838603715</v>
      </c>
      <c r="CE59">
        <v>244.39363273418601</v>
      </c>
      <c r="CF59">
        <v>48.7350249543884</v>
      </c>
      <c r="CG59">
        <v>26.003452449188501</v>
      </c>
      <c r="CH59">
        <v>5.1378057637993599</v>
      </c>
      <c r="CI59">
        <v>3.8838420099071098</v>
      </c>
      <c r="CJ59">
        <v>113.90749412366</v>
      </c>
      <c r="CK59">
        <v>15.663291665796001</v>
      </c>
      <c r="CL59">
        <v>90.573647474315493</v>
      </c>
      <c r="CM59">
        <v>13.832831769034801</v>
      </c>
      <c r="CN59">
        <v>35.7322028162504</v>
      </c>
      <c r="CO59">
        <v>128.623747957902</v>
      </c>
      <c r="CP59">
        <v>15.5015263977982</v>
      </c>
      <c r="CQ59">
        <v>15.5015263977982</v>
      </c>
      <c r="CR59" s="1">
        <v>6331.2250253755401</v>
      </c>
      <c r="CS59" s="1">
        <v>197996.86643357601</v>
      </c>
      <c r="CT59" s="1">
        <v>4068800.9187448202</v>
      </c>
      <c r="CU59" s="1">
        <v>0</v>
      </c>
      <c r="CV59" s="1">
        <v>20360395.654321399</v>
      </c>
      <c r="CW59" s="1">
        <v>6813959.2305477802</v>
      </c>
      <c r="CX59" s="1">
        <v>216790.66659122999</v>
      </c>
      <c r="CY59" s="1">
        <v>7584.14795471037</v>
      </c>
      <c r="CZ59" s="1">
        <v>610219.72675774503</v>
      </c>
      <c r="DA59" s="1">
        <v>7520952.2636455595</v>
      </c>
      <c r="DB59" s="1">
        <v>0</v>
      </c>
      <c r="DC59" s="1">
        <v>5260452.9513033098</v>
      </c>
      <c r="DD59" s="1">
        <v>1163950.4815785801</v>
      </c>
      <c r="DE59" s="1">
        <v>4211938.2950730203</v>
      </c>
      <c r="DF59" s="1">
        <v>13981970.0236676</v>
      </c>
      <c r="DG59" s="1">
        <v>3638044.75466152</v>
      </c>
      <c r="DH59" s="1">
        <v>198155.359586709</v>
      </c>
      <c r="DI59" s="1">
        <v>5628480.5753165102</v>
      </c>
      <c r="DJ59" s="1">
        <v>221220661.99533799</v>
      </c>
      <c r="DK59" s="1">
        <v>0</v>
      </c>
      <c r="DL59" s="1">
        <v>1210576906.1773701</v>
      </c>
      <c r="DM59" s="1">
        <v>327035408.64696598</v>
      </c>
      <c r="DN59" s="1">
        <v>6910601.4096167702</v>
      </c>
      <c r="DO59" s="1">
        <v>204361.60860217101</v>
      </c>
      <c r="DP59" s="1">
        <v>17074720.365539499</v>
      </c>
      <c r="DQ59" s="1">
        <v>409911745.91014099</v>
      </c>
      <c r="DR59" s="1">
        <v>0</v>
      </c>
      <c r="DS59" s="1">
        <v>211976674.219742</v>
      </c>
      <c r="DT59" s="1">
        <v>55011543.899829499</v>
      </c>
      <c r="DU59" s="1">
        <v>219966022.83984399</v>
      </c>
      <c r="DV59" s="1">
        <v>787645350.12294602</v>
      </c>
      <c r="DW59" s="1">
        <v>180037283.85835499</v>
      </c>
    </row>
    <row r="60" spans="1:127" x14ac:dyDescent="0.25">
      <c r="A60" t="s">
        <v>86</v>
      </c>
      <c r="B60">
        <v>42.93</v>
      </c>
      <c r="C60">
        <v>-71.430000000000007</v>
      </c>
      <c r="D60">
        <v>-17</v>
      </c>
      <c r="E60">
        <v>-13.8</v>
      </c>
      <c r="F60">
        <v>32.799999999999997</v>
      </c>
      <c r="G60">
        <v>22.2</v>
      </c>
      <c r="H60">
        <v>31.4</v>
      </c>
      <c r="I60">
        <v>21.4</v>
      </c>
      <c r="J60">
        <v>17.0833333333333</v>
      </c>
      <c r="K60">
        <v>0</v>
      </c>
      <c r="L60">
        <v>6913097182.5796499</v>
      </c>
      <c r="M60">
        <v>1538898509.87287</v>
      </c>
      <c r="N60">
        <v>4732.8564299999998</v>
      </c>
      <c r="O60" s="75">
        <v>45093408248.5811</v>
      </c>
      <c r="P60">
        <f>56366760310.7264*(0.8/0.96)</f>
        <v>46972300258.938667</v>
      </c>
      <c r="Q60">
        <v>29308</v>
      </c>
      <c r="R60">
        <v>375676233.21751302</v>
      </c>
      <c r="S60">
        <f>2835.30057145625*(0.8/0.96)</f>
        <v>2362.7504762135418</v>
      </c>
      <c r="T60">
        <v>2.43789574031759</v>
      </c>
      <c r="U60">
        <v>0.61335644294859903</v>
      </c>
      <c r="V60">
        <v>3.51658521146951</v>
      </c>
      <c r="W60">
        <v>6.4418087526961001</v>
      </c>
      <c r="X60">
        <v>1.54578162792734</v>
      </c>
      <c r="Y60">
        <v>0.95684217631173796</v>
      </c>
      <c r="Z60">
        <v>0.13116877726519999</v>
      </c>
      <c r="AA60">
        <v>0.14785101034239101</v>
      </c>
      <c r="AB60">
        <v>2.8842277065592499</v>
      </c>
      <c r="AC60">
        <v>0.38577685355791902</v>
      </c>
      <c r="AD60">
        <v>2.4382299331277402</v>
      </c>
      <c r="AE60">
        <v>0.38412859050377701</v>
      </c>
      <c r="AF60">
        <v>1.3915664837477</v>
      </c>
      <c r="AG60">
        <v>3.8283540704988601</v>
      </c>
      <c r="AH60">
        <v>0.46526239199146402</v>
      </c>
      <c r="AI60">
        <v>0.46526239199146402</v>
      </c>
      <c r="AJ60">
        <v>16.75</v>
      </c>
      <c r="AK60">
        <v>36.9166666666666</v>
      </c>
      <c r="AL60">
        <v>6934322767.8958302</v>
      </c>
      <c r="AM60">
        <v>990309338.50458896</v>
      </c>
      <c r="AN60">
        <v>4732.8564299999998</v>
      </c>
      <c r="AO60" s="69">
        <v>35728776412.372002</v>
      </c>
      <c r="AP60">
        <v>12329734431.080601</v>
      </c>
      <c r="AQ60">
        <v>4732.8564299999998</v>
      </c>
      <c r="AR60" s="69">
        <v>7595234022.0622196</v>
      </c>
      <c r="AS60">
        <v>7595234022.0622196</v>
      </c>
      <c r="AT60">
        <v>8287.9760999999999</v>
      </c>
      <c r="AU60">
        <v>2267111766.1303</v>
      </c>
      <c r="AV60">
        <v>83.810056831392103</v>
      </c>
      <c r="AW60">
        <v>21.3583308727648</v>
      </c>
      <c r="AX60">
        <v>116.459396447279</v>
      </c>
      <c r="AY60">
        <v>213.222946111623</v>
      </c>
      <c r="AZ60">
        <v>54.079853242578203</v>
      </c>
      <c r="BA60">
        <v>31.603959822452801</v>
      </c>
      <c r="BB60">
        <v>4.3465670453170304</v>
      </c>
      <c r="BC60">
        <v>4.7842072615618001</v>
      </c>
      <c r="BD60">
        <v>104.238056628813</v>
      </c>
      <c r="BE60">
        <v>13.308749907039701</v>
      </c>
      <c r="BF60">
        <v>83.769068170183999</v>
      </c>
      <c r="BG60">
        <v>12.6797672211519</v>
      </c>
      <c r="BH60">
        <v>45.7668500377901</v>
      </c>
      <c r="BI60">
        <v>128.54454993048799</v>
      </c>
      <c r="BJ60">
        <v>15.163703775326301</v>
      </c>
      <c r="BK60">
        <v>15.163703775326301</v>
      </c>
      <c r="BL60">
        <v>15.556496035234099</v>
      </c>
      <c r="BM60">
        <v>3.9599635611272501</v>
      </c>
      <c r="BN60">
        <v>20.8358495981578</v>
      </c>
      <c r="BO60">
        <v>37.686224592384498</v>
      </c>
      <c r="BP60">
        <v>9.6116035982621799</v>
      </c>
      <c r="BQ60">
        <v>5.8099480410288598</v>
      </c>
      <c r="BR60">
        <v>0.78984870149290498</v>
      </c>
      <c r="BS60">
        <v>0.87446114373938599</v>
      </c>
      <c r="BT60">
        <v>18.127969502016601</v>
      </c>
      <c r="BU60">
        <v>2.36281666207771</v>
      </c>
      <c r="BV60">
        <v>15.203266813123101</v>
      </c>
      <c r="BW60">
        <v>2.35055271786044</v>
      </c>
      <c r="BX60">
        <v>8.4453389811108597</v>
      </c>
      <c r="BY60">
        <v>23.457654504099001</v>
      </c>
      <c r="BZ60">
        <v>2.80029501077661</v>
      </c>
      <c r="CA60">
        <v>2.80029501077661</v>
      </c>
      <c r="CB60">
        <v>21.186515214619298</v>
      </c>
      <c r="CC60">
        <v>3.71497006881396</v>
      </c>
      <c r="CD60">
        <v>83.898500614856104</v>
      </c>
      <c r="CE60">
        <v>180.94365534609099</v>
      </c>
      <c r="CF60">
        <v>20.971768022134899</v>
      </c>
      <c r="CG60">
        <v>17.704864087208399</v>
      </c>
      <c r="CH60">
        <v>3.33573430675396</v>
      </c>
      <c r="CI60">
        <v>2.94844799682464</v>
      </c>
      <c r="CJ60">
        <v>22.983227883127501</v>
      </c>
      <c r="CK60">
        <v>7.1716804018841396</v>
      </c>
      <c r="CL60">
        <v>29.0258101382726</v>
      </c>
      <c r="CM60">
        <v>7.1571585951275702</v>
      </c>
      <c r="CN60">
        <v>28.168279281032</v>
      </c>
      <c r="CO60">
        <v>67.342705769323501</v>
      </c>
      <c r="CP60">
        <v>9.7802077418827196</v>
      </c>
      <c r="CQ60">
        <v>9.7802077418827196</v>
      </c>
      <c r="CR60" s="1">
        <v>0</v>
      </c>
      <c r="CS60" s="1">
        <v>4121.3926474544896</v>
      </c>
      <c r="CT60" s="1">
        <v>1815714.1414015901</v>
      </c>
      <c r="CU60" s="1">
        <v>0</v>
      </c>
      <c r="CV60" s="1">
        <v>15012804.1136043</v>
      </c>
      <c r="CW60" s="1">
        <v>4886093.0675254399</v>
      </c>
      <c r="CX60" s="1">
        <v>381269.39576747199</v>
      </c>
      <c r="CY60" s="1">
        <v>0</v>
      </c>
      <c r="CZ60" s="1">
        <v>13616.548846522999</v>
      </c>
      <c r="DA60" s="1">
        <v>2893400.26384323</v>
      </c>
      <c r="DB60" s="1">
        <v>0</v>
      </c>
      <c r="DC60" s="1">
        <v>2092685.9522011499</v>
      </c>
      <c r="DD60" s="1">
        <v>588414.06423465395</v>
      </c>
      <c r="DE60" s="1">
        <v>3016434.4197449498</v>
      </c>
      <c r="DF60" s="1">
        <v>8489519.3884236608</v>
      </c>
      <c r="DG60" s="1">
        <v>1526377.2260372599</v>
      </c>
      <c r="DH60" s="1">
        <v>0</v>
      </c>
      <c r="DI60" s="1">
        <v>222406.41664773499</v>
      </c>
      <c r="DJ60" s="1">
        <v>75439100.8569379</v>
      </c>
      <c r="DK60" s="1">
        <v>0</v>
      </c>
      <c r="DL60" s="1">
        <v>1180690418.44384</v>
      </c>
      <c r="DM60" s="1">
        <v>332206019.43613797</v>
      </c>
      <c r="DN60" s="1">
        <v>12130882.574445801</v>
      </c>
      <c r="DO60" s="1">
        <v>0</v>
      </c>
      <c r="DP60" s="1">
        <v>683408.76062743203</v>
      </c>
      <c r="DQ60" s="1">
        <v>118654186.63967399</v>
      </c>
      <c r="DR60" s="1">
        <v>0</v>
      </c>
      <c r="DS60" s="1">
        <v>88557265.523664504</v>
      </c>
      <c r="DT60" s="1">
        <v>25835682.340051599</v>
      </c>
      <c r="DU60" s="1">
        <v>178448680.64201599</v>
      </c>
      <c r="DV60" s="1">
        <v>576169368.76108694</v>
      </c>
      <c r="DW60" s="1">
        <v>65302290.084265597</v>
      </c>
    </row>
    <row r="61" spans="1:127" x14ac:dyDescent="0.25">
      <c r="A61" t="s">
        <v>88</v>
      </c>
      <c r="B61">
        <v>40.72</v>
      </c>
      <c r="C61">
        <v>-74.180000000000007</v>
      </c>
      <c r="D61">
        <v>-10.9</v>
      </c>
      <c r="E61">
        <v>-8.6</v>
      </c>
      <c r="F61">
        <v>34.5</v>
      </c>
      <c r="G61">
        <v>23.7</v>
      </c>
      <c r="H61">
        <v>32.799999999999997</v>
      </c>
      <c r="I61">
        <v>22.8</v>
      </c>
      <c r="J61">
        <v>32.583333333333201</v>
      </c>
      <c r="K61">
        <v>0</v>
      </c>
      <c r="L61">
        <v>14310576261.804199</v>
      </c>
      <c r="M61">
        <v>3219348909.1396298</v>
      </c>
      <c r="N61">
        <v>5326.2939399999996</v>
      </c>
      <c r="O61" s="75">
        <v>37150652510.204002</v>
      </c>
      <c r="P61">
        <f>46438315637.7551*(0.8/0.96)</f>
        <v>38698596364.795914</v>
      </c>
      <c r="Q61">
        <v>29308</v>
      </c>
      <c r="R61">
        <v>331337902.86580902</v>
      </c>
      <c r="S61">
        <f>2335.89055215112*(0.8/0.96)</f>
        <v>1946.5754601259334</v>
      </c>
      <c r="T61">
        <v>22.038823918041999</v>
      </c>
      <c r="U61">
        <v>6.5285106848758598</v>
      </c>
      <c r="V61">
        <v>24.215499208042701</v>
      </c>
      <c r="W61">
        <v>6.2511178858533301</v>
      </c>
      <c r="X61">
        <v>6.1613585990402999</v>
      </c>
      <c r="Y61">
        <v>16.417364288040101</v>
      </c>
      <c r="Z61">
        <v>15.037394791751</v>
      </c>
      <c r="AA61">
        <v>21.014101289262701</v>
      </c>
      <c r="AB61">
        <v>11.1500905425596</v>
      </c>
      <c r="AC61">
        <v>12.0406852835425</v>
      </c>
      <c r="AD61">
        <v>14.648972850582799</v>
      </c>
      <c r="AE61">
        <v>18.384451150632501</v>
      </c>
      <c r="AF61">
        <v>17.7625698214325</v>
      </c>
      <c r="AG61">
        <v>13.463215998909201</v>
      </c>
      <c r="AH61">
        <v>8.2459244017323794</v>
      </c>
      <c r="AI61">
        <v>8.2459244017323794</v>
      </c>
      <c r="AJ61">
        <v>32.4166666666666</v>
      </c>
      <c r="AK61">
        <v>15.3333333333333</v>
      </c>
      <c r="AL61">
        <v>14344040197.597</v>
      </c>
      <c r="AM61">
        <v>2145479540.62169</v>
      </c>
      <c r="AN61">
        <v>5326.2939399999996</v>
      </c>
      <c r="AO61" s="69">
        <v>32545783013.111198</v>
      </c>
      <c r="AP61">
        <v>11048710539.4224</v>
      </c>
      <c r="AQ61">
        <v>5326.2939399999996</v>
      </c>
      <c r="AR61" s="69">
        <v>3183948263.01753</v>
      </c>
      <c r="AS61">
        <v>3183948263.01753</v>
      </c>
      <c r="AT61">
        <v>7259.4427299999998</v>
      </c>
      <c r="AU61">
        <v>1878030487.0822799</v>
      </c>
      <c r="AV61">
        <v>737.46013757081505</v>
      </c>
      <c r="AW61">
        <v>218.65570548858801</v>
      </c>
      <c r="AX61">
        <v>820.11936966938504</v>
      </c>
      <c r="AY61">
        <v>210.167535475465</v>
      </c>
      <c r="AZ61">
        <v>208.315968261347</v>
      </c>
      <c r="BA61">
        <v>547.82963618388703</v>
      </c>
      <c r="BB61">
        <v>503.296740740806</v>
      </c>
      <c r="BC61">
        <v>704.48194718694401</v>
      </c>
      <c r="BD61">
        <v>368.72180491716603</v>
      </c>
      <c r="BE61">
        <v>403.96206929537902</v>
      </c>
      <c r="BF61">
        <v>490.30157462496697</v>
      </c>
      <c r="BG61">
        <v>617.09821266879396</v>
      </c>
      <c r="BH61">
        <v>596.93153842916604</v>
      </c>
      <c r="BI61">
        <v>450.90987549088601</v>
      </c>
      <c r="BJ61">
        <v>280.56266516829203</v>
      </c>
      <c r="BK61">
        <v>280.56266516829203</v>
      </c>
      <c r="BL61">
        <v>124.79363310489499</v>
      </c>
      <c r="BM61">
        <v>37.070020240871898</v>
      </c>
      <c r="BN61">
        <v>136.935513003609</v>
      </c>
      <c r="BO61">
        <v>35.342789968478698</v>
      </c>
      <c r="BP61">
        <v>34.760446630964502</v>
      </c>
      <c r="BQ61">
        <v>92.788903978321898</v>
      </c>
      <c r="BR61">
        <v>84.881823138999806</v>
      </c>
      <c r="BS61">
        <v>119.292666624283</v>
      </c>
      <c r="BT61">
        <v>63.278274375005097</v>
      </c>
      <c r="BU61">
        <v>68.173934782670898</v>
      </c>
      <c r="BV61">
        <v>82.979934603871996</v>
      </c>
      <c r="BW61">
        <v>103.946008988085</v>
      </c>
      <c r="BX61">
        <v>100.36905799908</v>
      </c>
      <c r="BY61">
        <v>76.140516928103395</v>
      </c>
      <c r="BZ61">
        <v>46.391714276850401</v>
      </c>
      <c r="CA61">
        <v>46.391714276850401</v>
      </c>
      <c r="CB61">
        <v>200.88833716336799</v>
      </c>
      <c r="CC61">
        <v>62.158541889298597</v>
      </c>
      <c r="CD61">
        <v>252.19488954975199</v>
      </c>
      <c r="CE61">
        <v>55.602077054965299</v>
      </c>
      <c r="CF61">
        <v>67.082741916084998</v>
      </c>
      <c r="CG61">
        <v>140.99342867426799</v>
      </c>
      <c r="CH61">
        <v>146.554954162028</v>
      </c>
      <c r="CI61">
        <v>199.24037716893901</v>
      </c>
      <c r="CJ61">
        <v>98.667544426265906</v>
      </c>
      <c r="CK61">
        <v>109.382021577497</v>
      </c>
      <c r="CL61">
        <v>139.28433004757099</v>
      </c>
      <c r="CM61">
        <v>186.33325700361101</v>
      </c>
      <c r="CN61">
        <v>195.06096678840601</v>
      </c>
      <c r="CO61">
        <v>139.629834558792</v>
      </c>
      <c r="CP61">
        <v>87.537780805702496</v>
      </c>
      <c r="CQ61">
        <v>87.537780805702496</v>
      </c>
      <c r="CR61" s="1">
        <v>345432056.79251099</v>
      </c>
      <c r="CS61" s="1">
        <v>335878600.57751602</v>
      </c>
      <c r="CT61" s="1">
        <v>306948314.60252798</v>
      </c>
      <c r="CU61" s="1">
        <v>303092591.38033801</v>
      </c>
      <c r="CV61" s="1">
        <v>274257073.25412899</v>
      </c>
      <c r="CW61" s="1">
        <v>244455907.608648</v>
      </c>
      <c r="CX61" s="1">
        <v>234710624.86633599</v>
      </c>
      <c r="CY61" s="1">
        <v>226430243.18125999</v>
      </c>
      <c r="CZ61" s="1">
        <v>227010142.67149499</v>
      </c>
      <c r="DA61" s="1">
        <v>247949285.61214399</v>
      </c>
      <c r="DB61" s="1">
        <v>238835081.66524899</v>
      </c>
      <c r="DC61" s="1">
        <v>270577385.28109503</v>
      </c>
      <c r="DD61" s="1">
        <v>271803207.08872098</v>
      </c>
      <c r="DE61" s="1">
        <v>286862541.52777201</v>
      </c>
      <c r="DF61" s="1">
        <v>301496849.48875999</v>
      </c>
      <c r="DG61" s="1">
        <v>290535135.10799998</v>
      </c>
      <c r="DH61" s="1">
        <v>16984973638.2318</v>
      </c>
      <c r="DI61" s="1">
        <v>16367279720.1793</v>
      </c>
      <c r="DJ61" s="1">
        <v>14966886897.8365</v>
      </c>
      <c r="DK61" s="1">
        <v>14823293833.528601</v>
      </c>
      <c r="DL61" s="1">
        <v>13443447829.994499</v>
      </c>
      <c r="DM61" s="1">
        <v>12210553181.253</v>
      </c>
      <c r="DN61" s="1">
        <v>11610564620.0313</v>
      </c>
      <c r="DO61" s="1">
        <v>11310553121.520901</v>
      </c>
      <c r="DP61" s="1">
        <v>11280685158.511801</v>
      </c>
      <c r="DQ61" s="1">
        <v>12224423143.555201</v>
      </c>
      <c r="DR61" s="1">
        <v>11829338223.6467</v>
      </c>
      <c r="DS61" s="1">
        <v>13372715877.128901</v>
      </c>
      <c r="DT61" s="1">
        <v>13506250563.880199</v>
      </c>
      <c r="DU61" s="1">
        <v>14285246642.143</v>
      </c>
      <c r="DV61" s="1">
        <v>14955061146.766701</v>
      </c>
      <c r="DW61" s="1">
        <v>14499555189.697701</v>
      </c>
    </row>
    <row r="62" spans="1:127" x14ac:dyDescent="0.25">
      <c r="A62" t="s">
        <v>89</v>
      </c>
      <c r="B62">
        <v>40.28</v>
      </c>
      <c r="C62">
        <v>-74.819999999999993</v>
      </c>
      <c r="D62">
        <v>-11.2</v>
      </c>
      <c r="E62">
        <v>-8.9</v>
      </c>
      <c r="F62">
        <v>33.799999999999997</v>
      </c>
      <c r="G62">
        <v>23.4</v>
      </c>
      <c r="H62">
        <v>32.299999999999997</v>
      </c>
      <c r="I62">
        <v>22.9</v>
      </c>
      <c r="J62">
        <v>72.999999999999801</v>
      </c>
      <c r="K62">
        <v>0</v>
      </c>
      <c r="L62">
        <v>13085385156.771601</v>
      </c>
      <c r="M62">
        <v>2937483810.9822302</v>
      </c>
      <c r="N62">
        <v>4745.1713200000004</v>
      </c>
      <c r="O62" s="75">
        <v>33411179201.186401</v>
      </c>
      <c r="P62">
        <f>41763974001.483*(0.8/0.96)</f>
        <v>34803311667.902504</v>
      </c>
      <c r="Q62">
        <v>29308</v>
      </c>
      <c r="R62">
        <v>269234604.77661198</v>
      </c>
      <c r="S62">
        <f>2100.76681185729*(0.8/0.96)</f>
        <v>1750.6390098810753</v>
      </c>
      <c r="T62">
        <v>17.431127031017301</v>
      </c>
      <c r="U62">
        <v>5.4067645966505298</v>
      </c>
      <c r="V62">
        <v>19.8093600287926</v>
      </c>
      <c r="W62">
        <v>4.9434250616178996</v>
      </c>
      <c r="X62">
        <v>4.9140656234305196</v>
      </c>
      <c r="Y62">
        <v>12.970960308141899</v>
      </c>
      <c r="Z62">
        <v>11.863060732761699</v>
      </c>
      <c r="AA62">
        <v>17.625311691922601</v>
      </c>
      <c r="AB62">
        <v>8.8586893305669694</v>
      </c>
      <c r="AC62">
        <v>9.5756485506902198</v>
      </c>
      <c r="AD62">
        <v>11.761119642573099</v>
      </c>
      <c r="AE62">
        <v>14.381029828088099</v>
      </c>
      <c r="AF62">
        <v>14.678605500359801</v>
      </c>
      <c r="AG62">
        <v>11.217014116778399</v>
      </c>
      <c r="AH62">
        <v>6.4508255569768602</v>
      </c>
      <c r="AI62">
        <v>6.4508255569768602</v>
      </c>
      <c r="AJ62">
        <v>72.666666666666401</v>
      </c>
      <c r="AK62">
        <v>16.5833333333333</v>
      </c>
      <c r="AL62">
        <v>13113023626.394699</v>
      </c>
      <c r="AM62">
        <v>2039013842.1592801</v>
      </c>
      <c r="AN62">
        <v>4745.1713200000004</v>
      </c>
      <c r="AO62" s="69">
        <v>28036830374.195702</v>
      </c>
      <c r="AP62">
        <v>9501242086.4577007</v>
      </c>
      <c r="AQ62">
        <v>4745.1713200000004</v>
      </c>
      <c r="AR62" s="69">
        <v>4077466024.8131399</v>
      </c>
      <c r="AS62">
        <v>4077466024.8131399</v>
      </c>
      <c r="AT62">
        <v>6751.8944600000004</v>
      </c>
      <c r="AU62">
        <v>1672080093.2141099</v>
      </c>
      <c r="AV62">
        <v>623.43439981655104</v>
      </c>
      <c r="AW62">
        <v>191.81268692802999</v>
      </c>
      <c r="AX62">
        <v>718.16969301382096</v>
      </c>
      <c r="AY62">
        <v>175.08826610892899</v>
      </c>
      <c r="AZ62">
        <v>177.57433798527501</v>
      </c>
      <c r="BA62">
        <v>457.71566820536998</v>
      </c>
      <c r="BB62">
        <v>422.276961381484</v>
      </c>
      <c r="BC62">
        <v>624.92552458823002</v>
      </c>
      <c r="BD62">
        <v>311.42907979931601</v>
      </c>
      <c r="BE62">
        <v>339.90548144781098</v>
      </c>
      <c r="BF62">
        <v>414.435488223189</v>
      </c>
      <c r="BG62">
        <v>510.42294226886298</v>
      </c>
      <c r="BH62">
        <v>522.18534991700199</v>
      </c>
      <c r="BI62">
        <v>400.59173891363002</v>
      </c>
      <c r="BJ62">
        <v>233.45591735458899</v>
      </c>
      <c r="BK62">
        <v>233.45591735458899</v>
      </c>
      <c r="BL62">
        <v>108.645648270595</v>
      </c>
      <c r="BM62">
        <v>33.627761720102903</v>
      </c>
      <c r="BN62">
        <v>122.94686698755</v>
      </c>
      <c r="BO62">
        <v>30.848055178674901</v>
      </c>
      <c r="BP62">
        <v>30.559258732054801</v>
      </c>
      <c r="BQ62">
        <v>80.766413245880798</v>
      </c>
      <c r="BR62">
        <v>73.825633644264997</v>
      </c>
      <c r="BS62">
        <v>109.46576584368501</v>
      </c>
      <c r="BT62">
        <v>55.163505274541201</v>
      </c>
      <c r="BU62">
        <v>59.587320931426497</v>
      </c>
      <c r="BV62">
        <v>73.224461780512698</v>
      </c>
      <c r="BW62">
        <v>89.247683818600393</v>
      </c>
      <c r="BX62">
        <v>90.954548763073404</v>
      </c>
      <c r="BY62">
        <v>69.628466207063397</v>
      </c>
      <c r="BZ62">
        <v>40.001784266987698</v>
      </c>
      <c r="CA62">
        <v>40.001784266987698</v>
      </c>
      <c r="CB62">
        <v>234.25849921029501</v>
      </c>
      <c r="CC62">
        <v>86.759673917374101</v>
      </c>
      <c r="CD62">
        <v>320.82824224492401</v>
      </c>
      <c r="CE62">
        <v>67.512504552141905</v>
      </c>
      <c r="CF62">
        <v>76.708235865323601</v>
      </c>
      <c r="CG62">
        <v>178.44771775416501</v>
      </c>
      <c r="CH62">
        <v>166.11204640183499</v>
      </c>
      <c r="CI62">
        <v>278.86874304778001</v>
      </c>
      <c r="CJ62">
        <v>119.44037999355901</v>
      </c>
      <c r="CK62">
        <v>143.146455598236</v>
      </c>
      <c r="CL62">
        <v>163.89058868446901</v>
      </c>
      <c r="CM62">
        <v>218.45006166547199</v>
      </c>
      <c r="CN62">
        <v>244.61631144166901</v>
      </c>
      <c r="CO62">
        <v>176.58707019095601</v>
      </c>
      <c r="CP62">
        <v>103.228503495692</v>
      </c>
      <c r="CQ62">
        <v>103.228503495692</v>
      </c>
      <c r="CR62" s="1">
        <v>281355079.30653501</v>
      </c>
      <c r="CS62" s="1">
        <v>271463550.35479599</v>
      </c>
      <c r="CT62" s="1">
        <v>247240264.86982399</v>
      </c>
      <c r="CU62" s="1">
        <v>245131651.89565</v>
      </c>
      <c r="CV62" s="1">
        <v>221332990.47530401</v>
      </c>
      <c r="CW62" s="1">
        <v>196275868.76045001</v>
      </c>
      <c r="CX62" s="1">
        <v>191653656.39539599</v>
      </c>
      <c r="CY62" s="1">
        <v>183498943.305877</v>
      </c>
      <c r="CZ62" s="1">
        <v>185666453.86949101</v>
      </c>
      <c r="DA62" s="1">
        <v>201749366.689147</v>
      </c>
      <c r="DB62" s="1">
        <v>196060992.296381</v>
      </c>
      <c r="DC62" s="1">
        <v>222954318.111532</v>
      </c>
      <c r="DD62" s="1">
        <v>223929780.908254</v>
      </c>
      <c r="DE62" s="1">
        <v>233357477.78219199</v>
      </c>
      <c r="DF62" s="1">
        <v>245907516.81647399</v>
      </c>
      <c r="DG62" s="1">
        <v>238830536.020273</v>
      </c>
      <c r="DH62" s="1">
        <v>16135871032.760599</v>
      </c>
      <c r="DI62" s="1">
        <v>15419418443.509399</v>
      </c>
      <c r="DJ62" s="1">
        <v>14023130991.104</v>
      </c>
      <c r="DK62" s="1">
        <v>13905347242.7113</v>
      </c>
      <c r="DL62" s="1">
        <v>12623773230.294001</v>
      </c>
      <c r="DM62" s="1">
        <v>11250115961.3263</v>
      </c>
      <c r="DN62" s="1">
        <v>11047213476.762899</v>
      </c>
      <c r="DO62" s="1">
        <v>10589169089.551399</v>
      </c>
      <c r="DP62" s="1">
        <v>10731662091.210699</v>
      </c>
      <c r="DQ62" s="1">
        <v>11542730939.7194</v>
      </c>
      <c r="DR62" s="1">
        <v>11341454906.8097</v>
      </c>
      <c r="DS62" s="1">
        <v>12840579936.7789</v>
      </c>
      <c r="DT62" s="1">
        <v>12861487972.246201</v>
      </c>
      <c r="DU62" s="1">
        <v>13474442852.350599</v>
      </c>
      <c r="DV62" s="1">
        <v>14176109983.8787</v>
      </c>
      <c r="DW62" s="1">
        <v>13860762100.219999</v>
      </c>
    </row>
    <row r="63" spans="1:127" x14ac:dyDescent="0.25">
      <c r="A63" t="s">
        <v>91</v>
      </c>
      <c r="B63">
        <v>35.04</v>
      </c>
      <c r="C63">
        <v>-106.62</v>
      </c>
      <c r="D63">
        <v>-7.7</v>
      </c>
      <c r="E63">
        <v>-5.8</v>
      </c>
      <c r="F63">
        <v>35.1</v>
      </c>
      <c r="G63">
        <v>15.6</v>
      </c>
      <c r="H63">
        <v>33.9</v>
      </c>
      <c r="I63">
        <v>15.4</v>
      </c>
      <c r="J63">
        <v>71.0833333333333</v>
      </c>
      <c r="K63">
        <v>0</v>
      </c>
      <c r="L63">
        <v>15127969169.295401</v>
      </c>
      <c r="M63">
        <v>3688431273.82686</v>
      </c>
      <c r="N63">
        <v>4959.6785600000003</v>
      </c>
      <c r="O63" s="75">
        <v>20408175275.825001</v>
      </c>
      <c r="P63">
        <f>25510219094.7815*(0.8/0.96)</f>
        <v>21258515912.317921</v>
      </c>
      <c r="Q63">
        <v>29308</v>
      </c>
      <c r="R63">
        <v>221359925.531409</v>
      </c>
      <c r="S63">
        <f>1283.18779327901*(0.8/0.96)</f>
        <v>1069.3231610658418</v>
      </c>
      <c r="T63">
        <v>41.086056231828799</v>
      </c>
      <c r="U63">
        <v>47.357917408221297</v>
      </c>
      <c r="V63">
        <v>34.370674889129198</v>
      </c>
      <c r="W63">
        <v>26.978030420309501</v>
      </c>
      <c r="X63">
        <v>14.651844637506301</v>
      </c>
      <c r="Y63">
        <v>22.0820844486617</v>
      </c>
      <c r="Z63">
        <v>21.661771736198599</v>
      </c>
      <c r="AA63">
        <v>8.3370399188322306</v>
      </c>
      <c r="AB63">
        <v>8.5124839558413008</v>
      </c>
      <c r="AC63">
        <v>6.9726204698779704</v>
      </c>
      <c r="AD63">
        <v>22.145937818394</v>
      </c>
      <c r="AE63">
        <v>6.1181676517130503</v>
      </c>
      <c r="AF63">
        <v>16.5696016892127</v>
      </c>
      <c r="AG63">
        <v>19.990870492517899</v>
      </c>
      <c r="AH63">
        <v>8.2307607195205694</v>
      </c>
      <c r="AI63">
        <v>8.2146736654384593</v>
      </c>
      <c r="AJ63">
        <v>70.75</v>
      </c>
      <c r="AK63">
        <v>13.9166666666666</v>
      </c>
      <c r="AL63">
        <v>15143767219.4942</v>
      </c>
      <c r="AM63">
        <v>2559416652.5480299</v>
      </c>
      <c r="AN63">
        <v>4959.6785600000003</v>
      </c>
      <c r="AO63" s="69">
        <v>19039356529.473701</v>
      </c>
      <c r="AP63">
        <v>6023695784.3362398</v>
      </c>
      <c r="AQ63">
        <v>4959.6785600000003</v>
      </c>
      <c r="AR63" s="69">
        <v>405059424.44284701</v>
      </c>
      <c r="AS63">
        <v>405059424.44284701</v>
      </c>
      <c r="AT63">
        <v>5497.1692000000003</v>
      </c>
      <c r="AU63">
        <v>1299297382.3232999</v>
      </c>
      <c r="AV63">
        <v>1118.1456255082901</v>
      </c>
      <c r="AW63">
        <v>1295.7867949542399</v>
      </c>
      <c r="AX63">
        <v>946.05582004844496</v>
      </c>
      <c r="AY63">
        <v>754.47550996301504</v>
      </c>
      <c r="AZ63">
        <v>405.07962184292899</v>
      </c>
      <c r="BA63">
        <v>607.49923361644403</v>
      </c>
      <c r="BB63">
        <v>596.277396182448</v>
      </c>
      <c r="BC63">
        <v>230.71459420424401</v>
      </c>
      <c r="BD63">
        <v>235.39276217443199</v>
      </c>
      <c r="BE63">
        <v>189.590764787246</v>
      </c>
      <c r="BF63">
        <v>609.77099142648399</v>
      </c>
      <c r="BG63">
        <v>169.90741461569499</v>
      </c>
      <c r="BH63">
        <v>459.336492867988</v>
      </c>
      <c r="BI63">
        <v>552.82101358842101</v>
      </c>
      <c r="BJ63">
        <v>228.71998379168701</v>
      </c>
      <c r="BK63">
        <v>228.254855490236</v>
      </c>
      <c r="BL63">
        <v>240.87836864106399</v>
      </c>
      <c r="BM63">
        <v>277.133499352287</v>
      </c>
      <c r="BN63">
        <v>200.48034046930701</v>
      </c>
      <c r="BO63">
        <v>156.62094891561699</v>
      </c>
      <c r="BP63">
        <v>85.308982164610896</v>
      </c>
      <c r="BQ63">
        <v>128.93102091081801</v>
      </c>
      <c r="BR63">
        <v>126.480380945837</v>
      </c>
      <c r="BS63">
        <v>48.5525382906212</v>
      </c>
      <c r="BT63">
        <v>49.5424241113327</v>
      </c>
      <c r="BU63">
        <v>40.916107835814998</v>
      </c>
      <c r="BV63">
        <v>129.11850270317601</v>
      </c>
      <c r="BW63">
        <v>35.439262513309799</v>
      </c>
      <c r="BX63">
        <v>96.365061970311601</v>
      </c>
      <c r="BY63">
        <v>116.499884284179</v>
      </c>
      <c r="BZ63">
        <v>47.613130582103103</v>
      </c>
      <c r="CA63">
        <v>47.5224659158538</v>
      </c>
      <c r="CB63">
        <v>73.042876247089296</v>
      </c>
      <c r="CC63">
        <v>81.363544331776097</v>
      </c>
      <c r="CD63">
        <v>56.829209493310501</v>
      </c>
      <c r="CE63">
        <v>47.278969073088</v>
      </c>
      <c r="CF63">
        <v>25.0290582944187</v>
      </c>
      <c r="CG63">
        <v>36.067741137226101</v>
      </c>
      <c r="CH63">
        <v>33.908130226702902</v>
      </c>
      <c r="CI63">
        <v>13.278135821418701</v>
      </c>
      <c r="CJ63">
        <v>14.2733691862384</v>
      </c>
      <c r="CK63">
        <v>10.6857961876998</v>
      </c>
      <c r="CL63">
        <v>32.746557443995798</v>
      </c>
      <c r="CM63">
        <v>7.2285654456352297</v>
      </c>
      <c r="CN63">
        <v>25.771874117515399</v>
      </c>
      <c r="CO63">
        <v>33.956395910819701</v>
      </c>
      <c r="CP63">
        <v>10.618873361961899</v>
      </c>
      <c r="CQ63">
        <v>10.609589522924599</v>
      </c>
      <c r="CR63" s="1">
        <v>112461110.075442</v>
      </c>
      <c r="CS63" s="1">
        <v>57543480.029464103</v>
      </c>
      <c r="CT63" s="1">
        <v>22182069.757859599</v>
      </c>
      <c r="CU63" s="1">
        <v>16154324.5854491</v>
      </c>
      <c r="CV63" s="1">
        <v>10218424.063763499</v>
      </c>
      <c r="CW63" s="1">
        <v>7171519.6815765304</v>
      </c>
      <c r="CX63" s="1">
        <v>6953131.4986663302</v>
      </c>
      <c r="CY63" s="1">
        <v>6702550.4971617702</v>
      </c>
      <c r="CZ63" s="1">
        <v>3715658.69340117</v>
      </c>
      <c r="DA63" s="1">
        <v>2874044.3283963301</v>
      </c>
      <c r="DB63" s="1">
        <v>1312112.4354126099</v>
      </c>
      <c r="DC63" s="1">
        <v>1960201.40769216</v>
      </c>
      <c r="DD63" s="1">
        <v>4108858.16454932</v>
      </c>
      <c r="DE63" s="1">
        <v>11346362.5106769</v>
      </c>
      <c r="DF63" s="1">
        <v>17736891.2095122</v>
      </c>
      <c r="DG63" s="1">
        <v>14080533.6628819</v>
      </c>
      <c r="DH63" s="1">
        <v>3946128676.2360001</v>
      </c>
      <c r="DI63" s="1">
        <v>2016759691.8567801</v>
      </c>
      <c r="DJ63" s="1">
        <v>780815459.31609797</v>
      </c>
      <c r="DK63" s="1">
        <v>568043618.22979999</v>
      </c>
      <c r="DL63" s="1">
        <v>351249556.02234697</v>
      </c>
      <c r="DM63" s="1">
        <v>247396499.61920401</v>
      </c>
      <c r="DN63" s="1">
        <v>241221671.56061</v>
      </c>
      <c r="DO63" s="1">
        <v>232918571.52784899</v>
      </c>
      <c r="DP63" s="1">
        <v>126845251.002435</v>
      </c>
      <c r="DQ63" s="1">
        <v>99073609.891348407</v>
      </c>
      <c r="DR63" s="1">
        <v>43887596.766704902</v>
      </c>
      <c r="DS63" s="1">
        <v>66629004.689039797</v>
      </c>
      <c r="DT63" s="1">
        <v>141939399.09367901</v>
      </c>
      <c r="DU63" s="1">
        <v>395179300.489021</v>
      </c>
      <c r="DV63" s="1">
        <v>615627381.32498097</v>
      </c>
      <c r="DW63" s="1">
        <v>488073861.21571302</v>
      </c>
    </row>
    <row r="64" spans="1:127" x14ac:dyDescent="0.25">
      <c r="A64" t="s">
        <v>90</v>
      </c>
      <c r="B64">
        <v>32.28</v>
      </c>
      <c r="C64">
        <v>-106.92</v>
      </c>
      <c r="D64">
        <v>-5</v>
      </c>
      <c r="E64">
        <v>-3</v>
      </c>
      <c r="F64">
        <v>37.799999999999997</v>
      </c>
      <c r="G64">
        <v>16.600000000000001</v>
      </c>
      <c r="H64">
        <v>36.6</v>
      </c>
      <c r="I64">
        <v>16.899999999999999</v>
      </c>
      <c r="J64">
        <v>262.25</v>
      </c>
      <c r="K64">
        <v>0</v>
      </c>
      <c r="L64">
        <v>26401381077.985199</v>
      </c>
      <c r="M64">
        <v>6717483024.1283503</v>
      </c>
      <c r="N64">
        <v>5020.8597799999998</v>
      </c>
      <c r="O64" s="75">
        <v>10570397026.3598</v>
      </c>
      <c r="P64">
        <f>13212996282.9498*(0.8/0.96)</f>
        <v>11010830235.7915</v>
      </c>
      <c r="Q64">
        <v>29308</v>
      </c>
      <c r="R64">
        <v>116067515.132917</v>
      </c>
      <c r="S64">
        <f>664.626026139877*(0.8/0.96)</f>
        <v>553.85502178323088</v>
      </c>
      <c r="T64">
        <v>21.593401358811999</v>
      </c>
      <c r="U64">
        <v>24.537364981951502</v>
      </c>
      <c r="V64">
        <v>17.935720062947698</v>
      </c>
      <c r="W64">
        <v>14.1805755116673</v>
      </c>
      <c r="X64">
        <v>7.63227083203929</v>
      </c>
      <c r="Y64">
        <v>11.2222423182449</v>
      </c>
      <c r="Z64">
        <v>11.0069196403995</v>
      </c>
      <c r="AA64">
        <v>4.4439630998556501</v>
      </c>
      <c r="AB64">
        <v>4.4111380647097196</v>
      </c>
      <c r="AC64">
        <v>3.3353628479774802</v>
      </c>
      <c r="AD64">
        <v>11.107431027414499</v>
      </c>
      <c r="AE64">
        <v>3.0295256463298701</v>
      </c>
      <c r="AF64">
        <v>8.1460396722656192</v>
      </c>
      <c r="AG64">
        <v>9.9700906935536899</v>
      </c>
      <c r="AH64">
        <v>3.9253293777453302</v>
      </c>
      <c r="AI64">
        <v>3.9179329548014099</v>
      </c>
      <c r="AJ64">
        <v>261.916666666666</v>
      </c>
      <c r="AK64">
        <v>11.0833333333333</v>
      </c>
      <c r="AL64">
        <v>26390647666.386398</v>
      </c>
      <c r="AM64">
        <v>5053946723.5118198</v>
      </c>
      <c r="AN64">
        <v>5020.8597799999998</v>
      </c>
      <c r="AO64" s="69">
        <v>9735669256.3948307</v>
      </c>
      <c r="AP64">
        <v>2972673398.80474</v>
      </c>
      <c r="AQ64">
        <v>5020.8597799999998</v>
      </c>
      <c r="AR64" s="69">
        <v>317237379.23474002</v>
      </c>
      <c r="AS64">
        <v>317237379.23474002</v>
      </c>
      <c r="AT64">
        <v>4759.9527900000003</v>
      </c>
      <c r="AU64">
        <v>686357672.78682196</v>
      </c>
      <c r="AV64">
        <v>553.76165446329196</v>
      </c>
      <c r="AW64">
        <v>633.41981528474503</v>
      </c>
      <c r="AX64">
        <v>469.18274231194903</v>
      </c>
      <c r="AY64">
        <v>375.66351486411202</v>
      </c>
      <c r="AZ64">
        <v>200.518937990127</v>
      </c>
      <c r="BA64">
        <v>291.73120066086301</v>
      </c>
      <c r="BB64">
        <v>285.17524933539602</v>
      </c>
      <c r="BC64">
        <v>117.293073122537</v>
      </c>
      <c r="BD64">
        <v>114.658329863444</v>
      </c>
      <c r="BE64">
        <v>86.465164201702095</v>
      </c>
      <c r="BF64">
        <v>289.62358104424197</v>
      </c>
      <c r="BG64">
        <v>80.435234746015894</v>
      </c>
      <c r="BH64">
        <v>214.052173630395</v>
      </c>
      <c r="BI64">
        <v>262.97997535424599</v>
      </c>
      <c r="BJ64">
        <v>104.365440626669</v>
      </c>
      <c r="BK64">
        <v>104.156779322254</v>
      </c>
      <c r="BL64">
        <v>127.620011528004</v>
      </c>
      <c r="BM64">
        <v>145.03455379910801</v>
      </c>
      <c r="BN64">
        <v>105.91126311081401</v>
      </c>
      <c r="BO64">
        <v>83.588436338584401</v>
      </c>
      <c r="BP64">
        <v>45.0175718743575</v>
      </c>
      <c r="BQ64">
        <v>66.380963447167403</v>
      </c>
      <c r="BR64">
        <v>65.261724635630202</v>
      </c>
      <c r="BS64">
        <v>26.248088744842299</v>
      </c>
      <c r="BT64">
        <v>26.121297703173699</v>
      </c>
      <c r="BU64">
        <v>19.8607275057499</v>
      </c>
      <c r="BV64">
        <v>65.560111394041698</v>
      </c>
      <c r="BW64">
        <v>17.835095858175201</v>
      </c>
      <c r="BX64">
        <v>48.009743946790699</v>
      </c>
      <c r="BY64">
        <v>58.807843146735301</v>
      </c>
      <c r="BZ64">
        <v>23.0541138789157</v>
      </c>
      <c r="CA64">
        <v>23.011178879858999</v>
      </c>
      <c r="CB64">
        <v>58.236615865061601</v>
      </c>
      <c r="CC64">
        <v>64.326227355243006</v>
      </c>
      <c r="CD64">
        <v>48.421944801613897</v>
      </c>
      <c r="CE64">
        <v>37.967782090185899</v>
      </c>
      <c r="CF64">
        <v>20.7793407243628</v>
      </c>
      <c r="CG64">
        <v>29.257530799174699</v>
      </c>
      <c r="CH64">
        <v>28.110669149364501</v>
      </c>
      <c r="CI64">
        <v>11.679072922492299</v>
      </c>
      <c r="CJ64">
        <v>12.5328109361714</v>
      </c>
      <c r="CK64">
        <v>8.7132529597922908</v>
      </c>
      <c r="CL64">
        <v>26.899120672199</v>
      </c>
      <c r="CM64">
        <v>6.7726626704144497</v>
      </c>
      <c r="CN64">
        <v>21.699987501373698</v>
      </c>
      <c r="CO64">
        <v>26.7152415149408</v>
      </c>
      <c r="CP64">
        <v>9.6494405831049495</v>
      </c>
      <c r="CQ64">
        <v>9.6368645062096903</v>
      </c>
      <c r="CR64" s="1">
        <v>59476491.1364813</v>
      </c>
      <c r="CS64" s="1">
        <v>33474040.397640798</v>
      </c>
      <c r="CT64" s="1">
        <v>11157999.973789399</v>
      </c>
      <c r="CU64" s="1">
        <v>8784015.6999858096</v>
      </c>
      <c r="CV64" s="1">
        <v>5978402.4144543801</v>
      </c>
      <c r="CW64" s="1">
        <v>4123177.29818343</v>
      </c>
      <c r="CX64" s="1">
        <v>3518588.0090982001</v>
      </c>
      <c r="CY64" s="1">
        <v>3803964.4959038501</v>
      </c>
      <c r="CZ64" s="1">
        <v>2269443.3664397202</v>
      </c>
      <c r="DA64" s="1">
        <v>1426950.02637189</v>
      </c>
      <c r="DB64" s="1">
        <v>618692.55938766897</v>
      </c>
      <c r="DC64" s="1">
        <v>1126057.66376841</v>
      </c>
      <c r="DD64" s="1">
        <v>2118392.3312056502</v>
      </c>
      <c r="DE64" s="1">
        <v>6090254.4535169099</v>
      </c>
      <c r="DF64" s="1">
        <v>9281048.2605742197</v>
      </c>
      <c r="DG64" s="1">
        <v>7370736.2565512098</v>
      </c>
      <c r="DH64" s="1">
        <v>2093715265.5615001</v>
      </c>
      <c r="DI64" s="1">
        <v>1191328394.7151501</v>
      </c>
      <c r="DJ64" s="1">
        <v>388124920.67340201</v>
      </c>
      <c r="DK64" s="1">
        <v>314938335.04699498</v>
      </c>
      <c r="DL64" s="1">
        <v>213685868.88350299</v>
      </c>
      <c r="DM64" s="1">
        <v>147796312.686425</v>
      </c>
      <c r="DN64" s="1">
        <v>123967882.07805701</v>
      </c>
      <c r="DO64" s="1">
        <v>135205571.82529899</v>
      </c>
      <c r="DP64" s="1">
        <v>83703911.051639795</v>
      </c>
      <c r="DQ64" s="1">
        <v>49210711.576907396</v>
      </c>
      <c r="DR64" s="1">
        <v>20608285.0262019</v>
      </c>
      <c r="DS64" s="1">
        <v>39130889.801779598</v>
      </c>
      <c r="DT64" s="1">
        <v>72766318.880202204</v>
      </c>
      <c r="DU64" s="1">
        <v>214764103.953316</v>
      </c>
      <c r="DV64" s="1">
        <v>323656912.42401397</v>
      </c>
      <c r="DW64" s="1">
        <v>258001686.42349601</v>
      </c>
    </row>
    <row r="65" spans="1:127" x14ac:dyDescent="0.25">
      <c r="A65" t="s">
        <v>92</v>
      </c>
      <c r="B65">
        <v>35.619999999999997</v>
      </c>
      <c r="C65">
        <v>-106.08</v>
      </c>
      <c r="D65">
        <v>-12.1</v>
      </c>
      <c r="E65">
        <v>-9.1</v>
      </c>
      <c r="F65">
        <v>33</v>
      </c>
      <c r="G65">
        <v>14.3</v>
      </c>
      <c r="H65">
        <v>32.4</v>
      </c>
      <c r="I65">
        <v>14.3</v>
      </c>
      <c r="J65">
        <v>14.5833333333333</v>
      </c>
      <c r="K65">
        <v>0</v>
      </c>
      <c r="L65">
        <v>7423931823.8203602</v>
      </c>
      <c r="M65">
        <v>1708375999.86361</v>
      </c>
      <c r="N65">
        <v>4235.5151900000001</v>
      </c>
      <c r="O65" s="75">
        <v>29708942408.856499</v>
      </c>
      <c r="P65">
        <f>37136178011.0707*(0.8/0.96)</f>
        <v>30946815009.225586</v>
      </c>
      <c r="Q65">
        <v>29308</v>
      </c>
      <c r="R65">
        <v>275191318.48749799</v>
      </c>
      <c r="S65">
        <f>1867.98436092579*(0.8/0.96)</f>
        <v>1556.6536341048252</v>
      </c>
      <c r="T65">
        <v>51.037737639389697</v>
      </c>
      <c r="U65">
        <v>58.455104805668597</v>
      </c>
      <c r="V65">
        <v>42.5509230578933</v>
      </c>
      <c r="W65">
        <v>33.545011504661801</v>
      </c>
      <c r="X65">
        <v>18.3732889834655</v>
      </c>
      <c r="Y65">
        <v>27.342655448634801</v>
      </c>
      <c r="Z65">
        <v>27.020030197275599</v>
      </c>
      <c r="AA65">
        <v>10.466416485742601</v>
      </c>
      <c r="AB65">
        <v>10.502866588915801</v>
      </c>
      <c r="AC65">
        <v>8.8996522935318403</v>
      </c>
      <c r="AD65">
        <v>27.638579264494101</v>
      </c>
      <c r="AE65">
        <v>7.6488118396615903</v>
      </c>
      <c r="AF65">
        <v>20.5017598913741</v>
      </c>
      <c r="AG65">
        <v>24.771073156008399</v>
      </c>
      <c r="AH65">
        <v>10.4169097599656</v>
      </c>
      <c r="AI65">
        <v>10.397261037962901</v>
      </c>
      <c r="AJ65">
        <v>14.5</v>
      </c>
      <c r="AK65">
        <v>16.4166666666666</v>
      </c>
      <c r="AL65">
        <v>7443307060.8844404</v>
      </c>
      <c r="AM65">
        <v>1078930513.7158799</v>
      </c>
      <c r="AN65">
        <v>4235.5151900000001</v>
      </c>
      <c r="AO65" s="69">
        <v>26058276863.151901</v>
      </c>
      <c r="AP65">
        <v>8978846653.0856609</v>
      </c>
      <c r="AQ65">
        <v>4235.5151900000001</v>
      </c>
      <c r="AR65" s="69">
        <v>2126266885.16587</v>
      </c>
      <c r="AS65">
        <v>2126266885.16587</v>
      </c>
      <c r="AT65">
        <v>6390.52045</v>
      </c>
      <c r="AU65">
        <v>1928855045.0850899</v>
      </c>
      <c r="AV65">
        <v>1662.9909670484201</v>
      </c>
      <c r="AW65">
        <v>1923.1495457461399</v>
      </c>
      <c r="AX65">
        <v>1413.21123276101</v>
      </c>
      <c r="AY65">
        <v>1129.86468953024</v>
      </c>
      <c r="AZ65">
        <v>612.47571643888398</v>
      </c>
      <c r="BA65">
        <v>908.08864663229895</v>
      </c>
      <c r="BB65">
        <v>897.48113600519105</v>
      </c>
      <c r="BC65">
        <v>348.963714455125</v>
      </c>
      <c r="BD65">
        <v>349.218648861345</v>
      </c>
      <c r="BE65">
        <v>293.314324010456</v>
      </c>
      <c r="BF65">
        <v>920.49857558237704</v>
      </c>
      <c r="BG65">
        <v>257.84569079609003</v>
      </c>
      <c r="BH65">
        <v>688.26767778916405</v>
      </c>
      <c r="BI65">
        <v>826.95086249206304</v>
      </c>
      <c r="BJ65">
        <v>350.90852787799599</v>
      </c>
      <c r="BK65">
        <v>350.205266083482</v>
      </c>
      <c r="BL65">
        <v>358.11624883044198</v>
      </c>
      <c r="BM65">
        <v>409.87934162454098</v>
      </c>
      <c r="BN65">
        <v>298.32127168271899</v>
      </c>
      <c r="BO65">
        <v>234.10478376941199</v>
      </c>
      <c r="BP65">
        <v>128.76385083968401</v>
      </c>
      <c r="BQ65">
        <v>191.88007762151801</v>
      </c>
      <c r="BR65">
        <v>189.66555751499899</v>
      </c>
      <c r="BS65">
        <v>73.163624704768694</v>
      </c>
      <c r="BT65">
        <v>73.7297131017297</v>
      </c>
      <c r="BU65">
        <v>62.537639883226703</v>
      </c>
      <c r="BV65">
        <v>193.680008453418</v>
      </c>
      <c r="BW65">
        <v>53.708597834163498</v>
      </c>
      <c r="BX65">
        <v>144.17610510897501</v>
      </c>
      <c r="BY65">
        <v>173.20061763534099</v>
      </c>
      <c r="BZ65">
        <v>73.064308311316694</v>
      </c>
      <c r="CA65">
        <v>72.9268669360156</v>
      </c>
      <c r="CB65">
        <v>399.83223256805599</v>
      </c>
      <c r="CC65">
        <v>451.30659961324699</v>
      </c>
      <c r="CD65">
        <v>324.48952301614099</v>
      </c>
      <c r="CE65">
        <v>262.86789955210202</v>
      </c>
      <c r="CF65">
        <v>140.62976818376501</v>
      </c>
      <c r="CG65">
        <v>206.67307854202099</v>
      </c>
      <c r="CH65">
        <v>200.53408312154099</v>
      </c>
      <c r="CI65">
        <v>76.5680316758353</v>
      </c>
      <c r="CJ65">
        <v>81.629117202372996</v>
      </c>
      <c r="CK65">
        <v>58.772068265477998</v>
      </c>
      <c r="CL65">
        <v>203.31655276730399</v>
      </c>
      <c r="CM65">
        <v>54.158362179677802</v>
      </c>
      <c r="CN65">
        <v>160.43203728728</v>
      </c>
      <c r="CO65">
        <v>193.387562334856</v>
      </c>
      <c r="CP65">
        <v>77.8228668077669</v>
      </c>
      <c r="CQ65">
        <v>77.681282133866404</v>
      </c>
      <c r="CR65" s="1">
        <v>136813853.22724399</v>
      </c>
      <c r="CS65" s="1">
        <v>70708347.708681002</v>
      </c>
      <c r="CT65" s="1">
        <v>27471871.4154916</v>
      </c>
      <c r="CU65" s="1">
        <v>20373695.626323398</v>
      </c>
      <c r="CV65" s="1">
        <v>11927436.3606034</v>
      </c>
      <c r="CW65" s="1">
        <v>8575116.5034381803</v>
      </c>
      <c r="CX65" s="1">
        <v>8198210.71204542</v>
      </c>
      <c r="CY65" s="1">
        <v>7291667.7539712004</v>
      </c>
      <c r="CZ65" s="1">
        <v>4113156.6846783902</v>
      </c>
      <c r="DA65" s="1">
        <v>3230775.7258449802</v>
      </c>
      <c r="DB65" s="1">
        <v>1438269.5487320099</v>
      </c>
      <c r="DC65" s="1">
        <v>2234164.5140524199</v>
      </c>
      <c r="DD65" s="1">
        <v>4801716.6212383797</v>
      </c>
      <c r="DE65" s="1">
        <v>13802620.9881646</v>
      </c>
      <c r="DF65" s="1">
        <v>22024820.516281299</v>
      </c>
      <c r="DG65" s="1">
        <v>17255625.032973599</v>
      </c>
      <c r="DH65" s="1">
        <v>6519290032.31882</v>
      </c>
      <c r="DI65" s="1">
        <v>3436055336.3687301</v>
      </c>
      <c r="DJ65" s="1">
        <v>1347632707.2663</v>
      </c>
      <c r="DK65" s="1">
        <v>987313118.67048502</v>
      </c>
      <c r="DL65" s="1">
        <v>551942507.18929696</v>
      </c>
      <c r="DM65" s="1">
        <v>417379141.78830999</v>
      </c>
      <c r="DN65" s="1">
        <v>398975619.30515099</v>
      </c>
      <c r="DO65" s="1">
        <v>355164363.74638802</v>
      </c>
      <c r="DP65" s="1">
        <v>200017535.29960999</v>
      </c>
      <c r="DQ65" s="1">
        <v>159100673.71275601</v>
      </c>
      <c r="DR65" s="1">
        <v>61453219.218164198</v>
      </c>
      <c r="DS65" s="1">
        <v>106493504.658637</v>
      </c>
      <c r="DT65" s="1">
        <v>232832188.24996901</v>
      </c>
      <c r="DU65" s="1">
        <v>674632644.35917997</v>
      </c>
      <c r="DV65" s="1">
        <v>1072477129.8773299</v>
      </c>
      <c r="DW65" s="1">
        <v>832318292.522277</v>
      </c>
    </row>
    <row r="66" spans="1:127" x14ac:dyDescent="0.25">
      <c r="A66" t="s">
        <v>93</v>
      </c>
      <c r="B66">
        <v>36.08</v>
      </c>
      <c r="C66">
        <v>-115.15</v>
      </c>
      <c r="D66">
        <v>-0.5</v>
      </c>
      <c r="E66">
        <v>1</v>
      </c>
      <c r="F66">
        <v>42.5</v>
      </c>
      <c r="G66">
        <v>19.899999999999999</v>
      </c>
      <c r="H66">
        <v>41.3</v>
      </c>
      <c r="I66">
        <v>19.5</v>
      </c>
      <c r="J66">
        <v>137.833333333333</v>
      </c>
      <c r="K66">
        <v>0</v>
      </c>
      <c r="L66">
        <v>36177702243.6548</v>
      </c>
      <c r="M66">
        <v>10278304488.8866</v>
      </c>
      <c r="N66">
        <v>6806.2685099999999</v>
      </c>
      <c r="O66" s="75">
        <v>9902100185.3472691</v>
      </c>
      <c r="P66">
        <f>12377625231.684*(0.8/0.96)</f>
        <v>10314687693.07</v>
      </c>
      <c r="Q66">
        <v>29308</v>
      </c>
      <c r="R66">
        <v>132160975.089185</v>
      </c>
      <c r="S66">
        <f>622.606083784219*(0.8/0.96)</f>
        <v>518.83840315351586</v>
      </c>
      <c r="T66">
        <v>14.1850006854431</v>
      </c>
      <c r="U66">
        <v>6.4264843609703401</v>
      </c>
      <c r="V66">
        <v>11.326908176790599</v>
      </c>
      <c r="W66">
        <v>5.76979906214825</v>
      </c>
      <c r="X66">
        <v>7.2416328691149401</v>
      </c>
      <c r="Y66">
        <v>8.1567594725534907</v>
      </c>
      <c r="Z66">
        <v>9.0667714627597107</v>
      </c>
      <c r="AA66">
        <v>8.3891899452897896</v>
      </c>
      <c r="AB66">
        <v>2.0770639555464601</v>
      </c>
      <c r="AC66">
        <v>3.72746873294675</v>
      </c>
      <c r="AD66">
        <v>10.499714520415701</v>
      </c>
      <c r="AE66">
        <v>2.1397312157088</v>
      </c>
      <c r="AF66">
        <v>5.5001930142039201</v>
      </c>
      <c r="AG66">
        <v>7.1892742357372796</v>
      </c>
      <c r="AH66">
        <v>3.9978874467501999</v>
      </c>
      <c r="AI66">
        <v>3.9978874467501999</v>
      </c>
      <c r="AJ66">
        <v>137.833333333333</v>
      </c>
      <c r="AK66">
        <v>9.3333333333333304</v>
      </c>
      <c r="AL66">
        <v>36085081084.357697</v>
      </c>
      <c r="AM66">
        <v>8444565482.8156204</v>
      </c>
      <c r="AN66">
        <v>6806.2685099999999</v>
      </c>
      <c r="AO66" s="69">
        <v>9395375561.1914005</v>
      </c>
      <c r="AP66">
        <v>2437591496.3789201</v>
      </c>
      <c r="AQ66">
        <v>6806.2685099999999</v>
      </c>
      <c r="AR66" s="69">
        <v>85797292.783369094</v>
      </c>
      <c r="AS66">
        <v>85797292.783369094</v>
      </c>
      <c r="AT66">
        <v>3431.51638</v>
      </c>
      <c r="AU66">
        <v>590884064.50530505</v>
      </c>
      <c r="AV66">
        <v>267.81713538557199</v>
      </c>
      <c r="AW66">
        <v>120.111390974221</v>
      </c>
      <c r="AX66">
        <v>212.14548443304301</v>
      </c>
      <c r="AY66">
        <v>109.419052599624</v>
      </c>
      <c r="AZ66">
        <v>136.054716717709</v>
      </c>
      <c r="BA66">
        <v>154.53270505468899</v>
      </c>
      <c r="BB66">
        <v>167.823208444485</v>
      </c>
      <c r="BC66">
        <v>157.51609898754501</v>
      </c>
      <c r="BD66">
        <v>38.903095957468103</v>
      </c>
      <c r="BE66">
        <v>70.161257381688799</v>
      </c>
      <c r="BF66">
        <v>195.00320958006901</v>
      </c>
      <c r="BG66">
        <v>39.911957268269802</v>
      </c>
      <c r="BH66">
        <v>102.80524425527101</v>
      </c>
      <c r="BI66">
        <v>132.18516828066299</v>
      </c>
      <c r="BJ66">
        <v>74.611009351587398</v>
      </c>
      <c r="BK66">
        <v>74.611009351587398</v>
      </c>
      <c r="BL66">
        <v>63.798851639858398</v>
      </c>
      <c r="BM66">
        <v>28.8316266091363</v>
      </c>
      <c r="BN66">
        <v>50.791568908169999</v>
      </c>
      <c r="BO66">
        <v>26.005432042813801</v>
      </c>
      <c r="BP66">
        <v>32.610970329539597</v>
      </c>
      <c r="BQ66">
        <v>36.558521588060003</v>
      </c>
      <c r="BR66">
        <v>40.623192770181397</v>
      </c>
      <c r="BS66">
        <v>37.708957156495998</v>
      </c>
      <c r="BT66">
        <v>9.3257759308519894</v>
      </c>
      <c r="BU66">
        <v>16.713692341853601</v>
      </c>
      <c r="BV66">
        <v>46.894890142597099</v>
      </c>
      <c r="BW66">
        <v>9.6194647446380408</v>
      </c>
      <c r="BX66">
        <v>24.6199642958886</v>
      </c>
      <c r="BY66">
        <v>32.055058450569597</v>
      </c>
      <c r="BZ66">
        <v>17.878463125503501</v>
      </c>
      <c r="CA66">
        <v>17.878463125503501</v>
      </c>
      <c r="CB66">
        <v>7.6870371289446799</v>
      </c>
      <c r="CC66">
        <v>3.4563706313396101</v>
      </c>
      <c r="CD66">
        <v>7.3254936712848098</v>
      </c>
      <c r="CE66">
        <v>3.4080048878476799</v>
      </c>
      <c r="CF66">
        <v>4.0841696876462699</v>
      </c>
      <c r="CG66">
        <v>4.4224864676516704</v>
      </c>
      <c r="CH66">
        <v>5.8086761160622098</v>
      </c>
      <c r="CI66">
        <v>4.8650009378663004</v>
      </c>
      <c r="CJ66">
        <v>1.3824691899584101</v>
      </c>
      <c r="CK66">
        <v>2.24704990963652</v>
      </c>
      <c r="CL66">
        <v>7.3482865460289597</v>
      </c>
      <c r="CM66">
        <v>1.0859290701633899</v>
      </c>
      <c r="CN66">
        <v>3.4258630307436899</v>
      </c>
      <c r="CO66">
        <v>4.4111449122331496</v>
      </c>
      <c r="CP66">
        <v>2.6921754387657599</v>
      </c>
      <c r="CQ66">
        <v>2.6921754387657599</v>
      </c>
      <c r="CR66" s="1">
        <v>163306656.87827</v>
      </c>
      <c r="CS66" s="1">
        <v>143354068.470532</v>
      </c>
      <c r="CT66" s="1">
        <v>137116783.19815001</v>
      </c>
      <c r="CU66" s="1">
        <v>137645107.93852401</v>
      </c>
      <c r="CV66" s="1">
        <v>128199884.853733</v>
      </c>
      <c r="CW66" s="1">
        <v>122525211.735828</v>
      </c>
      <c r="CX66" s="1">
        <v>116463486.577482</v>
      </c>
      <c r="CY66" s="1">
        <v>120644140.487583</v>
      </c>
      <c r="CZ66" s="1">
        <v>118735707.579763</v>
      </c>
      <c r="DA66" s="1">
        <v>91339652.534238696</v>
      </c>
      <c r="DB66" s="1">
        <v>78913993.552360803</v>
      </c>
      <c r="DC66" s="1">
        <v>81805528.546389103</v>
      </c>
      <c r="DD66" s="1">
        <v>57062473.356466599</v>
      </c>
      <c r="DE66" s="1">
        <v>54438195.280654997</v>
      </c>
      <c r="DF66" s="1">
        <v>51973817.502411298</v>
      </c>
      <c r="DG66" s="1">
        <v>45585186.8121076</v>
      </c>
      <c r="DH66" s="1">
        <v>3888177823.4814301</v>
      </c>
      <c r="DI66" s="1">
        <v>3418933681.8446002</v>
      </c>
      <c r="DJ66" s="1">
        <v>3277463542.62779</v>
      </c>
      <c r="DK66" s="1">
        <v>3290875348.34308</v>
      </c>
      <c r="DL66" s="1">
        <v>3076924153.3129001</v>
      </c>
      <c r="DM66" s="1">
        <v>2948728466.4480801</v>
      </c>
      <c r="DN66" s="1">
        <v>2813939279.3290801</v>
      </c>
      <c r="DO66" s="1">
        <v>2907467383.9868898</v>
      </c>
      <c r="DP66" s="1">
        <v>2861203814.7659998</v>
      </c>
      <c r="DQ66" s="1">
        <v>2204554560.0222602</v>
      </c>
      <c r="DR66" s="1">
        <v>1913576794.63449</v>
      </c>
      <c r="DS66" s="1">
        <v>1982549574.20836</v>
      </c>
      <c r="DT66" s="1">
        <v>1392227018.8719399</v>
      </c>
      <c r="DU66" s="1">
        <v>1324830139.1299601</v>
      </c>
      <c r="DV66" s="1">
        <v>1267779238.40241</v>
      </c>
      <c r="DW66" s="1">
        <v>1109039021.96029</v>
      </c>
    </row>
    <row r="67" spans="1:127" x14ac:dyDescent="0.25">
      <c r="A67" t="s">
        <v>94</v>
      </c>
      <c r="B67">
        <v>39.479999999999997</v>
      </c>
      <c r="C67">
        <v>-119.77</v>
      </c>
      <c r="D67">
        <v>-11.1</v>
      </c>
      <c r="E67">
        <v>-8</v>
      </c>
      <c r="F67">
        <v>35.700000000000003</v>
      </c>
      <c r="G67">
        <v>16.399999999999999</v>
      </c>
      <c r="H67">
        <v>34.1</v>
      </c>
      <c r="I67">
        <v>15.7</v>
      </c>
      <c r="J67">
        <v>67.8333333333333</v>
      </c>
      <c r="K67">
        <v>0</v>
      </c>
      <c r="L67">
        <v>10643359102.324699</v>
      </c>
      <c r="M67">
        <v>2649314303.02</v>
      </c>
      <c r="N67">
        <v>4661.2739000000001</v>
      </c>
      <c r="O67" s="75">
        <v>31501040831.427101</v>
      </c>
      <c r="P67">
        <f>39376301039.284*(0.8/0.96)</f>
        <v>32813584199.403332</v>
      </c>
      <c r="Q67">
        <v>29308</v>
      </c>
      <c r="R67">
        <v>321122562.66158903</v>
      </c>
      <c r="S67">
        <f>1980.66463680137*(0.8/0.96)</f>
        <v>1650.5538640011418</v>
      </c>
      <c r="T67">
        <v>32.016378299420197</v>
      </c>
      <c r="U67">
        <v>14.4179254339167</v>
      </c>
      <c r="V67">
        <v>28.842035385543699</v>
      </c>
      <c r="W67">
        <v>13.025931946143899</v>
      </c>
      <c r="X67">
        <v>17.271400232992299</v>
      </c>
      <c r="Y67">
        <v>18.723104394285802</v>
      </c>
      <c r="Z67">
        <v>21.637689277635602</v>
      </c>
      <c r="AA67">
        <v>19.7980328908343</v>
      </c>
      <c r="AB67">
        <v>4.8569405202159102</v>
      </c>
      <c r="AC67">
        <v>8.0625197512691393</v>
      </c>
      <c r="AD67">
        <v>23.731276050242201</v>
      </c>
      <c r="AE67">
        <v>4.8384503145656401</v>
      </c>
      <c r="AF67">
        <v>12.051492142532901</v>
      </c>
      <c r="AG67">
        <v>15.895365056992601</v>
      </c>
      <c r="AH67">
        <v>8.7831382874180104</v>
      </c>
      <c r="AI67">
        <v>8.7831382874180104</v>
      </c>
      <c r="AJ67">
        <v>67.8333333333333</v>
      </c>
      <c r="AK67">
        <v>18.75</v>
      </c>
      <c r="AL67">
        <v>10624055545.619699</v>
      </c>
      <c r="AM67">
        <v>1917408168.2620201</v>
      </c>
      <c r="AN67">
        <v>4661.2739000000001</v>
      </c>
      <c r="AO67" s="69">
        <v>27373395203.736599</v>
      </c>
      <c r="AP67">
        <v>9332039757.2447109</v>
      </c>
      <c r="AQ67">
        <v>4661.2739000000001</v>
      </c>
      <c r="AR67" s="69">
        <v>2555253201.0700998</v>
      </c>
      <c r="AS67">
        <v>2555253201.0700998</v>
      </c>
      <c r="AT67">
        <v>6359.3380800000004</v>
      </c>
      <c r="AU67">
        <v>2031729342.7135401</v>
      </c>
      <c r="AV67">
        <v>954.49488417126497</v>
      </c>
      <c r="AW67">
        <v>424.81994046328299</v>
      </c>
      <c r="AX67">
        <v>848.89831110176794</v>
      </c>
      <c r="AY67">
        <v>390.47725387053498</v>
      </c>
      <c r="AZ67">
        <v>512.92432824183697</v>
      </c>
      <c r="BA67">
        <v>561.75613418868795</v>
      </c>
      <c r="BB67">
        <v>636.45163514770195</v>
      </c>
      <c r="BC67">
        <v>587.363516505044</v>
      </c>
      <c r="BD67">
        <v>143.225731866026</v>
      </c>
      <c r="BE67">
        <v>240.83115094377601</v>
      </c>
      <c r="BF67">
        <v>693.57955386093897</v>
      </c>
      <c r="BG67">
        <v>143.92487066277101</v>
      </c>
      <c r="BH67">
        <v>356.01111106194799</v>
      </c>
      <c r="BI67">
        <v>464.436919208635</v>
      </c>
      <c r="BJ67">
        <v>261.06310034191699</v>
      </c>
      <c r="BK67">
        <v>261.06310034191699</v>
      </c>
      <c r="BL67">
        <v>201.922712120472</v>
      </c>
      <c r="BM67">
        <v>91.128526460065601</v>
      </c>
      <c r="BN67">
        <v>182.28336498597</v>
      </c>
      <c r="BO67">
        <v>82.055604768796499</v>
      </c>
      <c r="BP67">
        <v>108.999594587004</v>
      </c>
      <c r="BQ67">
        <v>117.885508894663</v>
      </c>
      <c r="BR67">
        <v>136.475042494928</v>
      </c>
      <c r="BS67">
        <v>124.79003269348399</v>
      </c>
      <c r="BT67">
        <v>30.694560153388402</v>
      </c>
      <c r="BU67">
        <v>50.820871503648398</v>
      </c>
      <c r="BV67">
        <v>149.148126805088</v>
      </c>
      <c r="BW67">
        <v>30.496269274006099</v>
      </c>
      <c r="BX67">
        <v>75.828484839747603</v>
      </c>
      <c r="BY67">
        <v>100.069240101422</v>
      </c>
      <c r="BZ67">
        <v>55.2641657050508</v>
      </c>
      <c r="CA67">
        <v>55.2641657050508</v>
      </c>
      <c r="CB67">
        <v>279.972262914662</v>
      </c>
      <c r="CC67">
        <v>125.47734858530499</v>
      </c>
      <c r="CD67">
        <v>202.48364866784499</v>
      </c>
      <c r="CE67">
        <v>111.89754870265099</v>
      </c>
      <c r="CF67">
        <v>133.17640651651499</v>
      </c>
      <c r="CG67">
        <v>146.46105011611601</v>
      </c>
      <c r="CH67">
        <v>176.67261747408</v>
      </c>
      <c r="CI67">
        <v>163.50577714569101</v>
      </c>
      <c r="CJ67">
        <v>36.748627981332199</v>
      </c>
      <c r="CK67">
        <v>67.020658492574299</v>
      </c>
      <c r="CL67">
        <v>219.747708893267</v>
      </c>
      <c r="CM67">
        <v>37.781138127536799</v>
      </c>
      <c r="CN67">
        <v>115.061327358824</v>
      </c>
      <c r="CO67">
        <v>138.075118069642</v>
      </c>
      <c r="CP67">
        <v>75.8501594973511</v>
      </c>
      <c r="CQ67">
        <v>75.8501594973511</v>
      </c>
      <c r="CR67" s="1">
        <v>381266424.62606001</v>
      </c>
      <c r="CS67" s="1">
        <v>335099549.17409599</v>
      </c>
      <c r="CT67" s="1">
        <v>316234640.57125401</v>
      </c>
      <c r="CU67" s="1">
        <v>317166137.31232399</v>
      </c>
      <c r="CV67" s="1">
        <v>288618470.22314602</v>
      </c>
      <c r="CW67" s="1">
        <v>272746937.34925401</v>
      </c>
      <c r="CX67" s="1">
        <v>253730787.83717799</v>
      </c>
      <c r="CY67" s="1">
        <v>264443654.161356</v>
      </c>
      <c r="CZ67" s="1">
        <v>258469794.061313</v>
      </c>
      <c r="DA67" s="1">
        <v>195184862.099868</v>
      </c>
      <c r="DB67" s="1">
        <v>164487030.39389101</v>
      </c>
      <c r="DC67" s="1">
        <v>166771939.869605</v>
      </c>
      <c r="DD67" s="1">
        <v>112609210.913646</v>
      </c>
      <c r="DE67" s="1">
        <v>110407254.96947099</v>
      </c>
      <c r="DF67" s="1">
        <v>104483016.34151</v>
      </c>
      <c r="DG67" s="1">
        <v>92814997.430122197</v>
      </c>
      <c r="DH67" s="1">
        <v>16769454088.587099</v>
      </c>
      <c r="DI67" s="1">
        <v>14796169343.802</v>
      </c>
      <c r="DJ67" s="1">
        <v>14014266616.7932</v>
      </c>
      <c r="DK67" s="1">
        <v>13995074750.0791</v>
      </c>
      <c r="DL67" s="1">
        <v>12878453175.507999</v>
      </c>
      <c r="DM67" s="1">
        <v>12203225117.430901</v>
      </c>
      <c r="DN67" s="1">
        <v>11368837342.7365</v>
      </c>
      <c r="DO67" s="1">
        <v>11804165602.982901</v>
      </c>
      <c r="DP67" s="1">
        <v>11617315230.813101</v>
      </c>
      <c r="DQ67" s="1">
        <v>8786132458.0636101</v>
      </c>
      <c r="DR67" s="1">
        <v>7455684768.3570499</v>
      </c>
      <c r="DS67" s="1">
        <v>7580123420.4826498</v>
      </c>
      <c r="DT67" s="1">
        <v>5041850693.1374903</v>
      </c>
      <c r="DU67" s="1">
        <v>4975204026.3812504</v>
      </c>
      <c r="DV67" s="1">
        <v>4720083092.1574297</v>
      </c>
      <c r="DW67" s="1">
        <v>4174400285.6331601</v>
      </c>
    </row>
    <row r="68" spans="1:127" x14ac:dyDescent="0.25">
      <c r="A68" t="s">
        <v>96</v>
      </c>
      <c r="B68">
        <v>42.93</v>
      </c>
      <c r="C68">
        <v>-78.73</v>
      </c>
      <c r="D68">
        <v>-15.8</v>
      </c>
      <c r="E68">
        <v>-13.6</v>
      </c>
      <c r="F68">
        <v>30.2</v>
      </c>
      <c r="G68">
        <v>21.8</v>
      </c>
      <c r="H68">
        <v>28.8</v>
      </c>
      <c r="I68">
        <v>21.1</v>
      </c>
      <c r="J68">
        <v>3.6666666666666599</v>
      </c>
      <c r="K68">
        <v>0</v>
      </c>
      <c r="L68">
        <v>5710970815.7585096</v>
      </c>
      <c r="M68">
        <v>1211974539.8712101</v>
      </c>
      <c r="N68">
        <v>4856.1254900000004</v>
      </c>
      <c r="O68" s="75">
        <v>58589632573.720299</v>
      </c>
      <c r="P68">
        <f>73237040717.1502*(0.8/0.96)</f>
        <v>61030867264.29184</v>
      </c>
      <c r="Q68">
        <v>29308</v>
      </c>
      <c r="R68">
        <v>500667016.64534998</v>
      </c>
      <c r="S68">
        <f>3683.89139720676*(0.8/0.96)</f>
        <v>3069.9094976722999</v>
      </c>
      <c r="T68">
        <v>40.459569398852899</v>
      </c>
      <c r="U68">
        <v>4.4574311376366396</v>
      </c>
      <c r="V68">
        <v>24.424037334839301</v>
      </c>
      <c r="W68">
        <v>8.2641244538401697</v>
      </c>
      <c r="X68">
        <v>9.70286557718814</v>
      </c>
      <c r="Y68">
        <v>19.218458285431801</v>
      </c>
      <c r="Z68">
        <v>8.8394240713236805</v>
      </c>
      <c r="AA68">
        <v>18.9798848906436</v>
      </c>
      <c r="AB68">
        <v>12.983436123714901</v>
      </c>
      <c r="AC68">
        <v>5.7318226086347597</v>
      </c>
      <c r="AD68">
        <v>16.926583201791001</v>
      </c>
      <c r="AE68">
        <v>14.1717844268973</v>
      </c>
      <c r="AF68">
        <v>8.7077454680097208</v>
      </c>
      <c r="AG68">
        <v>9.3705601771646894</v>
      </c>
      <c r="AH68">
        <v>10.216106110178099</v>
      </c>
      <c r="AI68">
        <v>10.216085710555401</v>
      </c>
      <c r="AJ68">
        <v>3.5</v>
      </c>
      <c r="AK68">
        <v>35.999999999999901</v>
      </c>
      <c r="AL68">
        <v>5737335517.0994501</v>
      </c>
      <c r="AM68">
        <v>697871457.86157501</v>
      </c>
      <c r="AN68">
        <v>4856.1254900000004</v>
      </c>
      <c r="AO68" s="69">
        <v>45260541492.519501</v>
      </c>
      <c r="AP68">
        <v>16012578951.136</v>
      </c>
      <c r="AQ68">
        <v>4856.1254900000004</v>
      </c>
      <c r="AR68" s="69">
        <v>11036786630.509501</v>
      </c>
      <c r="AS68">
        <v>11036786630.509501</v>
      </c>
      <c r="AT68">
        <v>8354.7794900000008</v>
      </c>
      <c r="AU68">
        <v>2952484206.6051102</v>
      </c>
      <c r="AV68">
        <v>1289.6065144033601</v>
      </c>
      <c r="AW68">
        <v>139.957927103175</v>
      </c>
      <c r="AX68">
        <v>787.32331306039498</v>
      </c>
      <c r="AY68">
        <v>261.79045134509101</v>
      </c>
      <c r="AZ68">
        <v>311.91662884312598</v>
      </c>
      <c r="BA68">
        <v>613.70134147167096</v>
      </c>
      <c r="BB68">
        <v>282.63652039595797</v>
      </c>
      <c r="BC68">
        <v>604.97643889013705</v>
      </c>
      <c r="BD68">
        <v>414.67148333340401</v>
      </c>
      <c r="BE68">
        <v>182.88165399079799</v>
      </c>
      <c r="BF68">
        <v>536.18824544941799</v>
      </c>
      <c r="BG68">
        <v>452.618257310638</v>
      </c>
      <c r="BH68">
        <v>274.37507567595497</v>
      </c>
      <c r="BI68">
        <v>298.71568780841699</v>
      </c>
      <c r="BJ68">
        <v>325.10181797977299</v>
      </c>
      <c r="BK68">
        <v>325.10117962685899</v>
      </c>
      <c r="BL68">
        <v>238.01013636277301</v>
      </c>
      <c r="BM68">
        <v>25.9599138752986</v>
      </c>
      <c r="BN68">
        <v>143.054832913919</v>
      </c>
      <c r="BO68">
        <v>49.467793054396097</v>
      </c>
      <c r="BP68">
        <v>57.1778027705179</v>
      </c>
      <c r="BQ68">
        <v>113.22540685152499</v>
      </c>
      <c r="BR68">
        <v>52.2678444873263</v>
      </c>
      <c r="BS68">
        <v>111.269701882837</v>
      </c>
      <c r="BT68">
        <v>76.518268561254899</v>
      </c>
      <c r="BU68">
        <v>34.017303234165801</v>
      </c>
      <c r="BV68">
        <v>98.585693273226198</v>
      </c>
      <c r="BW68">
        <v>83.650232398871395</v>
      </c>
      <c r="BX68">
        <v>51.883157666968202</v>
      </c>
      <c r="BY68">
        <v>54.791057943763903</v>
      </c>
      <c r="BZ68">
        <v>60.123701185312903</v>
      </c>
      <c r="CA68">
        <v>60.123583065802201</v>
      </c>
      <c r="CB68">
        <v>884.69021912083804</v>
      </c>
      <c r="CC68">
        <v>111.007666804867</v>
      </c>
      <c r="CD68">
        <v>596.74530208612305</v>
      </c>
      <c r="CE68">
        <v>150.326660928363</v>
      </c>
      <c r="CF68">
        <v>221.23452102820801</v>
      </c>
      <c r="CG68">
        <v>423.78118921010002</v>
      </c>
      <c r="CH68">
        <v>188.58718875756</v>
      </c>
      <c r="CI68">
        <v>443.54520501531698</v>
      </c>
      <c r="CJ68">
        <v>290.43311608306198</v>
      </c>
      <c r="CK68">
        <v>113.66769087449499</v>
      </c>
      <c r="CL68">
        <v>415.62893827663203</v>
      </c>
      <c r="CM68">
        <v>305.80502980004701</v>
      </c>
      <c r="CN68">
        <v>160.68732202033601</v>
      </c>
      <c r="CO68">
        <v>224.46294199020099</v>
      </c>
      <c r="CP68">
        <v>222.42929842775899</v>
      </c>
      <c r="CQ68">
        <v>222.428934568919</v>
      </c>
      <c r="CR68" s="1">
        <v>308506136.33242702</v>
      </c>
      <c r="CS68" s="1">
        <v>310248083.73389</v>
      </c>
      <c r="CT68" s="1">
        <v>238443058.235425</v>
      </c>
      <c r="CU68" s="1">
        <v>199585824.58162299</v>
      </c>
      <c r="CV68" s="1">
        <v>157927287.772259</v>
      </c>
      <c r="CW68" s="1">
        <v>135800605.906461</v>
      </c>
      <c r="CX68" s="1">
        <v>128998782.320868</v>
      </c>
      <c r="CY68" s="1">
        <v>105491467.34904601</v>
      </c>
      <c r="CZ68" s="1">
        <v>126620409.652307</v>
      </c>
      <c r="DA68" s="1">
        <v>125377974.530616</v>
      </c>
      <c r="DB68" s="1">
        <v>111293561.029503</v>
      </c>
      <c r="DC68" s="1">
        <v>115675585.45946901</v>
      </c>
      <c r="DD68" s="1">
        <v>116417544.34158599</v>
      </c>
      <c r="DE68" s="1">
        <v>110288586.29643001</v>
      </c>
      <c r="DF68" s="1">
        <v>115420649.11814401</v>
      </c>
      <c r="DG68" s="1">
        <v>112298224.527867</v>
      </c>
      <c r="DH68" s="1">
        <v>18680003182.951099</v>
      </c>
      <c r="DI68" s="1">
        <v>18593095822.905701</v>
      </c>
      <c r="DJ68" s="1">
        <v>14480975352.380899</v>
      </c>
      <c r="DK68" s="1">
        <v>11931543330.536301</v>
      </c>
      <c r="DL68" s="1">
        <v>9452314285.1461296</v>
      </c>
      <c r="DM68" s="1">
        <v>8152401748.8940001</v>
      </c>
      <c r="DN68" s="1">
        <v>7631743506.2380505</v>
      </c>
      <c r="DO68" s="1">
        <v>6337505813.3111095</v>
      </c>
      <c r="DP68" s="1">
        <v>7691388624.2368202</v>
      </c>
      <c r="DQ68" s="1">
        <v>7585760410.56423</v>
      </c>
      <c r="DR68" s="1">
        <v>6632774951.1740599</v>
      </c>
      <c r="DS68" s="1">
        <v>6980020153.3168097</v>
      </c>
      <c r="DT68" s="1">
        <v>6935738328.4109602</v>
      </c>
      <c r="DU68" s="1">
        <v>6474632718.1858997</v>
      </c>
      <c r="DV68" s="1">
        <v>6835053904.9829197</v>
      </c>
      <c r="DW68" s="1">
        <v>6607288357.3955002</v>
      </c>
    </row>
    <row r="69" spans="1:127" x14ac:dyDescent="0.25">
      <c r="A69" t="s">
        <v>95</v>
      </c>
      <c r="B69">
        <v>40.65</v>
      </c>
      <c r="C69">
        <v>-73.8</v>
      </c>
      <c r="D69">
        <v>-10.1</v>
      </c>
      <c r="E69">
        <v>-7.9</v>
      </c>
      <c r="F69">
        <v>32.1</v>
      </c>
      <c r="G69">
        <v>22.7</v>
      </c>
      <c r="H69">
        <v>30.3</v>
      </c>
      <c r="I69">
        <v>22.1</v>
      </c>
      <c r="J69">
        <v>54.500000000000099</v>
      </c>
      <c r="K69">
        <v>0</v>
      </c>
      <c r="L69">
        <v>12568499691.497499</v>
      </c>
      <c r="M69">
        <v>2659201070.8987498</v>
      </c>
      <c r="N69">
        <v>4412.91572</v>
      </c>
      <c r="O69" s="75">
        <v>34698830742.800201</v>
      </c>
      <c r="P69">
        <f>43373538428.5003*(0.8/0.96)</f>
        <v>36144615357.08358</v>
      </c>
      <c r="Q69">
        <v>29308</v>
      </c>
      <c r="R69">
        <v>259133546.40501899</v>
      </c>
      <c r="S69">
        <f>2181.72940247914*(0.8/0.96)</f>
        <v>1818.1078353992834</v>
      </c>
      <c r="T69">
        <v>20.851040202810601</v>
      </c>
      <c r="U69">
        <v>2.1651317494756901</v>
      </c>
      <c r="V69">
        <v>12.713702075748101</v>
      </c>
      <c r="W69">
        <v>4.2299061316048698</v>
      </c>
      <c r="X69">
        <v>4.96019348415608</v>
      </c>
      <c r="Y69">
        <v>9.8514590057495202</v>
      </c>
      <c r="Z69">
        <v>4.5243097267166803</v>
      </c>
      <c r="AA69">
        <v>9.6317468781987898</v>
      </c>
      <c r="AB69">
        <v>6.4985337301714798</v>
      </c>
      <c r="AC69">
        <v>2.9952114192585499</v>
      </c>
      <c r="AD69">
        <v>8.3407753053364893</v>
      </c>
      <c r="AE69">
        <v>7.3264291147819902</v>
      </c>
      <c r="AF69">
        <v>4.1453254995494104</v>
      </c>
      <c r="AG69">
        <v>4.8525347383860602</v>
      </c>
      <c r="AH69">
        <v>5.1765646973227399</v>
      </c>
      <c r="AI69">
        <v>5.1765558196184998</v>
      </c>
      <c r="AJ69">
        <v>54.4166666666667</v>
      </c>
      <c r="AK69">
        <v>18.6666666666666</v>
      </c>
      <c r="AL69">
        <v>12604790518.1161</v>
      </c>
      <c r="AM69">
        <v>1746997888.3512299</v>
      </c>
      <c r="AN69">
        <v>4412.91572</v>
      </c>
      <c r="AO69" s="69">
        <v>30536072817.581299</v>
      </c>
      <c r="AP69">
        <v>9574177397.9949608</v>
      </c>
      <c r="AQ69">
        <v>4412.91572</v>
      </c>
      <c r="AR69" s="69">
        <v>2803389320.5556798</v>
      </c>
      <c r="AS69">
        <v>2803389320.5556798</v>
      </c>
      <c r="AT69">
        <v>7010.2232999999997</v>
      </c>
      <c r="AU69">
        <v>1759757368.8466599</v>
      </c>
      <c r="AV69">
        <v>773.59222291315405</v>
      </c>
      <c r="AW69">
        <v>80.205606454124506</v>
      </c>
      <c r="AX69">
        <v>479.94704527638402</v>
      </c>
      <c r="AY69">
        <v>155.34820651875501</v>
      </c>
      <c r="AZ69">
        <v>187.23438311275001</v>
      </c>
      <c r="BA69">
        <v>367.90196251401602</v>
      </c>
      <c r="BB69">
        <v>167.43135089303499</v>
      </c>
      <c r="BC69">
        <v>360.053065962483</v>
      </c>
      <c r="BD69">
        <v>243.507766558177</v>
      </c>
      <c r="BE69">
        <v>110.58581207120299</v>
      </c>
      <c r="BF69">
        <v>311.77192718208101</v>
      </c>
      <c r="BG69">
        <v>271.70869252219501</v>
      </c>
      <c r="BH69">
        <v>153.30743408150201</v>
      </c>
      <c r="BI69">
        <v>180.10890125253101</v>
      </c>
      <c r="BJ69">
        <v>192.582751136024</v>
      </c>
      <c r="BK69">
        <v>192.58242337793499</v>
      </c>
      <c r="BL69">
        <v>141.61969259352401</v>
      </c>
      <c r="BM69">
        <v>14.80307581053</v>
      </c>
      <c r="BN69">
        <v>86.274512695889499</v>
      </c>
      <c r="BO69">
        <v>28.906892719679099</v>
      </c>
      <c r="BP69">
        <v>33.789761116114001</v>
      </c>
      <c r="BQ69">
        <v>66.775226285888806</v>
      </c>
      <c r="BR69">
        <v>30.785685083134801</v>
      </c>
      <c r="BS69">
        <v>65.466474106364899</v>
      </c>
      <c r="BT69">
        <v>44.386589255054403</v>
      </c>
      <c r="BU69">
        <v>20.4562389039917</v>
      </c>
      <c r="BV69">
        <v>56.577361070316996</v>
      </c>
      <c r="BW69">
        <v>49.854019298213103</v>
      </c>
      <c r="BX69">
        <v>28.233129661961499</v>
      </c>
      <c r="BY69">
        <v>32.919775884466397</v>
      </c>
      <c r="BZ69">
        <v>35.137458390506403</v>
      </c>
      <c r="CA69">
        <v>35.137392244257398</v>
      </c>
      <c r="CB69">
        <v>235.37831642859101</v>
      </c>
      <c r="CC69">
        <v>18.282710757850602</v>
      </c>
      <c r="CD69">
        <v>163.552268929642</v>
      </c>
      <c r="CE69">
        <v>35.096917718084299</v>
      </c>
      <c r="CF69">
        <v>57.422282317002598</v>
      </c>
      <c r="CG69">
        <v>118.899454271724</v>
      </c>
      <c r="CH69">
        <v>48.162509859055</v>
      </c>
      <c r="CI69">
        <v>109.179230225553</v>
      </c>
      <c r="CJ69">
        <v>65.669014108972405</v>
      </c>
      <c r="CK69">
        <v>27.476378767511601</v>
      </c>
      <c r="CL69">
        <v>97.616207679998595</v>
      </c>
      <c r="CM69">
        <v>76.656076330157802</v>
      </c>
      <c r="CN69">
        <v>41.181749257908699</v>
      </c>
      <c r="CO69">
        <v>54.416149173564399</v>
      </c>
      <c r="CP69">
        <v>58.187998536104303</v>
      </c>
      <c r="CQ69">
        <v>58.187888503476401</v>
      </c>
      <c r="CR69" s="1">
        <v>160971084.67537001</v>
      </c>
      <c r="CS69" s="1">
        <v>163481281.34850699</v>
      </c>
      <c r="CT69" s="1">
        <v>123032371.98019101</v>
      </c>
      <c r="CU69" s="1">
        <v>101478523.75487401</v>
      </c>
      <c r="CV69" s="1">
        <v>80720690.711840302</v>
      </c>
      <c r="CW69" s="1">
        <v>69724723.280524895</v>
      </c>
      <c r="CX69" s="1">
        <v>66154064.190054499</v>
      </c>
      <c r="CY69" s="1">
        <v>54607058.076128103</v>
      </c>
      <c r="CZ69" s="1">
        <v>64871313.338872403</v>
      </c>
      <c r="DA69" s="1">
        <v>64148069.980274402</v>
      </c>
      <c r="DB69" s="1">
        <v>57720729.864510298</v>
      </c>
      <c r="DC69" s="1">
        <v>60000952.538875103</v>
      </c>
      <c r="DD69" s="1">
        <v>60901928.042244896</v>
      </c>
      <c r="DE69" s="1">
        <v>57382672.136547297</v>
      </c>
      <c r="DF69" s="1">
        <v>61078702.953871101</v>
      </c>
      <c r="DG69" s="1">
        <v>59595987.6909412</v>
      </c>
      <c r="DH69" s="1">
        <v>8771145881.0557899</v>
      </c>
      <c r="DI69" s="1">
        <v>8869632556.3973904</v>
      </c>
      <c r="DJ69" s="1">
        <v>6704021684.8412704</v>
      </c>
      <c r="DK69" s="1">
        <v>5490244105.5450897</v>
      </c>
      <c r="DL69" s="1">
        <v>4341705805.4167604</v>
      </c>
      <c r="DM69" s="1">
        <v>3768505420.0211101</v>
      </c>
      <c r="DN69" s="1">
        <v>3570003484.84515</v>
      </c>
      <c r="DO69" s="1">
        <v>2917733763.7239799</v>
      </c>
      <c r="DP69" s="1">
        <v>3468480385.3081298</v>
      </c>
      <c r="DQ69" s="1">
        <v>3435772257.3474498</v>
      </c>
      <c r="DR69" s="1">
        <v>3069822041.26016</v>
      </c>
      <c r="DS69" s="1">
        <v>3225652505.2470698</v>
      </c>
      <c r="DT69" s="1">
        <v>3242085380.9387002</v>
      </c>
      <c r="DU69" s="1">
        <v>3055765998.4300098</v>
      </c>
      <c r="DV69" s="1">
        <v>3262440341.9535398</v>
      </c>
      <c r="DW69" s="1">
        <v>3189042530.6361399</v>
      </c>
    </row>
    <row r="70" spans="1:127" x14ac:dyDescent="0.25">
      <c r="A70" t="s">
        <v>97</v>
      </c>
      <c r="B70">
        <v>43.15</v>
      </c>
      <c r="C70">
        <v>-75.38</v>
      </c>
      <c r="D70">
        <v>-20.6</v>
      </c>
      <c r="E70">
        <v>-17.2</v>
      </c>
      <c r="F70">
        <v>30.7</v>
      </c>
      <c r="G70">
        <v>22.5</v>
      </c>
      <c r="H70">
        <v>29</v>
      </c>
      <c r="I70">
        <v>21.4</v>
      </c>
      <c r="J70">
        <v>0.58333333333333304</v>
      </c>
      <c r="K70">
        <v>0</v>
      </c>
      <c r="L70">
        <v>2787705363.0489302</v>
      </c>
      <c r="M70">
        <v>597220045.74715698</v>
      </c>
      <c r="N70">
        <v>5328.0110100000002</v>
      </c>
      <c r="O70" s="75">
        <v>51586241507.610802</v>
      </c>
      <c r="P70">
        <f>64482801884.5136*(0.8/0.96)</f>
        <v>53735668237.094673</v>
      </c>
      <c r="Q70">
        <v>29308</v>
      </c>
      <c r="R70">
        <v>469434336.16673702</v>
      </c>
      <c r="S70">
        <f>3243.54502590545*(0.8/0.96)</f>
        <v>2702.9541882545418</v>
      </c>
      <c r="T70">
        <v>36.338753451650298</v>
      </c>
      <c r="U70">
        <v>4.1099521842930198</v>
      </c>
      <c r="V70">
        <v>21.7203848319153</v>
      </c>
      <c r="W70">
        <v>7.8341980212428997</v>
      </c>
      <c r="X70">
        <v>8.4645448600099602</v>
      </c>
      <c r="Y70">
        <v>17.1414487776721</v>
      </c>
      <c r="Z70">
        <v>8.1899248622856309</v>
      </c>
      <c r="AA70">
        <v>17.135527523249198</v>
      </c>
      <c r="AB70">
        <v>11.5840969356993</v>
      </c>
      <c r="AC70">
        <v>5.3263244593710901</v>
      </c>
      <c r="AD70">
        <v>15.0333463774643</v>
      </c>
      <c r="AE70">
        <v>12.927797703946499</v>
      </c>
      <c r="AF70">
        <v>7.7336337387383098</v>
      </c>
      <c r="AG70">
        <v>8.6708711344084808</v>
      </c>
      <c r="AH70">
        <v>9.0482489826714598</v>
      </c>
      <c r="AI70">
        <v>9.0482273327033695</v>
      </c>
      <c r="AJ70">
        <v>0.58333333333333304</v>
      </c>
      <c r="AK70">
        <v>21.4166666666666</v>
      </c>
      <c r="AL70">
        <v>2800911360.29741</v>
      </c>
      <c r="AM70">
        <v>345998344.93282002</v>
      </c>
      <c r="AN70">
        <v>5328.0110100000002</v>
      </c>
      <c r="AO70" s="69">
        <v>43514006737.879501</v>
      </c>
      <c r="AP70">
        <v>15927626282.3696</v>
      </c>
      <c r="AQ70">
        <v>5328.0110100000002</v>
      </c>
      <c r="AR70" s="69">
        <v>5996469882.0040798</v>
      </c>
      <c r="AS70">
        <v>5996469882.0040798</v>
      </c>
      <c r="AT70">
        <v>8895.0634699999991</v>
      </c>
      <c r="AU70">
        <v>2705380124.5260801</v>
      </c>
      <c r="AV70">
        <v>1247.6727149645501</v>
      </c>
      <c r="AW70">
        <v>141.58356948722999</v>
      </c>
      <c r="AX70">
        <v>753.66156844980799</v>
      </c>
      <c r="AY70">
        <v>261.80645208817401</v>
      </c>
      <c r="AZ70">
        <v>294.63781196018499</v>
      </c>
      <c r="BA70">
        <v>590.793284766944</v>
      </c>
      <c r="BB70">
        <v>279.58929197595501</v>
      </c>
      <c r="BC70">
        <v>588.15061507868199</v>
      </c>
      <c r="BD70">
        <v>398.94488269237303</v>
      </c>
      <c r="BE70">
        <v>180.318140415323</v>
      </c>
      <c r="BF70">
        <v>518.52834823791795</v>
      </c>
      <c r="BG70">
        <v>442.02637856170298</v>
      </c>
      <c r="BH70">
        <v>261.18719753374802</v>
      </c>
      <c r="BI70">
        <v>297.63985306931301</v>
      </c>
      <c r="BJ70">
        <v>309.42147413275802</v>
      </c>
      <c r="BK70">
        <v>309.42067731072899</v>
      </c>
      <c r="BL70">
        <v>210.279080983781</v>
      </c>
      <c r="BM70">
        <v>23.6921981940982</v>
      </c>
      <c r="BN70">
        <v>125.31443903342399</v>
      </c>
      <c r="BO70">
        <v>44.895687547673703</v>
      </c>
      <c r="BP70">
        <v>48.498909467359901</v>
      </c>
      <c r="BQ70">
        <v>99.202940756528406</v>
      </c>
      <c r="BR70">
        <v>47.286166201585502</v>
      </c>
      <c r="BS70">
        <v>98.688773905301005</v>
      </c>
      <c r="BT70">
        <v>66.511720071944097</v>
      </c>
      <c r="BU70">
        <v>30.537401737754202</v>
      </c>
      <c r="BV70">
        <v>86.961881199104397</v>
      </c>
      <c r="BW70">
        <v>74.575425779897799</v>
      </c>
      <c r="BX70">
        <v>44.4436809470171</v>
      </c>
      <c r="BY70">
        <v>50.189937951745101</v>
      </c>
      <c r="BZ70">
        <v>52.125235491728802</v>
      </c>
      <c r="CA70">
        <v>52.125103247081398</v>
      </c>
      <c r="CB70">
        <v>446.35560210321103</v>
      </c>
      <c r="CC70">
        <v>61.528086970924498</v>
      </c>
      <c r="CD70">
        <v>277.34108660550697</v>
      </c>
      <c r="CE70">
        <v>92.651675757268293</v>
      </c>
      <c r="CF70">
        <v>109.02324370912601</v>
      </c>
      <c r="CG70">
        <v>196.65304873374399</v>
      </c>
      <c r="CH70">
        <v>99.551539031205493</v>
      </c>
      <c r="CI70">
        <v>228.141421038978</v>
      </c>
      <c r="CJ70">
        <v>148.769722573656</v>
      </c>
      <c r="CK70">
        <v>68.371020022123702</v>
      </c>
      <c r="CL70">
        <v>193.777284707527</v>
      </c>
      <c r="CM70">
        <v>160.49537507425501</v>
      </c>
      <c r="CN70">
        <v>83.665919683555899</v>
      </c>
      <c r="CO70">
        <v>109.026158919507</v>
      </c>
      <c r="CP70">
        <v>111.419003088105</v>
      </c>
      <c r="CQ70">
        <v>111.418875856257</v>
      </c>
      <c r="CR70" s="1">
        <v>287339367.21731901</v>
      </c>
      <c r="CS70" s="1">
        <v>289563782.15196902</v>
      </c>
      <c r="CT70" s="1">
        <v>221361900.341878</v>
      </c>
      <c r="CU70" s="1">
        <v>184499264.67830801</v>
      </c>
      <c r="CV70" s="1">
        <v>143372785.37827</v>
      </c>
      <c r="CW70" s="1">
        <v>123695287.93971001</v>
      </c>
      <c r="CX70" s="1">
        <v>113974509.153519</v>
      </c>
      <c r="CY70" s="1">
        <v>94676146.244122699</v>
      </c>
      <c r="CZ70" s="1">
        <v>112536002.81912801</v>
      </c>
      <c r="DA70" s="1">
        <v>111944676.05065399</v>
      </c>
      <c r="DB70" s="1">
        <v>99941133.521708697</v>
      </c>
      <c r="DC70" s="1">
        <v>103740557.813531</v>
      </c>
      <c r="DD70" s="1">
        <v>104475067.64253899</v>
      </c>
      <c r="DE70" s="1">
        <v>99253109.285243198</v>
      </c>
      <c r="DF70" s="1">
        <v>103874197.128396</v>
      </c>
      <c r="DG70" s="1">
        <v>100312997.377009</v>
      </c>
      <c r="DH70" s="1">
        <v>15171060553.8127</v>
      </c>
      <c r="DI70" s="1">
        <v>15261482416.8162</v>
      </c>
      <c r="DJ70" s="1">
        <v>11769561213.1982</v>
      </c>
      <c r="DK70" s="1">
        <v>9762151097.8610401</v>
      </c>
      <c r="DL70" s="1">
        <v>7534606065.0598497</v>
      </c>
      <c r="DM70" s="1">
        <v>6636195411.0859604</v>
      </c>
      <c r="DN70" s="1">
        <v>6058722564.35077</v>
      </c>
      <c r="DO70" s="1">
        <v>5057093280.3292198</v>
      </c>
      <c r="DP70" s="1">
        <v>6010197491.1376104</v>
      </c>
      <c r="DQ70" s="1">
        <v>6006305266.1968403</v>
      </c>
      <c r="DR70" s="1">
        <v>5296457315.7776299</v>
      </c>
      <c r="DS70" s="1">
        <v>5547123378.6443396</v>
      </c>
      <c r="DT70" s="1">
        <v>5566339811.5089798</v>
      </c>
      <c r="DU70" s="1">
        <v>5279508730.8190699</v>
      </c>
      <c r="DV70" s="1">
        <v>5529703573.1018896</v>
      </c>
      <c r="DW70" s="1">
        <v>5311924975.0933504</v>
      </c>
    </row>
    <row r="71" spans="1:127" x14ac:dyDescent="0.25">
      <c r="A71" t="s">
        <v>98</v>
      </c>
      <c r="B71">
        <v>39.1</v>
      </c>
      <c r="C71">
        <v>-84.42</v>
      </c>
      <c r="D71">
        <v>-13.3</v>
      </c>
      <c r="E71">
        <v>-10.3</v>
      </c>
      <c r="F71">
        <v>33.799999999999997</v>
      </c>
      <c r="G71">
        <v>23.6</v>
      </c>
      <c r="H71">
        <v>32.4</v>
      </c>
      <c r="I71">
        <v>23.4</v>
      </c>
      <c r="J71">
        <v>55.000000000000099</v>
      </c>
      <c r="K71">
        <v>0</v>
      </c>
      <c r="L71">
        <v>11584077220.092199</v>
      </c>
      <c r="M71">
        <v>2532337223.2223301</v>
      </c>
      <c r="N71">
        <v>4765.8524500000003</v>
      </c>
      <c r="O71" s="75">
        <v>31840823825.092201</v>
      </c>
      <c r="P71">
        <f>39801029781.3654*(0.8/0.96)</f>
        <v>33167524817.804504</v>
      </c>
      <c r="Q71">
        <v>29308</v>
      </c>
      <c r="R71">
        <v>257879857.86122799</v>
      </c>
      <c r="S71">
        <f>2002.02888833009*(0.8/0.96)</f>
        <v>1668.3574069417418</v>
      </c>
      <c r="T71">
        <v>37.522041252704199</v>
      </c>
      <c r="U71">
        <v>29.9842179640425</v>
      </c>
      <c r="V71">
        <v>43.025669024507501</v>
      </c>
      <c r="W71">
        <v>34.140279241726802</v>
      </c>
      <c r="X71">
        <v>25.6642079904552</v>
      </c>
      <c r="Y71">
        <v>24.115804833431</v>
      </c>
      <c r="Z71">
        <v>29.121692895554698</v>
      </c>
      <c r="AA71">
        <v>25.2869443350327</v>
      </c>
      <c r="AB71">
        <v>14.779007758929801</v>
      </c>
      <c r="AC71">
        <v>23.066349016025601</v>
      </c>
      <c r="AD71">
        <v>14.5879733031661</v>
      </c>
      <c r="AE71">
        <v>17.1746691547079</v>
      </c>
      <c r="AF71">
        <v>14.8431413953559</v>
      </c>
      <c r="AG71">
        <v>20.197115002493401</v>
      </c>
      <c r="AH71">
        <v>13.4789166927899</v>
      </c>
      <c r="AI71">
        <v>13.4789166927899</v>
      </c>
      <c r="AJ71">
        <v>53.8333333333334</v>
      </c>
      <c r="AK71">
        <v>18.9166666666667</v>
      </c>
      <c r="AL71">
        <v>11614918197.627701</v>
      </c>
      <c r="AM71">
        <v>1710557846.0174699</v>
      </c>
      <c r="AN71">
        <v>4765.8524500000003</v>
      </c>
      <c r="AO71" s="69">
        <v>27529797252.059299</v>
      </c>
      <c r="AP71">
        <v>9256393444.5489006</v>
      </c>
      <c r="AQ71">
        <v>4765.8524500000003</v>
      </c>
      <c r="AR71" s="69">
        <v>3065013750.4731202</v>
      </c>
      <c r="AS71">
        <v>3065013750.4731202</v>
      </c>
      <c r="AT71">
        <v>7156.0568000000003</v>
      </c>
      <c r="AU71">
        <v>1628230685.82916</v>
      </c>
      <c r="AV71">
        <v>1354.8393875725501</v>
      </c>
      <c r="AW71">
        <v>1082.4740936436999</v>
      </c>
      <c r="AX71">
        <v>1559.62401908424</v>
      </c>
      <c r="AY71">
        <v>1243.05094627623</v>
      </c>
      <c r="AZ71">
        <v>938.54908763218805</v>
      </c>
      <c r="BA71">
        <v>879.97887321623</v>
      </c>
      <c r="BB71">
        <v>1061.0811520110401</v>
      </c>
      <c r="BC71">
        <v>921.52516863473102</v>
      </c>
      <c r="BD71">
        <v>537.00539612442697</v>
      </c>
      <c r="BE71">
        <v>841.97947497437303</v>
      </c>
      <c r="BF71">
        <v>529.36924383572602</v>
      </c>
      <c r="BG71">
        <v>617.11155089219505</v>
      </c>
      <c r="BH71">
        <v>539.54974177491999</v>
      </c>
      <c r="BI71">
        <v>736.33104413408398</v>
      </c>
      <c r="BJ71">
        <v>489.80319962193698</v>
      </c>
      <c r="BK71">
        <v>489.80319962193698</v>
      </c>
      <c r="BL71">
        <v>237.30812027575101</v>
      </c>
      <c r="BM71">
        <v>188.79215768725399</v>
      </c>
      <c r="BN71">
        <v>271.29251956701597</v>
      </c>
      <c r="BO71">
        <v>215.22455894334101</v>
      </c>
      <c r="BP71">
        <v>161.56956650132301</v>
      </c>
      <c r="BQ71">
        <v>151.565602870454</v>
      </c>
      <c r="BR71">
        <v>183.567408180076</v>
      </c>
      <c r="BS71">
        <v>159.45950751509201</v>
      </c>
      <c r="BT71">
        <v>93.0804398405174</v>
      </c>
      <c r="BU71">
        <v>145.22265236204399</v>
      </c>
      <c r="BV71">
        <v>92.117063450456797</v>
      </c>
      <c r="BW71">
        <v>108.3430262853</v>
      </c>
      <c r="BX71">
        <v>93.524585811416401</v>
      </c>
      <c r="BY71">
        <v>127.55848668352399</v>
      </c>
      <c r="BZ71">
        <v>84.9792734310399</v>
      </c>
      <c r="CA71">
        <v>84.9792734310399</v>
      </c>
      <c r="CB71">
        <v>440.32120834406601</v>
      </c>
      <c r="CC71">
        <v>380.41157863860298</v>
      </c>
      <c r="CD71">
        <v>524.701617194086</v>
      </c>
      <c r="CE71">
        <v>416.85954251906401</v>
      </c>
      <c r="CF71">
        <v>336.42640710964702</v>
      </c>
      <c r="CG71">
        <v>312.52739916402902</v>
      </c>
      <c r="CH71">
        <v>364.68846308000002</v>
      </c>
      <c r="CI71">
        <v>300.31075342473201</v>
      </c>
      <c r="CJ71">
        <v>182.97632409166999</v>
      </c>
      <c r="CK71">
        <v>287.554793023245</v>
      </c>
      <c r="CL71">
        <v>179.85751326549399</v>
      </c>
      <c r="CM71">
        <v>209.300377586786</v>
      </c>
      <c r="CN71">
        <v>189.26609071541901</v>
      </c>
      <c r="CO71">
        <v>254.01572613231701</v>
      </c>
      <c r="CP71">
        <v>164.92792540786201</v>
      </c>
      <c r="CQ71">
        <v>164.92792540786201</v>
      </c>
      <c r="CR71" s="1">
        <v>224307704.455439</v>
      </c>
      <c r="CS71" s="1">
        <v>222359520.48734799</v>
      </c>
      <c r="CT71" s="1">
        <v>219512399.685404</v>
      </c>
      <c r="CU71" s="1">
        <v>211358601.438283</v>
      </c>
      <c r="CV71" s="1">
        <v>202454810.638834</v>
      </c>
      <c r="CW71" s="1">
        <v>203157626.13250801</v>
      </c>
      <c r="CX71" s="1">
        <v>220669075.35364699</v>
      </c>
      <c r="CY71" s="1">
        <v>228609406.105919</v>
      </c>
      <c r="CZ71" s="1">
        <v>226925121.06137201</v>
      </c>
      <c r="DA71" s="1">
        <v>213642282.07796901</v>
      </c>
      <c r="DB71" s="1">
        <v>210472678.115376</v>
      </c>
      <c r="DC71" s="1">
        <v>215721120.231664</v>
      </c>
      <c r="DD71" s="1">
        <v>215640074.18325499</v>
      </c>
      <c r="DE71" s="1">
        <v>216162330.24267399</v>
      </c>
      <c r="DF71" s="1">
        <v>210075491.288533</v>
      </c>
      <c r="DG71" s="1">
        <v>225717278.89187801</v>
      </c>
      <c r="DH71" s="1">
        <v>12132706465.945</v>
      </c>
      <c r="DI71" s="1">
        <v>12020982849.1408</v>
      </c>
      <c r="DJ71" s="1">
        <v>11784051126.928101</v>
      </c>
      <c r="DK71" s="1">
        <v>11522925303.8325</v>
      </c>
      <c r="DL71" s="1">
        <v>10936121656.3505</v>
      </c>
      <c r="DM71" s="1">
        <v>11033666943.2351</v>
      </c>
      <c r="DN71" s="1">
        <v>11975951638.5914</v>
      </c>
      <c r="DO71" s="1">
        <v>12492451939.548401</v>
      </c>
      <c r="DP71" s="1">
        <v>12308900849.382601</v>
      </c>
      <c r="DQ71" s="1">
        <v>11715170758.798</v>
      </c>
      <c r="DR71" s="1">
        <v>11600835145.4235</v>
      </c>
      <c r="DS71" s="1">
        <v>11905776521.503901</v>
      </c>
      <c r="DT71" s="1">
        <v>11921331237.6385</v>
      </c>
      <c r="DU71" s="1">
        <v>11943368776.6735</v>
      </c>
      <c r="DV71" s="1">
        <v>11647919192.229099</v>
      </c>
      <c r="DW71" s="1">
        <v>12551514454.7731</v>
      </c>
    </row>
    <row r="72" spans="1:127" x14ac:dyDescent="0.25">
      <c r="A72" t="s">
        <v>99</v>
      </c>
      <c r="B72">
        <v>39.979999999999997</v>
      </c>
      <c r="C72">
        <v>-82.88</v>
      </c>
      <c r="D72">
        <v>-15</v>
      </c>
      <c r="E72">
        <v>-12</v>
      </c>
      <c r="F72">
        <v>32.9</v>
      </c>
      <c r="G72">
        <v>23.1</v>
      </c>
      <c r="H72">
        <v>31.7</v>
      </c>
      <c r="I72">
        <v>22.7</v>
      </c>
      <c r="J72">
        <v>21.6666666666666</v>
      </c>
      <c r="K72">
        <v>0</v>
      </c>
      <c r="L72">
        <v>9800863579.4205494</v>
      </c>
      <c r="M72">
        <v>2079785621.98911</v>
      </c>
      <c r="N72">
        <v>4746.7687299999998</v>
      </c>
      <c r="O72" s="75">
        <v>44715047052.8302</v>
      </c>
      <c r="P72">
        <f>55893808816.0378*(0.8/0.96)</f>
        <v>46578174013.364838</v>
      </c>
      <c r="Q72">
        <v>29308</v>
      </c>
      <c r="R72">
        <v>367883890.45282602</v>
      </c>
      <c r="S72">
        <f>2811.51067053291*(0.8/0.96)</f>
        <v>2342.9255587774251</v>
      </c>
      <c r="T72">
        <v>53.494845821605999</v>
      </c>
      <c r="U72">
        <v>43.025676946986998</v>
      </c>
      <c r="V72">
        <v>61.0488244033969</v>
      </c>
      <c r="W72">
        <v>48.735806355997099</v>
      </c>
      <c r="X72">
        <v>36.757096898499697</v>
      </c>
      <c r="Y72">
        <v>34.211094615295302</v>
      </c>
      <c r="Z72">
        <v>41.917735453289701</v>
      </c>
      <c r="AA72">
        <v>36.749918579348197</v>
      </c>
      <c r="AB72">
        <v>21.132220484269801</v>
      </c>
      <c r="AC72">
        <v>33.598613344472298</v>
      </c>
      <c r="AD72">
        <v>21.148026823073</v>
      </c>
      <c r="AE72">
        <v>24.721156486131299</v>
      </c>
      <c r="AF72">
        <v>21.416011973572701</v>
      </c>
      <c r="AG72">
        <v>28.8037822107412</v>
      </c>
      <c r="AH72">
        <v>19.469345131124999</v>
      </c>
      <c r="AI72">
        <v>19.469345131124999</v>
      </c>
      <c r="AJ72">
        <v>21.1666666666666</v>
      </c>
      <c r="AK72">
        <v>33.499999999999901</v>
      </c>
      <c r="AL72">
        <v>9837379593.1205597</v>
      </c>
      <c r="AM72">
        <v>1277068886.64764</v>
      </c>
      <c r="AN72">
        <v>4746.7687299999998</v>
      </c>
      <c r="AO72" s="69">
        <v>35628131223.894897</v>
      </c>
      <c r="AP72">
        <v>12393445494.937799</v>
      </c>
      <c r="AQ72">
        <v>4746.7687299999998</v>
      </c>
      <c r="AR72" s="69">
        <v>7311447302.1231804</v>
      </c>
      <c r="AS72">
        <v>7311447302.1231804</v>
      </c>
      <c r="AT72">
        <v>7798.2586199999996</v>
      </c>
      <c r="AU72">
        <v>2266081024.52915</v>
      </c>
      <c r="AV72">
        <v>1799.38524002075</v>
      </c>
      <c r="AW72">
        <v>1456.70164086352</v>
      </c>
      <c r="AX72">
        <v>2069.45178873753</v>
      </c>
      <c r="AY72">
        <v>1657.0212904791299</v>
      </c>
      <c r="AZ72">
        <v>1247.57142101422</v>
      </c>
      <c r="BA72">
        <v>1164.4900557270801</v>
      </c>
      <c r="BB72">
        <v>1424.54363400528</v>
      </c>
      <c r="BC72">
        <v>1246.45829795501</v>
      </c>
      <c r="BD72">
        <v>717.27003814916498</v>
      </c>
      <c r="BE72">
        <v>1142.15317388938</v>
      </c>
      <c r="BF72">
        <v>713.07383586641402</v>
      </c>
      <c r="BG72">
        <v>831.90269484086696</v>
      </c>
      <c r="BH72">
        <v>724.92693809700904</v>
      </c>
      <c r="BI72">
        <v>972.06176772315905</v>
      </c>
      <c r="BJ72">
        <v>660.64526671739998</v>
      </c>
      <c r="BK72">
        <v>660.64526671739998</v>
      </c>
      <c r="BL72">
        <v>329.05915726869898</v>
      </c>
      <c r="BM72">
        <v>265.209699910479</v>
      </c>
      <c r="BN72">
        <v>376.07173159277801</v>
      </c>
      <c r="BO72">
        <v>300.63121614457702</v>
      </c>
      <c r="BP72">
        <v>225.95647780479001</v>
      </c>
      <c r="BQ72">
        <v>210.49028737136501</v>
      </c>
      <c r="BR72">
        <v>258.08959761052199</v>
      </c>
      <c r="BS72">
        <v>226.55632931449</v>
      </c>
      <c r="BT72">
        <v>130.05449789816799</v>
      </c>
      <c r="BU72">
        <v>207.16524692507701</v>
      </c>
      <c r="BV72">
        <v>129.75427090413601</v>
      </c>
      <c r="BW72">
        <v>152.239291463397</v>
      </c>
      <c r="BX72">
        <v>131.496027476764</v>
      </c>
      <c r="BY72">
        <v>176.337016807293</v>
      </c>
      <c r="BZ72">
        <v>120.019749234282</v>
      </c>
      <c r="CA72">
        <v>120.019749234282</v>
      </c>
      <c r="CB72">
        <v>1084.50987076448</v>
      </c>
      <c r="CC72">
        <v>868.82069320255505</v>
      </c>
      <c r="CD72">
        <v>1249.2775814500501</v>
      </c>
      <c r="CE72">
        <v>991.14321405890405</v>
      </c>
      <c r="CF72">
        <v>787.36310175463802</v>
      </c>
      <c r="CG72">
        <v>729.08664149869503</v>
      </c>
      <c r="CH72">
        <v>871.59753270511703</v>
      </c>
      <c r="CI72">
        <v>750.174044991899</v>
      </c>
      <c r="CJ72">
        <v>437.87097062801701</v>
      </c>
      <c r="CK72">
        <v>691.17793987250502</v>
      </c>
      <c r="CL72">
        <v>446.81620213568101</v>
      </c>
      <c r="CM72">
        <v>495.00187282718002</v>
      </c>
      <c r="CN72">
        <v>452.99518722199701</v>
      </c>
      <c r="CO72">
        <v>626.08238366812805</v>
      </c>
      <c r="CP72">
        <v>396.82118410809898</v>
      </c>
      <c r="CQ72">
        <v>396.82118410809898</v>
      </c>
      <c r="CR72" s="1">
        <v>318087849.22276402</v>
      </c>
      <c r="CS72" s="1">
        <v>316725244.732427</v>
      </c>
      <c r="CT72" s="1">
        <v>315230393.44524002</v>
      </c>
      <c r="CU72" s="1">
        <v>299150188.148269</v>
      </c>
      <c r="CV72" s="1">
        <v>289162884.91498703</v>
      </c>
      <c r="CW72" s="1">
        <v>290330257.84552199</v>
      </c>
      <c r="CX72" s="1">
        <v>314651103.18991601</v>
      </c>
      <c r="CY72" s="1">
        <v>326202849.99004298</v>
      </c>
      <c r="CZ72" s="1">
        <v>325589622.34689498</v>
      </c>
      <c r="DA72" s="1">
        <v>305140493.40788299</v>
      </c>
      <c r="DB72" s="1">
        <v>301866174.54034197</v>
      </c>
      <c r="DC72" s="1">
        <v>308886629.35327297</v>
      </c>
      <c r="DD72" s="1">
        <v>307050531.053873</v>
      </c>
      <c r="DE72" s="1">
        <v>307275181.561041</v>
      </c>
      <c r="DF72" s="1">
        <v>298560432.54799801</v>
      </c>
      <c r="DG72" s="1">
        <v>319776441.07839602</v>
      </c>
      <c r="DH72" s="1">
        <v>18949232884.462002</v>
      </c>
      <c r="DI72" s="1">
        <v>18923585330.448299</v>
      </c>
      <c r="DJ72" s="1">
        <v>18677652406.0126</v>
      </c>
      <c r="DK72" s="1">
        <v>17877480533.327499</v>
      </c>
      <c r="DL72" s="1">
        <v>17207786904.9576</v>
      </c>
      <c r="DM72" s="1">
        <v>17475662356.976299</v>
      </c>
      <c r="DN72" s="1">
        <v>18920524579.7883</v>
      </c>
      <c r="DO72" s="1">
        <v>19596130735.686699</v>
      </c>
      <c r="DP72" s="1">
        <v>19533898407.8587</v>
      </c>
      <c r="DQ72" s="1">
        <v>18502927129.998699</v>
      </c>
      <c r="DR72" s="1">
        <v>18478714888.047901</v>
      </c>
      <c r="DS72" s="1">
        <v>18904531802.433998</v>
      </c>
      <c r="DT72" s="1">
        <v>18861489165.842999</v>
      </c>
      <c r="DU72" s="1">
        <v>18926633345.911301</v>
      </c>
      <c r="DV72" s="1">
        <v>18440540579.5228</v>
      </c>
      <c r="DW72" s="1">
        <v>19820724811.101299</v>
      </c>
    </row>
    <row r="73" spans="1:127" x14ac:dyDescent="0.25">
      <c r="A73" t="s">
        <v>100</v>
      </c>
      <c r="B73">
        <v>35.53</v>
      </c>
      <c r="C73">
        <v>-97.65</v>
      </c>
      <c r="D73">
        <v>-10.8</v>
      </c>
      <c r="E73">
        <v>-7.6</v>
      </c>
      <c r="F73">
        <v>37.5</v>
      </c>
      <c r="G73">
        <v>23.3</v>
      </c>
      <c r="H73">
        <v>36.200000000000003</v>
      </c>
      <c r="I73">
        <v>23.3</v>
      </c>
      <c r="J73">
        <v>102.833333333333</v>
      </c>
      <c r="K73">
        <v>0</v>
      </c>
      <c r="L73">
        <v>23802759543.9342</v>
      </c>
      <c r="M73">
        <v>5804116012.2295704</v>
      </c>
      <c r="N73">
        <v>5890.2442099999998</v>
      </c>
      <c r="O73" s="75">
        <v>24848290851.983601</v>
      </c>
      <c r="P73">
        <f>31060363564.9797*(0.8/0.96)</f>
        <v>25883636304.14975</v>
      </c>
      <c r="Q73">
        <v>29308</v>
      </c>
      <c r="R73">
        <v>256166366.803038</v>
      </c>
      <c r="S73">
        <f>1562.36523227444*(0.8/0.96)</f>
        <v>1301.9710268953665</v>
      </c>
      <c r="T73">
        <v>34.832257321415497</v>
      </c>
      <c r="U73">
        <v>13.1595906990605</v>
      </c>
      <c r="V73">
        <v>30.641699320502699</v>
      </c>
      <c r="W73">
        <v>34.378629745719202</v>
      </c>
      <c r="X73">
        <v>22.3138165654128</v>
      </c>
      <c r="Y73">
        <v>8.7293438332702795</v>
      </c>
      <c r="Z73">
        <v>20.399974070111998</v>
      </c>
      <c r="AA73">
        <v>4.9533409883589199</v>
      </c>
      <c r="AB73">
        <v>6.4958950749726201</v>
      </c>
      <c r="AC73">
        <v>5.2337228213079303</v>
      </c>
      <c r="AD73">
        <v>4.44237469073712</v>
      </c>
      <c r="AE73">
        <v>2.11806843926135</v>
      </c>
      <c r="AF73">
        <v>3.7043981901115899</v>
      </c>
      <c r="AG73">
        <v>8.8744260496529304</v>
      </c>
      <c r="AH73">
        <v>5.6979529384302499</v>
      </c>
      <c r="AI73">
        <v>5.6979529384302499</v>
      </c>
      <c r="AJ73">
        <v>102.583333333333</v>
      </c>
      <c r="AK73">
        <v>13.1666666666666</v>
      </c>
      <c r="AL73">
        <v>23829827352.448002</v>
      </c>
      <c r="AM73">
        <v>4348252883.8687897</v>
      </c>
      <c r="AN73">
        <v>5890.2442099999998</v>
      </c>
      <c r="AO73" s="69">
        <v>22846794751.971298</v>
      </c>
      <c r="AP73">
        <v>7621614449.85221</v>
      </c>
      <c r="AQ73">
        <v>5890.2442099999998</v>
      </c>
      <c r="AR73" s="69">
        <v>1033376071.81643</v>
      </c>
      <c r="AS73">
        <v>1033376071.81643</v>
      </c>
      <c r="AT73">
        <v>6565.1021899999996</v>
      </c>
      <c r="AU73">
        <v>1315385308.1897099</v>
      </c>
      <c r="AV73">
        <v>1040.9105283144399</v>
      </c>
      <c r="AW73">
        <v>395.04054476504598</v>
      </c>
      <c r="AX73">
        <v>933.06986227623099</v>
      </c>
      <c r="AY73">
        <v>1041.27255742583</v>
      </c>
      <c r="AZ73">
        <v>666.07840145059197</v>
      </c>
      <c r="BA73">
        <v>261.61650328328398</v>
      </c>
      <c r="BB73">
        <v>622.38918935712502</v>
      </c>
      <c r="BC73">
        <v>146.87670669460101</v>
      </c>
      <c r="BD73">
        <v>196.59060045104599</v>
      </c>
      <c r="BE73">
        <v>155.253367940484</v>
      </c>
      <c r="BF73">
        <v>133.29394204443</v>
      </c>
      <c r="BG73">
        <v>63.738158483046597</v>
      </c>
      <c r="BH73">
        <v>109.791370020481</v>
      </c>
      <c r="BI73">
        <v>267.012238363846</v>
      </c>
      <c r="BJ73">
        <v>170.442822309511</v>
      </c>
      <c r="BK73">
        <v>170.442822309511</v>
      </c>
      <c r="BL73">
        <v>178.60536455004899</v>
      </c>
      <c r="BM73">
        <v>67.328899451691598</v>
      </c>
      <c r="BN73">
        <v>155.98049587176399</v>
      </c>
      <c r="BO73">
        <v>174.90226104645399</v>
      </c>
      <c r="BP73">
        <v>114.37050455843099</v>
      </c>
      <c r="BQ73">
        <v>44.5292033885246</v>
      </c>
      <c r="BR73">
        <v>103.68865776103701</v>
      </c>
      <c r="BS73">
        <v>25.342309647244701</v>
      </c>
      <c r="BT73">
        <v>33.2975718052516</v>
      </c>
      <c r="BU73">
        <v>26.9416890600356</v>
      </c>
      <c r="BV73">
        <v>22.724210806113199</v>
      </c>
      <c r="BW73">
        <v>10.8507253909151</v>
      </c>
      <c r="BX73">
        <v>18.928507042073601</v>
      </c>
      <c r="BY73">
        <v>45.432947052225998</v>
      </c>
      <c r="BZ73">
        <v>29.306348078472102</v>
      </c>
      <c r="CA73">
        <v>29.306348078472102</v>
      </c>
      <c r="CB73">
        <v>135.10125850344301</v>
      </c>
      <c r="CC73">
        <v>57.1166657325846</v>
      </c>
      <c r="CD73">
        <v>121.34018710697499</v>
      </c>
      <c r="CE73">
        <v>143.870029981687</v>
      </c>
      <c r="CF73">
        <v>98.595910240701699</v>
      </c>
      <c r="CG73">
        <v>33.470101906670898</v>
      </c>
      <c r="CH73">
        <v>75.065134264075397</v>
      </c>
      <c r="CI73">
        <v>16.772608699960202</v>
      </c>
      <c r="CJ73">
        <v>27.784219106727999</v>
      </c>
      <c r="CK73">
        <v>23.090988463174199</v>
      </c>
      <c r="CL73">
        <v>14.783874273286701</v>
      </c>
      <c r="CM73">
        <v>8.8553980304763407</v>
      </c>
      <c r="CN73">
        <v>12.011248023169401</v>
      </c>
      <c r="CO73">
        <v>33.133565324925499</v>
      </c>
      <c r="CP73">
        <v>18.0658207307144</v>
      </c>
      <c r="CQ73">
        <v>18.0658207307144</v>
      </c>
      <c r="CR73" s="1">
        <v>214273723.96896601</v>
      </c>
      <c r="CS73" s="1">
        <v>203060682.44418901</v>
      </c>
      <c r="CT73" s="1">
        <v>121718823.465087</v>
      </c>
      <c r="CU73" s="1">
        <v>78856963.758473307</v>
      </c>
      <c r="CV73" s="1">
        <v>69510677.019893602</v>
      </c>
      <c r="CW73" s="1">
        <v>61793456.988246202</v>
      </c>
      <c r="CX73" s="1">
        <v>47827265.136896797</v>
      </c>
      <c r="CY73" s="1">
        <v>37278928.729978897</v>
      </c>
      <c r="CZ73" s="1">
        <v>34363179.541048698</v>
      </c>
      <c r="DA73" s="1">
        <v>23470109.1327403</v>
      </c>
      <c r="DB73" s="1">
        <v>17612747.321853299</v>
      </c>
      <c r="DC73" s="1">
        <v>17131790.682911199</v>
      </c>
      <c r="DD73" s="1">
        <v>13110198.303886401</v>
      </c>
      <c r="DE73" s="1">
        <v>11127995.5478283</v>
      </c>
      <c r="DF73" s="1">
        <v>12889499.038910201</v>
      </c>
      <c r="DG73" s="1">
        <v>12044698.838284099</v>
      </c>
      <c r="DH73" s="1">
        <v>8328079377.1951199</v>
      </c>
      <c r="DI73" s="1">
        <v>7883605717.7713499</v>
      </c>
      <c r="DJ73" s="1">
        <v>4701455915.3814602</v>
      </c>
      <c r="DK73" s="1">
        <v>3066365723.1859298</v>
      </c>
      <c r="DL73" s="1">
        <v>2737515315.7026701</v>
      </c>
      <c r="DM73" s="1">
        <v>2454359110.5448098</v>
      </c>
      <c r="DN73" s="1">
        <v>1895083637.45959</v>
      </c>
      <c r="DO73" s="1">
        <v>1482713624.0777199</v>
      </c>
      <c r="DP73" s="1">
        <v>1361837466.5452199</v>
      </c>
      <c r="DQ73" s="1">
        <v>914547403.10218501</v>
      </c>
      <c r="DR73" s="1">
        <v>704165191.22506905</v>
      </c>
      <c r="DS73" s="1">
        <v>688003281.85892105</v>
      </c>
      <c r="DT73" s="1">
        <v>516984064.31106001</v>
      </c>
      <c r="DU73" s="1">
        <v>447217748.67525703</v>
      </c>
      <c r="DV73" s="1">
        <v>508841181.69211698</v>
      </c>
      <c r="DW73" s="1">
        <v>482488811.88411301</v>
      </c>
    </row>
    <row r="74" spans="1:127" x14ac:dyDescent="0.25">
      <c r="A74" t="s">
        <v>101</v>
      </c>
      <c r="B74">
        <v>45.6</v>
      </c>
      <c r="C74">
        <v>-122.62</v>
      </c>
      <c r="D74">
        <v>-3.8</v>
      </c>
      <c r="E74">
        <v>-1.4</v>
      </c>
      <c r="F74">
        <v>33</v>
      </c>
      <c r="G74">
        <v>19.600000000000001</v>
      </c>
      <c r="H74">
        <v>30.8</v>
      </c>
      <c r="I74">
        <v>19.2</v>
      </c>
      <c r="J74">
        <v>30.333333333333201</v>
      </c>
      <c r="K74">
        <v>0</v>
      </c>
      <c r="L74">
        <v>4809368669.9567204</v>
      </c>
      <c r="M74">
        <v>1066332343.51781</v>
      </c>
      <c r="N74">
        <v>3980.7408799999998</v>
      </c>
      <c r="O74" s="75">
        <v>26709377826.4986</v>
      </c>
      <c r="P74">
        <f>33386722283.1232*(0.8/0.96)</f>
        <v>27822268569.269333</v>
      </c>
      <c r="Q74">
        <v>29308</v>
      </c>
      <c r="R74">
        <v>205767594.39150301</v>
      </c>
      <c r="S74">
        <f>1679.383243716*(0.8/0.96)</f>
        <v>1399.48603643</v>
      </c>
      <c r="T74">
        <v>11.6477348600624</v>
      </c>
      <c r="U74">
        <v>11.557045492625001</v>
      </c>
      <c r="V74">
        <v>5.0218393292583698</v>
      </c>
      <c r="W74">
        <v>5.0360988383842402</v>
      </c>
      <c r="X74">
        <v>6.4114684630911203</v>
      </c>
      <c r="Y74">
        <v>10.8008253237532</v>
      </c>
      <c r="Z74">
        <v>5.0734573121553996</v>
      </c>
      <c r="AA74">
        <v>8.8825534752242206</v>
      </c>
      <c r="AB74">
        <v>6.3497541179011696</v>
      </c>
      <c r="AC74">
        <v>4.8344413528686099</v>
      </c>
      <c r="AD74">
        <v>7.2259485196555797</v>
      </c>
      <c r="AE74">
        <v>3.1405079810635002</v>
      </c>
      <c r="AF74">
        <v>8.1505704860809995</v>
      </c>
      <c r="AG74">
        <v>11.2896034274352</v>
      </c>
      <c r="AH74">
        <v>4.1847289930934597</v>
      </c>
      <c r="AI74">
        <v>4.1847289930934597</v>
      </c>
      <c r="AJ74">
        <v>30.1666666666666</v>
      </c>
      <c r="AK74">
        <v>12.6666666666666</v>
      </c>
      <c r="AL74">
        <v>4830683466.1006098</v>
      </c>
      <c r="AM74">
        <v>699500387.73196995</v>
      </c>
      <c r="AN74">
        <v>3980.7408799999998</v>
      </c>
      <c r="AO74" s="69">
        <v>24726384994.344799</v>
      </c>
      <c r="AP74">
        <v>6542150102.9493704</v>
      </c>
      <c r="AQ74">
        <v>3980.7408799999998</v>
      </c>
      <c r="AR74" s="69">
        <v>758904712.04296899</v>
      </c>
      <c r="AS74">
        <v>758904712.04296899</v>
      </c>
      <c r="AT74">
        <v>5083.1571999999996</v>
      </c>
      <c r="AU74">
        <v>1559860616.5111301</v>
      </c>
      <c r="AV74">
        <v>375.233163753383</v>
      </c>
      <c r="AW74">
        <v>372.91464167070001</v>
      </c>
      <c r="AX74">
        <v>167.14593798233801</v>
      </c>
      <c r="AY74">
        <v>163.99237577586501</v>
      </c>
      <c r="AZ74">
        <v>210.243551588938</v>
      </c>
      <c r="BA74">
        <v>350.74906193956798</v>
      </c>
      <c r="BB74">
        <v>164.974514561793</v>
      </c>
      <c r="BC74">
        <v>289.97427290058499</v>
      </c>
      <c r="BD74">
        <v>207.23698125729399</v>
      </c>
      <c r="BE74">
        <v>157.60641986351499</v>
      </c>
      <c r="BF74">
        <v>231.31959360046699</v>
      </c>
      <c r="BG74">
        <v>101.86069908229101</v>
      </c>
      <c r="BH74">
        <v>263.818289433796</v>
      </c>
      <c r="BI74">
        <v>366.98877886646397</v>
      </c>
      <c r="BJ74">
        <v>135.91228713695401</v>
      </c>
      <c r="BK74">
        <v>135.91228713695401</v>
      </c>
      <c r="BL74">
        <v>88.821251174740993</v>
      </c>
      <c r="BM74">
        <v>88.126101141638003</v>
      </c>
      <c r="BN74">
        <v>38.859318128534703</v>
      </c>
      <c r="BO74">
        <v>38.5324548791327</v>
      </c>
      <c r="BP74">
        <v>49.069920753266501</v>
      </c>
      <c r="BQ74">
        <v>82.591968517151201</v>
      </c>
      <c r="BR74">
        <v>38.733181195425601</v>
      </c>
      <c r="BS74">
        <v>68.022705206054894</v>
      </c>
      <c r="BT74">
        <v>48.4849755452476</v>
      </c>
      <c r="BU74">
        <v>36.996224395701397</v>
      </c>
      <c r="BV74">
        <v>54.787920713893698</v>
      </c>
      <c r="BW74">
        <v>23.958361128300901</v>
      </c>
      <c r="BX74">
        <v>62.109318230556397</v>
      </c>
      <c r="BY74">
        <v>86.136102058993202</v>
      </c>
      <c r="BZ74">
        <v>31.986180334046399</v>
      </c>
      <c r="CA74">
        <v>31.986180334046399</v>
      </c>
      <c r="CB74">
        <v>45.4846688112615</v>
      </c>
      <c r="CC74">
        <v>45.341232399294803</v>
      </c>
      <c r="CD74">
        <v>20.5625750414825</v>
      </c>
      <c r="CE74">
        <v>19.5857138986118</v>
      </c>
      <c r="CF74">
        <v>27.9138788120976</v>
      </c>
      <c r="CG74">
        <v>41.997323564448102</v>
      </c>
      <c r="CH74">
        <v>20.189200976124901</v>
      </c>
      <c r="CI74">
        <v>35.754519037754598</v>
      </c>
      <c r="CJ74">
        <v>28.5794264987031</v>
      </c>
      <c r="CK74">
        <v>17.834751685712199</v>
      </c>
      <c r="CL74">
        <v>26.7484495263353</v>
      </c>
      <c r="CM74">
        <v>13.3393714002141</v>
      </c>
      <c r="CN74">
        <v>30.5355475373992</v>
      </c>
      <c r="CO74">
        <v>46.082374676719603</v>
      </c>
      <c r="CP74">
        <v>15.2015913638427</v>
      </c>
      <c r="CQ74">
        <v>15.2015913638427</v>
      </c>
      <c r="CR74" s="1">
        <v>97287532.069856003</v>
      </c>
      <c r="CS74" s="1">
        <v>98470947.040161997</v>
      </c>
      <c r="CT74" s="1">
        <v>93439414.909042299</v>
      </c>
      <c r="CU74" s="1">
        <v>72448619.365176797</v>
      </c>
      <c r="CV74" s="1">
        <v>64481602.103255503</v>
      </c>
      <c r="CW74" s="1">
        <v>58332733.926554702</v>
      </c>
      <c r="CX74" s="1">
        <v>63905508.201404698</v>
      </c>
      <c r="CY74" s="1">
        <v>57691172.223279998</v>
      </c>
      <c r="CZ74" s="1">
        <v>60282119.158931702</v>
      </c>
      <c r="DA74" s="1">
        <v>52724086.660545401</v>
      </c>
      <c r="DB74" s="1">
        <v>49598136.132263198</v>
      </c>
      <c r="DC74" s="1">
        <v>51316598.634964503</v>
      </c>
      <c r="DD74" s="1">
        <v>45053105.053282797</v>
      </c>
      <c r="DE74" s="1">
        <v>42020435.498731397</v>
      </c>
      <c r="DF74" s="1">
        <v>41687212.390535198</v>
      </c>
      <c r="DG74" s="1">
        <v>37935504.861620001</v>
      </c>
      <c r="DH74" s="1">
        <v>4142485808.5706201</v>
      </c>
      <c r="DI74" s="1">
        <v>4214248186.1188798</v>
      </c>
      <c r="DJ74" s="1">
        <v>4017772346.9387598</v>
      </c>
      <c r="DK74" s="1">
        <v>3173697645.3207598</v>
      </c>
      <c r="DL74" s="1">
        <v>2842796170.2072301</v>
      </c>
      <c r="DM74" s="1">
        <v>2575121265.7623401</v>
      </c>
      <c r="DN74" s="1">
        <v>2822460872.85783</v>
      </c>
      <c r="DO74" s="1">
        <v>2550769833.1633701</v>
      </c>
      <c r="DP74" s="1">
        <v>2656631925.82412</v>
      </c>
      <c r="DQ74" s="1">
        <v>2317695736.3477302</v>
      </c>
      <c r="DR74" s="1">
        <v>2163691367.88867</v>
      </c>
      <c r="DS74" s="1">
        <v>2209907704.87356</v>
      </c>
      <c r="DT74" s="1">
        <v>1966068121.5276301</v>
      </c>
      <c r="DU74" s="1">
        <v>1829439495.2055199</v>
      </c>
      <c r="DV74" s="1">
        <v>1803380722.2948799</v>
      </c>
      <c r="DW74" s="1">
        <v>1640544096.2761199</v>
      </c>
    </row>
    <row r="75" spans="1:127" x14ac:dyDescent="0.25">
      <c r="A75" t="s">
        <v>102</v>
      </c>
      <c r="B75">
        <v>44.25</v>
      </c>
      <c r="C75">
        <v>-121.17</v>
      </c>
      <c r="D75">
        <v>-14.7</v>
      </c>
      <c r="E75">
        <v>-10.8</v>
      </c>
      <c r="F75">
        <v>33.9</v>
      </c>
      <c r="G75">
        <v>16.5</v>
      </c>
      <c r="H75">
        <v>32.299999999999997</v>
      </c>
      <c r="I75">
        <v>16</v>
      </c>
      <c r="J75">
        <v>36.5833333333333</v>
      </c>
      <c r="K75">
        <v>0</v>
      </c>
      <c r="L75">
        <v>3971402347.4351802</v>
      </c>
      <c r="M75">
        <v>944629642.53487301</v>
      </c>
      <c r="N75">
        <v>3659.0720299999998</v>
      </c>
      <c r="O75" s="75">
        <v>39987178685.676804</v>
      </c>
      <c r="P75">
        <f>49983973357.0958*(0.8/0.96)</f>
        <v>41653311130.91317</v>
      </c>
      <c r="Q75">
        <v>29308</v>
      </c>
      <c r="R75">
        <v>319987502.30519003</v>
      </c>
      <c r="S75">
        <f>2514.24043960991*(0.8/0.96)</f>
        <v>2095.2003663415917</v>
      </c>
      <c r="T75">
        <v>17.778989320254102</v>
      </c>
      <c r="U75">
        <v>17.513403303075101</v>
      </c>
      <c r="V75">
        <v>7.5239440394575396</v>
      </c>
      <c r="W75">
        <v>7.41958555146251</v>
      </c>
      <c r="X75">
        <v>9.3068343506853193</v>
      </c>
      <c r="Y75">
        <v>15.895777028297699</v>
      </c>
      <c r="Z75">
        <v>7.3844244964834598</v>
      </c>
      <c r="AA75">
        <v>12.9473711918203</v>
      </c>
      <c r="AB75">
        <v>9.05053990355308</v>
      </c>
      <c r="AC75">
        <v>6.9965396519976304</v>
      </c>
      <c r="AD75">
        <v>10.2729953171921</v>
      </c>
      <c r="AE75">
        <v>4.56586464441222</v>
      </c>
      <c r="AF75">
        <v>11.6387958671892</v>
      </c>
      <c r="AG75">
        <v>16.3395433461619</v>
      </c>
      <c r="AH75">
        <v>5.9528334564861201</v>
      </c>
      <c r="AI75">
        <v>5.9528334564861201</v>
      </c>
      <c r="AJ75">
        <v>36.5833333333333</v>
      </c>
      <c r="AK75">
        <v>25.9166666666666</v>
      </c>
      <c r="AL75">
        <v>3967916348.7719002</v>
      </c>
      <c r="AM75">
        <v>659403300.71472502</v>
      </c>
      <c r="AN75">
        <v>3659.0720299999998</v>
      </c>
      <c r="AO75" s="69">
        <v>33391006921.9384</v>
      </c>
      <c r="AP75">
        <v>10930730269.070801</v>
      </c>
      <c r="AQ75">
        <v>3659.0720299999998</v>
      </c>
      <c r="AR75" s="69">
        <v>4491048576.8269901</v>
      </c>
      <c r="AS75">
        <v>4491048576.8269901</v>
      </c>
      <c r="AT75">
        <v>7177.1648500000001</v>
      </c>
      <c r="AU75">
        <v>2582260306.92377</v>
      </c>
      <c r="AV75">
        <v>614.014554621353</v>
      </c>
      <c r="AW75">
        <v>601.29676811842103</v>
      </c>
      <c r="AX75">
        <v>262.61729072173603</v>
      </c>
      <c r="AY75">
        <v>260.97877173726101</v>
      </c>
      <c r="AZ75">
        <v>319.56731710302</v>
      </c>
      <c r="BA75">
        <v>551.470008998509</v>
      </c>
      <c r="BB75">
        <v>255.417047805566</v>
      </c>
      <c r="BC75">
        <v>449.51999473825299</v>
      </c>
      <c r="BD75">
        <v>311.47699815272</v>
      </c>
      <c r="BE75">
        <v>244.133869542051</v>
      </c>
      <c r="BF75">
        <v>355.34987853239602</v>
      </c>
      <c r="BG75">
        <v>156.53614566634599</v>
      </c>
      <c r="BH75">
        <v>402.97265324072703</v>
      </c>
      <c r="BI75">
        <v>562.677924154778</v>
      </c>
      <c r="BJ75">
        <v>207.71945913054401</v>
      </c>
      <c r="BK75">
        <v>207.71945913054401</v>
      </c>
      <c r="BL75">
        <v>144.07868040338701</v>
      </c>
      <c r="BM75">
        <v>141.264338902248</v>
      </c>
      <c r="BN75">
        <v>60.581843455642499</v>
      </c>
      <c r="BO75">
        <v>60.566746445270098</v>
      </c>
      <c r="BP75">
        <v>74.247274216646204</v>
      </c>
      <c r="BQ75">
        <v>128.51189645801301</v>
      </c>
      <c r="BR75">
        <v>59.469327552521797</v>
      </c>
      <c r="BS75">
        <v>104.56195482576101</v>
      </c>
      <c r="BT75">
        <v>72.622911078188594</v>
      </c>
      <c r="BU75">
        <v>56.706642330593603</v>
      </c>
      <c r="BV75">
        <v>83.141189491261201</v>
      </c>
      <c r="BW75">
        <v>36.671845093835401</v>
      </c>
      <c r="BX75">
        <v>94.164308164620394</v>
      </c>
      <c r="BY75">
        <v>131.051568724031</v>
      </c>
      <c r="BZ75">
        <v>48.301933621700698</v>
      </c>
      <c r="CA75">
        <v>48.301933621700698</v>
      </c>
      <c r="CB75">
        <v>261.69985746671</v>
      </c>
      <c r="CC75">
        <v>262.29904292507302</v>
      </c>
      <c r="CD75">
        <v>138.17266654252899</v>
      </c>
      <c r="CE75">
        <v>114.691739776559</v>
      </c>
      <c r="CF75">
        <v>168.510085411083</v>
      </c>
      <c r="CG75">
        <v>257.07333628220903</v>
      </c>
      <c r="CH75">
        <v>120.537419439381</v>
      </c>
      <c r="CI75">
        <v>214.34574491583501</v>
      </c>
      <c r="CJ75">
        <v>158.473348476837</v>
      </c>
      <c r="CK75">
        <v>115.36048802686901</v>
      </c>
      <c r="CL75">
        <v>158.30758802974401</v>
      </c>
      <c r="CM75">
        <v>73.124313570989202</v>
      </c>
      <c r="CN75">
        <v>185.470641590166</v>
      </c>
      <c r="CO75">
        <v>284.36675107768201</v>
      </c>
      <c r="CP75">
        <v>93.694011196333705</v>
      </c>
      <c r="CQ75">
        <v>93.694011196333705</v>
      </c>
      <c r="CR75" s="1">
        <v>151440769.07937801</v>
      </c>
      <c r="CS75" s="1">
        <v>151075887.77236599</v>
      </c>
      <c r="CT75" s="1">
        <v>142614206.120864</v>
      </c>
      <c r="CU75" s="1">
        <v>105049038.55553</v>
      </c>
      <c r="CV75" s="1">
        <v>93210500.038628906</v>
      </c>
      <c r="CW75" s="1">
        <v>85469519.016414806</v>
      </c>
      <c r="CX75" s="1">
        <v>91757069.892264694</v>
      </c>
      <c r="CY75" s="1">
        <v>83689182.349914193</v>
      </c>
      <c r="CZ75" s="1">
        <v>87582484.356240198</v>
      </c>
      <c r="DA75" s="1">
        <v>77327867.023928195</v>
      </c>
      <c r="DB75" s="1">
        <v>72216621.323031798</v>
      </c>
      <c r="DC75" s="1">
        <v>75972917.0601383</v>
      </c>
      <c r="DD75" s="1">
        <v>66597370.917048499</v>
      </c>
      <c r="DE75" s="1">
        <v>62249858.158011399</v>
      </c>
      <c r="DF75" s="1">
        <v>61417935.285645001</v>
      </c>
      <c r="DG75" s="1">
        <v>57529442.338611901</v>
      </c>
      <c r="DH75" s="1">
        <v>8415789628.4010201</v>
      </c>
      <c r="DI75" s="1">
        <v>8499242679.9056301</v>
      </c>
      <c r="DJ75" s="1">
        <v>8102769655.9223003</v>
      </c>
      <c r="DK75" s="1">
        <v>6145491499.9585104</v>
      </c>
      <c r="DL75" s="1">
        <v>5650626484.3225899</v>
      </c>
      <c r="DM75" s="1">
        <v>5210893900.1338797</v>
      </c>
      <c r="DN75" s="1">
        <v>5503995652.87638</v>
      </c>
      <c r="DO75" s="1">
        <v>5057975415.7300797</v>
      </c>
      <c r="DP75" s="1">
        <v>5340409827.6652498</v>
      </c>
      <c r="DQ75" s="1">
        <v>4696238053.0207701</v>
      </c>
      <c r="DR75" s="1">
        <v>4451285993.2387695</v>
      </c>
      <c r="DS75" s="1">
        <v>4658412470.9329205</v>
      </c>
      <c r="DT75" s="1">
        <v>4106204208.6243901</v>
      </c>
      <c r="DU75" s="1">
        <v>3837652845.7442398</v>
      </c>
      <c r="DV75" s="1">
        <v>3780636410.74193</v>
      </c>
      <c r="DW75" s="1">
        <v>3616712221.3564</v>
      </c>
    </row>
    <row r="76" spans="1:127" x14ac:dyDescent="0.25">
      <c r="A76" t="s">
        <v>105</v>
      </c>
      <c r="B76">
        <v>41.8</v>
      </c>
      <c r="C76">
        <v>-78.63</v>
      </c>
      <c r="D76">
        <v>-18.5</v>
      </c>
      <c r="E76">
        <v>-16</v>
      </c>
      <c r="F76">
        <v>28.6</v>
      </c>
      <c r="G76">
        <v>20.3</v>
      </c>
      <c r="H76">
        <v>27.3</v>
      </c>
      <c r="I76">
        <v>19.600000000000001</v>
      </c>
      <c r="J76">
        <v>0</v>
      </c>
      <c r="K76">
        <v>0</v>
      </c>
      <c r="L76">
        <v>169465046.890237</v>
      </c>
      <c r="M76">
        <v>37193191.381668501</v>
      </c>
      <c r="N76">
        <v>5003.1549500000001</v>
      </c>
      <c r="O76" s="75">
        <v>76656101226.616104</v>
      </c>
      <c r="P76">
        <f>95820126533.2698*(0.8/0.96)</f>
        <v>79850105444.39151</v>
      </c>
      <c r="Q76">
        <v>29308</v>
      </c>
      <c r="R76">
        <v>722801837.75327301</v>
      </c>
      <c r="S76">
        <f>4819.84165879213*(0.8/0.96)</f>
        <v>4016.5347156601088</v>
      </c>
      <c r="T76">
        <v>85.814357654779997</v>
      </c>
      <c r="U76">
        <v>34.528894214578102</v>
      </c>
      <c r="V76">
        <v>105.960259980985</v>
      </c>
      <c r="W76">
        <v>95.110786773464</v>
      </c>
      <c r="X76">
        <v>26.452002758718901</v>
      </c>
      <c r="Y76">
        <v>67.356476889547395</v>
      </c>
      <c r="Z76">
        <v>55.254368853479797</v>
      </c>
      <c r="AA76">
        <v>72.445170287104304</v>
      </c>
      <c r="AB76">
        <v>46.207403138646498</v>
      </c>
      <c r="AC76">
        <v>41.003024004484203</v>
      </c>
      <c r="AD76">
        <v>30.0008653155313</v>
      </c>
      <c r="AE76">
        <v>32.443859661114203</v>
      </c>
      <c r="AF76">
        <v>51.473103686503002</v>
      </c>
      <c r="AG76">
        <v>18.482909746673101</v>
      </c>
      <c r="AH76">
        <v>20.007082855421402</v>
      </c>
      <c r="AI76">
        <v>20.007082855421402</v>
      </c>
      <c r="AJ76">
        <v>0</v>
      </c>
      <c r="AK76">
        <v>49.749999999999901</v>
      </c>
      <c r="AL76">
        <v>170113461.58349299</v>
      </c>
      <c r="AM76">
        <v>24816200.1967916</v>
      </c>
      <c r="AN76">
        <v>5003.1549500000001</v>
      </c>
      <c r="AO76" s="69">
        <v>54381763646.968498</v>
      </c>
      <c r="AP76">
        <v>19985337287.563202</v>
      </c>
      <c r="AQ76">
        <v>5003.1549500000001</v>
      </c>
      <c r="AR76" s="69">
        <v>19135603100.085899</v>
      </c>
      <c r="AS76">
        <v>19135603100.085899</v>
      </c>
      <c r="AT76">
        <v>8756.3261399999992</v>
      </c>
      <c r="AU76">
        <v>4011663587.2083902</v>
      </c>
      <c r="AV76">
        <v>2362.9444107220602</v>
      </c>
      <c r="AW76">
        <v>948.73398404281897</v>
      </c>
      <c r="AX76">
        <v>2933.5768107644099</v>
      </c>
      <c r="AY76">
        <v>2665.8120044973898</v>
      </c>
      <c r="AZ76">
        <v>730.71010061189395</v>
      </c>
      <c r="BA76">
        <v>1862.4059367956399</v>
      </c>
      <c r="BB76">
        <v>1544.2230453555101</v>
      </c>
      <c r="BC76">
        <v>1989.3837069051799</v>
      </c>
      <c r="BD76">
        <v>1278.52045355975</v>
      </c>
      <c r="BE76">
        <v>1142.2788591390499</v>
      </c>
      <c r="BF76">
        <v>842.81896692281703</v>
      </c>
      <c r="BG76">
        <v>893.23002394202501</v>
      </c>
      <c r="BH76">
        <v>1427.3287934800401</v>
      </c>
      <c r="BI76">
        <v>509.90770355572602</v>
      </c>
      <c r="BJ76">
        <v>554.95783332132703</v>
      </c>
      <c r="BK76">
        <v>554.95783332132703</v>
      </c>
      <c r="BL76">
        <v>467.68605969443303</v>
      </c>
      <c r="BM76">
        <v>189.81659032097801</v>
      </c>
      <c r="BN76">
        <v>581.84413318521104</v>
      </c>
      <c r="BO76">
        <v>534.89644697647304</v>
      </c>
      <c r="BP76">
        <v>145.58117213582599</v>
      </c>
      <c r="BQ76">
        <v>375.29394746120602</v>
      </c>
      <c r="BR76">
        <v>310.62861700298498</v>
      </c>
      <c r="BS76">
        <v>396.83576243032701</v>
      </c>
      <c r="BT76">
        <v>258.59856544423201</v>
      </c>
      <c r="BU76">
        <v>227.51697589537301</v>
      </c>
      <c r="BV76">
        <v>169.3185875977</v>
      </c>
      <c r="BW76">
        <v>179.96786996182499</v>
      </c>
      <c r="BX76">
        <v>286.461411920866</v>
      </c>
      <c r="BY76">
        <v>102.67868702494501</v>
      </c>
      <c r="BZ76">
        <v>110.849067962718</v>
      </c>
      <c r="CA76">
        <v>110.849067962718</v>
      </c>
      <c r="CB76">
        <v>2543.4979173230599</v>
      </c>
      <c r="CC76">
        <v>991.42333717532995</v>
      </c>
      <c r="CD76">
        <v>3124.54550804987</v>
      </c>
      <c r="CE76">
        <v>2425.4978891127298</v>
      </c>
      <c r="CF76">
        <v>749.50739572539999</v>
      </c>
      <c r="CG76">
        <v>1799.6478444054601</v>
      </c>
      <c r="CH76">
        <v>1392.3251237505899</v>
      </c>
      <c r="CI76">
        <v>2090.1998755156601</v>
      </c>
      <c r="CJ76">
        <v>1162.91494195679</v>
      </c>
      <c r="CK76">
        <v>1119.44838858406</v>
      </c>
      <c r="CL76">
        <v>738.848966778521</v>
      </c>
      <c r="CM76">
        <v>854.25775504570299</v>
      </c>
      <c r="CN76">
        <v>1360.5588100456901</v>
      </c>
      <c r="CO76">
        <v>486.45978798270198</v>
      </c>
      <c r="CP76">
        <v>557.10359846235394</v>
      </c>
      <c r="CQ76">
        <v>557.10359846235394</v>
      </c>
      <c r="CR76" s="1">
        <v>699823693.50315201</v>
      </c>
      <c r="CS76" s="1">
        <v>742340748.26442397</v>
      </c>
      <c r="CT76" s="1">
        <v>718951638.91798997</v>
      </c>
      <c r="CU76" s="1">
        <v>693022124.82503796</v>
      </c>
      <c r="CV76" s="1">
        <v>641238822.37459099</v>
      </c>
      <c r="CW76" s="1">
        <v>602271465.04838097</v>
      </c>
      <c r="CX76" s="1">
        <v>581424446.52244699</v>
      </c>
      <c r="CY76" s="1">
        <v>574171285.31548405</v>
      </c>
      <c r="CZ76" s="1">
        <v>583267003.10952199</v>
      </c>
      <c r="DA76" s="1">
        <v>533003720.507716</v>
      </c>
      <c r="DB76" s="1">
        <v>515263322.15365398</v>
      </c>
      <c r="DC76" s="1">
        <v>481047742.97703701</v>
      </c>
      <c r="DD76" s="1">
        <v>481626763.19997102</v>
      </c>
      <c r="DE76" s="1">
        <v>518310446.27457798</v>
      </c>
      <c r="DF76" s="1">
        <v>499732329.95611399</v>
      </c>
      <c r="DG76" s="1">
        <v>468705363.65924603</v>
      </c>
      <c r="DH76" s="1">
        <v>41597955436.379204</v>
      </c>
      <c r="DI76" s="1">
        <v>44175523344.194</v>
      </c>
      <c r="DJ76" s="1">
        <v>42758834687.1875</v>
      </c>
      <c r="DK76" s="1">
        <v>41410798229.672203</v>
      </c>
      <c r="DL76" s="1">
        <v>38276609963.050697</v>
      </c>
      <c r="DM76" s="1">
        <v>36023037341.753403</v>
      </c>
      <c r="DN76" s="1">
        <v>34961174296.892097</v>
      </c>
      <c r="DO76" s="1">
        <v>34732931551.5961</v>
      </c>
      <c r="DP76" s="1">
        <v>35210252595.255798</v>
      </c>
      <c r="DQ76" s="1">
        <v>32215515545.572498</v>
      </c>
      <c r="DR76" s="1">
        <v>31242679868.580399</v>
      </c>
      <c r="DS76" s="1">
        <v>29047632953.501999</v>
      </c>
      <c r="DT76" s="1">
        <v>29334469989.482101</v>
      </c>
      <c r="DU76" s="1">
        <v>31394930256.727001</v>
      </c>
      <c r="DV76" s="1">
        <v>30347166884.1129</v>
      </c>
      <c r="DW76" s="1">
        <v>28530901685.596699</v>
      </c>
    </row>
    <row r="77" spans="1:127" x14ac:dyDescent="0.25">
      <c r="A77" t="s">
        <v>103</v>
      </c>
      <c r="B77">
        <v>39.869999999999997</v>
      </c>
      <c r="C77">
        <v>-75.23</v>
      </c>
      <c r="D77">
        <v>-10.1</v>
      </c>
      <c r="E77">
        <v>-7.8</v>
      </c>
      <c r="F77">
        <v>34.1</v>
      </c>
      <c r="G77">
        <v>24</v>
      </c>
      <c r="H77">
        <v>32.700000000000003</v>
      </c>
      <c r="I77">
        <v>23.5</v>
      </c>
      <c r="J77">
        <v>40.4166666666666</v>
      </c>
      <c r="K77">
        <v>0</v>
      </c>
      <c r="L77">
        <v>15067041131.6665</v>
      </c>
      <c r="M77">
        <v>3320328234.01056</v>
      </c>
      <c r="N77">
        <v>5247.9552199999998</v>
      </c>
      <c r="O77" s="75">
        <v>38188138782.1035</v>
      </c>
      <c r="P77">
        <f>47735173477.6297*(0.8/0.96)</f>
        <v>39779311231.358086</v>
      </c>
      <c r="Q77">
        <v>29308</v>
      </c>
      <c r="R77">
        <v>333241158.18756598</v>
      </c>
      <c r="S77">
        <f>2401.12371003041*(0.8/0.96)</f>
        <v>2000.9364250253418</v>
      </c>
      <c r="T77">
        <v>43.038671818137402</v>
      </c>
      <c r="U77">
        <v>16.083966766063799</v>
      </c>
      <c r="V77">
        <v>51.522954711017903</v>
      </c>
      <c r="W77">
        <v>43.852736648181697</v>
      </c>
      <c r="X77">
        <v>12.7990727312784</v>
      </c>
      <c r="Y77">
        <v>31.197683011539802</v>
      </c>
      <c r="Z77">
        <v>25.2440723948684</v>
      </c>
      <c r="AA77">
        <v>34.612064179286499</v>
      </c>
      <c r="AB77">
        <v>20.619102032047</v>
      </c>
      <c r="AC77">
        <v>19.0608165534933</v>
      </c>
      <c r="AD77">
        <v>13.8811805401466</v>
      </c>
      <c r="AE77">
        <v>14.7676254743873</v>
      </c>
      <c r="AF77">
        <v>23.829411828904298</v>
      </c>
      <c r="AG77">
        <v>8.4150462505213603</v>
      </c>
      <c r="AH77">
        <v>9.6740898580950496</v>
      </c>
      <c r="AI77">
        <v>9.6740898580950496</v>
      </c>
      <c r="AJ77">
        <v>40.0833333333333</v>
      </c>
      <c r="AK77">
        <v>15.3333333333333</v>
      </c>
      <c r="AL77">
        <v>15107108062.569</v>
      </c>
      <c r="AM77">
        <v>2201606256.99367</v>
      </c>
      <c r="AN77">
        <v>5247.9552199999998</v>
      </c>
      <c r="AO77" s="69">
        <v>34379624062.894798</v>
      </c>
      <c r="AP77">
        <v>11178732903.316601</v>
      </c>
      <c r="AQ77">
        <v>5247.9552199999998</v>
      </c>
      <c r="AR77" s="69">
        <v>2342787740.3117299</v>
      </c>
      <c r="AS77">
        <v>2342787740.3117299</v>
      </c>
      <c r="AT77">
        <v>6934.2871500000001</v>
      </c>
      <c r="AU77">
        <v>1935464074.4563601</v>
      </c>
      <c r="AV77">
        <v>1471.70850582207</v>
      </c>
      <c r="AW77">
        <v>545.32481652678598</v>
      </c>
      <c r="AX77">
        <v>1759.3885771794801</v>
      </c>
      <c r="AY77">
        <v>1472.2155873255999</v>
      </c>
      <c r="AZ77">
        <v>438.19063344860302</v>
      </c>
      <c r="BA77">
        <v>1046.0033761250399</v>
      </c>
      <c r="BB77">
        <v>837.07438223633903</v>
      </c>
      <c r="BC77">
        <v>1180.1609150514601</v>
      </c>
      <c r="BD77">
        <v>683.23065731721204</v>
      </c>
      <c r="BE77">
        <v>644.52439522442</v>
      </c>
      <c r="BF77">
        <v>465.91026794340502</v>
      </c>
      <c r="BG77">
        <v>494.80688724693198</v>
      </c>
      <c r="BH77">
        <v>799.90212680250897</v>
      </c>
      <c r="BI77">
        <v>281.394067787842</v>
      </c>
      <c r="BJ77">
        <v>330.521799104048</v>
      </c>
      <c r="BK77">
        <v>330.521799104048</v>
      </c>
      <c r="BL77">
        <v>250.66975264321201</v>
      </c>
      <c r="BM77">
        <v>93.3719031660345</v>
      </c>
      <c r="BN77">
        <v>299.66619965394398</v>
      </c>
      <c r="BO77">
        <v>254.22707459837301</v>
      </c>
      <c r="BP77">
        <v>74.483916020585795</v>
      </c>
      <c r="BQ77">
        <v>180.99306880803999</v>
      </c>
      <c r="BR77">
        <v>146.321833534663</v>
      </c>
      <c r="BS77">
        <v>201.048812778463</v>
      </c>
      <c r="BT77">
        <v>119.55527596506499</v>
      </c>
      <c r="BU77">
        <v>110.75478905000099</v>
      </c>
      <c r="BV77">
        <v>80.608402595231098</v>
      </c>
      <c r="BW77">
        <v>85.720442200953499</v>
      </c>
      <c r="BX77">
        <v>138.305936908528</v>
      </c>
      <c r="BY77">
        <v>48.834945937676999</v>
      </c>
      <c r="BZ77">
        <v>56.198462754954697</v>
      </c>
      <c r="CA77">
        <v>56.198462754954697</v>
      </c>
      <c r="CB77">
        <v>344.15236302981901</v>
      </c>
      <c r="CC77">
        <v>125.171578798707</v>
      </c>
      <c r="CD77">
        <v>366.15520451277803</v>
      </c>
      <c r="CE77">
        <v>299.35451296108801</v>
      </c>
      <c r="CF77">
        <v>104.049948371322</v>
      </c>
      <c r="CG77">
        <v>202.006961156399</v>
      </c>
      <c r="CH77">
        <v>165.01903814624501</v>
      </c>
      <c r="CI77">
        <v>271.53508153221497</v>
      </c>
      <c r="CJ77">
        <v>132.30923302029399</v>
      </c>
      <c r="CK77">
        <v>135.85110017755599</v>
      </c>
      <c r="CL77">
        <v>91.370666844364393</v>
      </c>
      <c r="CM77">
        <v>108.470678678046</v>
      </c>
      <c r="CN77">
        <v>166.41484854314299</v>
      </c>
      <c r="CO77">
        <v>56.808497723063702</v>
      </c>
      <c r="CP77">
        <v>73.127505895547401</v>
      </c>
      <c r="CQ77">
        <v>73.127505895547401</v>
      </c>
      <c r="CR77" s="1">
        <v>320474190.54691201</v>
      </c>
      <c r="CS77" s="1">
        <v>342645634.68858099</v>
      </c>
      <c r="CT77" s="1">
        <v>330361223.76453203</v>
      </c>
      <c r="CU77" s="1">
        <v>320940486.24539602</v>
      </c>
      <c r="CV77" s="1">
        <v>297601949.55761302</v>
      </c>
      <c r="CW77" s="1">
        <v>280280831.71674001</v>
      </c>
      <c r="CX77" s="1">
        <v>269445860.343934</v>
      </c>
      <c r="CY77" s="1">
        <v>268908210.217143</v>
      </c>
      <c r="CZ77" s="1">
        <v>272935965.33001399</v>
      </c>
      <c r="DA77" s="1">
        <v>252153925.78817201</v>
      </c>
      <c r="DB77" s="1">
        <v>242538778.14474699</v>
      </c>
      <c r="DC77" s="1">
        <v>227572476.72223699</v>
      </c>
      <c r="DD77" s="1">
        <v>229437193.88648501</v>
      </c>
      <c r="DE77" s="1">
        <v>245888647.797793</v>
      </c>
      <c r="DF77" s="1">
        <v>239819022.45182899</v>
      </c>
      <c r="DG77" s="1">
        <v>225476140.014534</v>
      </c>
      <c r="DH77" s="1">
        <v>14836593536.793301</v>
      </c>
      <c r="DI77" s="1">
        <v>15858408470.740499</v>
      </c>
      <c r="DJ77" s="1">
        <v>15284385403.8559</v>
      </c>
      <c r="DK77" s="1">
        <v>14902640796.7507</v>
      </c>
      <c r="DL77" s="1">
        <v>13834619532.927601</v>
      </c>
      <c r="DM77" s="1">
        <v>13109156057.4944</v>
      </c>
      <c r="DN77" s="1">
        <v>12596331681.7073</v>
      </c>
      <c r="DO77" s="1">
        <v>12614726221.818199</v>
      </c>
      <c r="DP77" s="1">
        <v>12845517161.080999</v>
      </c>
      <c r="DQ77" s="1">
        <v>11877077499.9776</v>
      </c>
      <c r="DR77" s="1">
        <v>11430852094.394899</v>
      </c>
      <c r="DS77" s="1">
        <v>10703335368.615299</v>
      </c>
      <c r="DT77" s="1">
        <v>10944765739.912701</v>
      </c>
      <c r="DU77" s="1">
        <v>11605899132.872801</v>
      </c>
      <c r="DV77" s="1">
        <v>11353925887.883801</v>
      </c>
      <c r="DW77" s="1">
        <v>10706788753.636101</v>
      </c>
    </row>
    <row r="78" spans="1:127" x14ac:dyDescent="0.25">
      <c r="A78" t="s">
        <v>104</v>
      </c>
      <c r="B78">
        <v>40.5</v>
      </c>
      <c r="C78">
        <v>-80.23</v>
      </c>
      <c r="D78">
        <v>-14.9</v>
      </c>
      <c r="E78">
        <v>-12.3</v>
      </c>
      <c r="F78">
        <v>32.1</v>
      </c>
      <c r="G78">
        <v>22.5</v>
      </c>
      <c r="H78">
        <v>30.6</v>
      </c>
      <c r="I78">
        <v>21.7</v>
      </c>
      <c r="J78">
        <v>5.4999999999999902</v>
      </c>
      <c r="K78">
        <v>0</v>
      </c>
      <c r="L78">
        <v>3847475499.9504099</v>
      </c>
      <c r="M78">
        <v>857329071.79379797</v>
      </c>
      <c r="N78">
        <v>4596.1539499999999</v>
      </c>
      <c r="O78" s="75">
        <v>47652535317.238403</v>
      </c>
      <c r="P78">
        <f>59565669146.548*(0.8/0.96)</f>
        <v>49638057622.123329</v>
      </c>
      <c r="Q78">
        <v>29308</v>
      </c>
      <c r="R78">
        <v>386920932.271869</v>
      </c>
      <c r="S78">
        <f>2996.20866694094*(0.8/0.96)</f>
        <v>2496.840555784117</v>
      </c>
      <c r="T78">
        <v>47.559879669189101</v>
      </c>
      <c r="U78">
        <v>18.816454048172599</v>
      </c>
      <c r="V78">
        <v>58.869203249266803</v>
      </c>
      <c r="W78">
        <v>50.807626053420002</v>
      </c>
      <c r="X78">
        <v>14.3203391494157</v>
      </c>
      <c r="Y78">
        <v>36.396738804724897</v>
      </c>
      <c r="Z78">
        <v>29.565627232896599</v>
      </c>
      <c r="AA78">
        <v>39.734107391761398</v>
      </c>
      <c r="AB78">
        <v>24.4245132700505</v>
      </c>
      <c r="AC78">
        <v>22.231358180351801</v>
      </c>
      <c r="AD78">
        <v>15.7244251540373</v>
      </c>
      <c r="AE78">
        <v>17.293988940890902</v>
      </c>
      <c r="AF78">
        <v>27.680407918384802</v>
      </c>
      <c r="AG78">
        <v>9.8196903048723403</v>
      </c>
      <c r="AH78">
        <v>10.880475174810201</v>
      </c>
      <c r="AI78">
        <v>10.880475174810201</v>
      </c>
      <c r="AJ78">
        <v>5.3333333333333304</v>
      </c>
      <c r="AK78">
        <v>39.9166666666666</v>
      </c>
      <c r="AL78">
        <v>3861085107.4397898</v>
      </c>
      <c r="AM78">
        <v>568532378.40076697</v>
      </c>
      <c r="AN78">
        <v>4596.1539499999999</v>
      </c>
      <c r="AO78" s="69">
        <v>38180286966.1828</v>
      </c>
      <c r="AP78">
        <v>13045510145.848</v>
      </c>
      <c r="AQ78">
        <v>4596.1539499999999</v>
      </c>
      <c r="AR78" s="69">
        <v>7560070789.0332298</v>
      </c>
      <c r="AS78">
        <v>7560070789.0332298</v>
      </c>
      <c r="AT78">
        <v>7811.6511700000001</v>
      </c>
      <c r="AU78">
        <v>2427445297.5304799</v>
      </c>
      <c r="AV78">
        <v>1607.8365857004301</v>
      </c>
      <c r="AW78">
        <v>638.10010065146503</v>
      </c>
      <c r="AX78">
        <v>2009.64982220007</v>
      </c>
      <c r="AY78">
        <v>1717.90926584262</v>
      </c>
      <c r="AZ78">
        <v>484.14426304734201</v>
      </c>
      <c r="BA78">
        <v>1223.9997361732501</v>
      </c>
      <c r="BB78">
        <v>1000.2666660762</v>
      </c>
      <c r="BC78">
        <v>1347.5808311251899</v>
      </c>
      <c r="BD78">
        <v>818.27959553645906</v>
      </c>
      <c r="BE78">
        <v>753.70923349899999</v>
      </c>
      <c r="BF78">
        <v>530.57958958898996</v>
      </c>
      <c r="BG78">
        <v>579.35386515161701</v>
      </c>
      <c r="BH78">
        <v>932.41552729738999</v>
      </c>
      <c r="BI78">
        <v>329.52957238911603</v>
      </c>
      <c r="BJ78">
        <v>369.75348413595998</v>
      </c>
      <c r="BK78">
        <v>369.75348413595998</v>
      </c>
      <c r="BL78">
        <v>296.66531812165601</v>
      </c>
      <c r="BM78">
        <v>117.62487561644799</v>
      </c>
      <c r="BN78">
        <v>368.01107144780798</v>
      </c>
      <c r="BO78">
        <v>319.849249820593</v>
      </c>
      <c r="BP78">
        <v>89.469754943099005</v>
      </c>
      <c r="BQ78">
        <v>227.450104120438</v>
      </c>
      <c r="BR78">
        <v>186.59536318592299</v>
      </c>
      <c r="BS78">
        <v>248.07354376036099</v>
      </c>
      <c r="BT78">
        <v>153.32897351320301</v>
      </c>
      <c r="BU78">
        <v>139.39126708581199</v>
      </c>
      <c r="BV78">
        <v>99.074057424739394</v>
      </c>
      <c r="BW78">
        <v>107.915491502599</v>
      </c>
      <c r="BX78">
        <v>173.56038013620901</v>
      </c>
      <c r="BY78">
        <v>61.394624013514701</v>
      </c>
      <c r="BZ78">
        <v>68.226437449189802</v>
      </c>
      <c r="CA78">
        <v>68.226437449189802</v>
      </c>
      <c r="CB78">
        <v>1011.45059286081</v>
      </c>
      <c r="CC78">
        <v>400.55211738054902</v>
      </c>
      <c r="CD78">
        <v>1247.0709050355499</v>
      </c>
      <c r="CE78">
        <v>959.47158455440103</v>
      </c>
      <c r="CF78">
        <v>300.593708051953</v>
      </c>
      <c r="CG78">
        <v>738.39912053562102</v>
      </c>
      <c r="CH78">
        <v>539.72082491913295</v>
      </c>
      <c r="CI78">
        <v>845.15962408860696</v>
      </c>
      <c r="CJ78">
        <v>461.81014292070398</v>
      </c>
      <c r="CK78">
        <v>447.657285877493</v>
      </c>
      <c r="CL78">
        <v>290.45485933586298</v>
      </c>
      <c r="CM78">
        <v>351.68982106920998</v>
      </c>
      <c r="CN78">
        <v>542.86457990109398</v>
      </c>
      <c r="CO78">
        <v>196.69890982669099</v>
      </c>
      <c r="CP78">
        <v>223.20437058948499</v>
      </c>
      <c r="CQ78">
        <v>223.20437058948499</v>
      </c>
      <c r="CR78" s="1">
        <v>372961207.47109902</v>
      </c>
      <c r="CS78" s="1">
        <v>396627387.51531303</v>
      </c>
      <c r="CT78" s="1">
        <v>383424462.84688002</v>
      </c>
      <c r="CU78" s="1">
        <v>370747010.30197001</v>
      </c>
      <c r="CV78" s="1">
        <v>344331635.30433297</v>
      </c>
      <c r="CW78" s="1">
        <v>323565926.50525999</v>
      </c>
      <c r="CX78" s="1">
        <v>313833071.74250603</v>
      </c>
      <c r="CY78" s="1">
        <v>311636451.98210198</v>
      </c>
      <c r="CZ78" s="1">
        <v>316841465.01723301</v>
      </c>
      <c r="DA78" s="1">
        <v>289057898.23413301</v>
      </c>
      <c r="DB78" s="1">
        <v>280606440.94818598</v>
      </c>
      <c r="DC78" s="1">
        <v>262207990.78045601</v>
      </c>
      <c r="DD78" s="1">
        <v>264035453.994481</v>
      </c>
      <c r="DE78" s="1">
        <v>282570656.49931598</v>
      </c>
      <c r="DF78" s="1">
        <v>273281698.79766798</v>
      </c>
      <c r="DG78" s="1">
        <v>256254847.42556801</v>
      </c>
      <c r="DH78" s="1">
        <v>22167655401.1553</v>
      </c>
      <c r="DI78" s="1">
        <v>23513678908.932201</v>
      </c>
      <c r="DJ78" s="1">
        <v>22801099281.352699</v>
      </c>
      <c r="DK78" s="1">
        <v>22112552765.6092</v>
      </c>
      <c r="DL78" s="1">
        <v>20517714115.7887</v>
      </c>
      <c r="DM78" s="1">
        <v>19301837850.2253</v>
      </c>
      <c r="DN78" s="1">
        <v>18847006825.258701</v>
      </c>
      <c r="DO78" s="1">
        <v>18749999056.501801</v>
      </c>
      <c r="DP78" s="1">
        <v>19144217990.8144</v>
      </c>
      <c r="DQ78" s="1">
        <v>17408674760.095501</v>
      </c>
      <c r="DR78" s="1">
        <v>17013554330.181801</v>
      </c>
      <c r="DS78" s="1">
        <v>15807171076.6444</v>
      </c>
      <c r="DT78" s="1">
        <v>16044036201.862101</v>
      </c>
      <c r="DU78" s="1">
        <v>17059355086.9958</v>
      </c>
      <c r="DV78" s="1">
        <v>16561037181.498199</v>
      </c>
      <c r="DW78" s="1">
        <v>15565105550.275999</v>
      </c>
    </row>
    <row r="79" spans="1:127" x14ac:dyDescent="0.25">
      <c r="A79" t="s">
        <v>106</v>
      </c>
      <c r="B79">
        <v>41.72</v>
      </c>
      <c r="C79">
        <v>-71.430000000000007</v>
      </c>
      <c r="D79">
        <v>-13.1</v>
      </c>
      <c r="E79">
        <v>-10.6</v>
      </c>
      <c r="F79">
        <v>32.299999999999997</v>
      </c>
      <c r="G79">
        <v>23</v>
      </c>
      <c r="H79">
        <v>30.4</v>
      </c>
      <c r="I79">
        <v>22.2</v>
      </c>
      <c r="J79">
        <v>22.249999999999901</v>
      </c>
      <c r="K79">
        <v>0</v>
      </c>
      <c r="L79">
        <v>5586910579.8992004</v>
      </c>
      <c r="M79">
        <v>1208771325.3894701</v>
      </c>
      <c r="N79">
        <v>4507.5769200000004</v>
      </c>
      <c r="O79" s="75">
        <v>47681845056.391403</v>
      </c>
      <c r="P79">
        <f>59602306320.489*(0.8/0.96)</f>
        <v>49668588600.407501</v>
      </c>
      <c r="Q79">
        <v>29308</v>
      </c>
      <c r="R79">
        <v>363544586.37294</v>
      </c>
      <c r="S79">
        <f>2998.05155093212*(0.8/0.96)</f>
        <v>2498.3762924434332</v>
      </c>
      <c r="T79">
        <v>21.400331782693801</v>
      </c>
      <c r="U79">
        <v>6.1935480200997004</v>
      </c>
      <c r="V79">
        <v>3.35645760781351</v>
      </c>
      <c r="W79">
        <v>10.532486615606899</v>
      </c>
      <c r="X79">
        <v>3.8467934463889701</v>
      </c>
      <c r="Y79">
        <v>7.9363486967253802</v>
      </c>
      <c r="Z79">
        <v>5.4249937399011197</v>
      </c>
      <c r="AA79">
        <v>8.6050620489223597</v>
      </c>
      <c r="AB79">
        <v>6.6417844795471197</v>
      </c>
      <c r="AC79">
        <v>5.1852153982688503</v>
      </c>
      <c r="AD79">
        <v>8.4697473556885097</v>
      </c>
      <c r="AE79">
        <v>8.2451357901686393</v>
      </c>
      <c r="AF79">
        <v>7.74419385591783</v>
      </c>
      <c r="AG79">
        <v>3.2995279839587401</v>
      </c>
      <c r="AH79">
        <v>10.611343176340499</v>
      </c>
      <c r="AI79">
        <v>10.611343176340499</v>
      </c>
      <c r="AJ79">
        <v>22.1666666666666</v>
      </c>
      <c r="AK79">
        <v>24.6666666666666</v>
      </c>
      <c r="AL79">
        <v>5604911972.4605103</v>
      </c>
      <c r="AM79">
        <v>788706438.46498895</v>
      </c>
      <c r="AN79">
        <v>4507.5769200000004</v>
      </c>
      <c r="AO79" s="69">
        <v>39803394393.1427</v>
      </c>
      <c r="AP79">
        <v>13304801997.681999</v>
      </c>
      <c r="AQ79">
        <v>4507.5769200000004</v>
      </c>
      <c r="AR79" s="69">
        <v>5987097585.6360397</v>
      </c>
      <c r="AS79">
        <v>5987097585.6360397</v>
      </c>
      <c r="AT79">
        <v>7631.6420099999996</v>
      </c>
      <c r="AU79">
        <v>2386230337.25319</v>
      </c>
      <c r="AV79">
        <v>781.54226683500599</v>
      </c>
      <c r="AW79">
        <v>228.28796639550399</v>
      </c>
      <c r="AX79">
        <v>123.079231802034</v>
      </c>
      <c r="AY79">
        <v>391.586901358967</v>
      </c>
      <c r="AZ79">
        <v>140.21676487531201</v>
      </c>
      <c r="BA79">
        <v>295.796161609634</v>
      </c>
      <c r="BB79">
        <v>200.28858956503399</v>
      </c>
      <c r="BC79">
        <v>319.20254955767399</v>
      </c>
      <c r="BD79">
        <v>246.83062711914499</v>
      </c>
      <c r="BE79">
        <v>191.288351300687</v>
      </c>
      <c r="BF79">
        <v>318.27814285580098</v>
      </c>
      <c r="BG79">
        <v>309.15321803177602</v>
      </c>
      <c r="BH79">
        <v>287.409260375077</v>
      </c>
      <c r="BI79">
        <v>121.15468873513601</v>
      </c>
      <c r="BJ79">
        <v>393.56556947847298</v>
      </c>
      <c r="BK79">
        <v>393.56556947847298</v>
      </c>
      <c r="BL79">
        <v>139.795227891953</v>
      </c>
      <c r="BM79">
        <v>40.910318979944797</v>
      </c>
      <c r="BN79">
        <v>22.115328761013298</v>
      </c>
      <c r="BO79">
        <v>69.320174431637497</v>
      </c>
      <c r="BP79">
        <v>25.418386185140299</v>
      </c>
      <c r="BQ79">
        <v>52.310559271563299</v>
      </c>
      <c r="BR79">
        <v>35.521175233855203</v>
      </c>
      <c r="BS79">
        <v>57.146374359973599</v>
      </c>
      <c r="BT79">
        <v>44.109368166405098</v>
      </c>
      <c r="BU79">
        <v>34.429475105537499</v>
      </c>
      <c r="BV79">
        <v>55.304087114691697</v>
      </c>
      <c r="BW79">
        <v>54.870910731360802</v>
      </c>
      <c r="BX79">
        <v>50.860610790177198</v>
      </c>
      <c r="BY79">
        <v>21.548500152507799</v>
      </c>
      <c r="BZ79">
        <v>69.422305952261794</v>
      </c>
      <c r="CA79">
        <v>69.422305952261794</v>
      </c>
      <c r="CB79">
        <v>379.76764499648101</v>
      </c>
      <c r="CC79">
        <v>91.919025402787895</v>
      </c>
      <c r="CD79">
        <v>49.9645860313436</v>
      </c>
      <c r="CE79">
        <v>185.127839912778</v>
      </c>
      <c r="CF79">
        <v>58.357469997664801</v>
      </c>
      <c r="CG79">
        <v>137.138728714802</v>
      </c>
      <c r="CH79">
        <v>104.574608529139</v>
      </c>
      <c r="CI79">
        <v>127.072077448239</v>
      </c>
      <c r="CJ79">
        <v>105.402193654751</v>
      </c>
      <c r="CK79">
        <v>73.774127941070603</v>
      </c>
      <c r="CL79">
        <v>174.41536160519101</v>
      </c>
      <c r="CM79">
        <v>133.17725095979901</v>
      </c>
      <c r="CN79">
        <v>136.750994786593</v>
      </c>
      <c r="CO79">
        <v>60.268389272251198</v>
      </c>
      <c r="CP79">
        <v>196.259346883506</v>
      </c>
      <c r="CQ79">
        <v>196.259346883506</v>
      </c>
      <c r="CR79" s="1">
        <v>403402632.236081</v>
      </c>
      <c r="CS79" s="1">
        <v>382900012.98635799</v>
      </c>
      <c r="CT79" s="1">
        <v>225500708.86310101</v>
      </c>
      <c r="CU79" s="1">
        <v>151870401.362178</v>
      </c>
      <c r="CV79" s="1">
        <v>144760635.75989699</v>
      </c>
      <c r="CW79" s="1">
        <v>110370359.077966</v>
      </c>
      <c r="CX79" s="1">
        <v>106176799.79271799</v>
      </c>
      <c r="CY79" s="1">
        <v>92361086.417634293</v>
      </c>
      <c r="CZ79" s="1">
        <v>88470608.932175696</v>
      </c>
      <c r="DA79" s="1">
        <v>80167675.740457103</v>
      </c>
      <c r="DB79" s="1">
        <v>64649338.900591999</v>
      </c>
      <c r="DC79" s="1">
        <v>77218188.973903999</v>
      </c>
      <c r="DD79" s="1">
        <v>63853297.278465196</v>
      </c>
      <c r="DE79" s="1">
        <v>76981558.768588796</v>
      </c>
      <c r="DF79" s="1">
        <v>64552648.0409998</v>
      </c>
      <c r="DG79" s="1">
        <v>66233759.734367698</v>
      </c>
      <c r="DH79" s="1">
        <v>25000156153.915199</v>
      </c>
      <c r="DI79" s="1">
        <v>23616052591.932301</v>
      </c>
      <c r="DJ79" s="1">
        <v>13921912214.8827</v>
      </c>
      <c r="DK79" s="1">
        <v>9472608894.1477394</v>
      </c>
      <c r="DL79" s="1">
        <v>8935828808.4179306</v>
      </c>
      <c r="DM79" s="1">
        <v>6874736383.0387802</v>
      </c>
      <c r="DN79" s="1">
        <v>6632237282.6140499</v>
      </c>
      <c r="DO79" s="1">
        <v>5989034152.3154001</v>
      </c>
      <c r="DP79" s="1">
        <v>5654787038.8657904</v>
      </c>
      <c r="DQ79" s="1">
        <v>4879350936.2730398</v>
      </c>
      <c r="DR79" s="1">
        <v>3874531038.52946</v>
      </c>
      <c r="DS79" s="1">
        <v>4877300591.7104197</v>
      </c>
      <c r="DT79" s="1">
        <v>3885588744.4095101</v>
      </c>
      <c r="DU79" s="1">
        <v>4817035207.5929604</v>
      </c>
      <c r="DV79" s="1">
        <v>3993734472.9525199</v>
      </c>
      <c r="DW79" s="1">
        <v>4016870665.7414498</v>
      </c>
    </row>
    <row r="80" spans="1:127" x14ac:dyDescent="0.25">
      <c r="A80" t="s">
        <v>107</v>
      </c>
      <c r="B80">
        <v>32.9</v>
      </c>
      <c r="C80">
        <v>-80.03</v>
      </c>
      <c r="D80">
        <v>-2.6</v>
      </c>
      <c r="E80">
        <v>-0.9</v>
      </c>
      <c r="F80">
        <v>34.6</v>
      </c>
      <c r="G80">
        <v>25.6</v>
      </c>
      <c r="H80">
        <v>33.4</v>
      </c>
      <c r="I80">
        <v>25.3</v>
      </c>
      <c r="J80">
        <v>82.083333333333002</v>
      </c>
      <c r="K80">
        <v>0</v>
      </c>
      <c r="L80">
        <v>29457200853.148499</v>
      </c>
      <c r="M80">
        <v>6487450380.7494898</v>
      </c>
      <c r="N80">
        <v>5719.6574899999996</v>
      </c>
      <c r="O80" s="75">
        <v>9661853032.2003498</v>
      </c>
      <c r="P80">
        <f>12077316290.2504*(0.8/0.96)</f>
        <v>10064430241.875334</v>
      </c>
      <c r="Q80">
        <v>29308</v>
      </c>
      <c r="R80">
        <v>88433636.232284799</v>
      </c>
      <c r="S80">
        <f>607.500264174107*(0.8/0.96)</f>
        <v>506.25022014508914</v>
      </c>
      <c r="T80">
        <v>11.422855328120701</v>
      </c>
      <c r="U80">
        <v>13.3726108687036</v>
      </c>
      <c r="V80">
        <v>10.6630245517766</v>
      </c>
      <c r="W80">
        <v>8.7988980914569694</v>
      </c>
      <c r="X80">
        <v>3.7538136940195002</v>
      </c>
      <c r="Y80">
        <v>5.2956556532794403</v>
      </c>
      <c r="Z80">
        <v>5.9425587630063701</v>
      </c>
      <c r="AA80">
        <v>6.8579488450324497</v>
      </c>
      <c r="AB80">
        <v>6.5747983054575201</v>
      </c>
      <c r="AC80">
        <v>6.1916510171972101</v>
      </c>
      <c r="AD80">
        <v>5.4934129589652096</v>
      </c>
      <c r="AE80">
        <v>5.5885227581509502</v>
      </c>
      <c r="AF80">
        <v>5.1024117262735196</v>
      </c>
      <c r="AG80">
        <v>5.0833166726946697</v>
      </c>
      <c r="AH80">
        <v>9.4275913514778402</v>
      </c>
      <c r="AI80">
        <v>9.4275913514778402</v>
      </c>
      <c r="AJ80">
        <v>81.583333333333002</v>
      </c>
      <c r="AK80">
        <v>5.0833333333333304</v>
      </c>
      <c r="AL80">
        <v>29498754796.470402</v>
      </c>
      <c r="AM80">
        <v>4491578381.3601503</v>
      </c>
      <c r="AN80">
        <v>5719.6574899999996</v>
      </c>
      <c r="AO80" s="69">
        <v>9207792228.4412193</v>
      </c>
      <c r="AP80">
        <v>2604925905.0746999</v>
      </c>
      <c r="AQ80">
        <v>5719.6574899999996</v>
      </c>
      <c r="AR80" s="69">
        <v>120019086.352073</v>
      </c>
      <c r="AS80">
        <v>120019086.352073</v>
      </c>
      <c r="AT80">
        <v>4403.1241200000004</v>
      </c>
      <c r="AU80">
        <v>465295693.845783</v>
      </c>
      <c r="AV80">
        <v>341.02504049546201</v>
      </c>
      <c r="AW80">
        <v>398.10808016076697</v>
      </c>
      <c r="AX80">
        <v>323.24673426256697</v>
      </c>
      <c r="AY80">
        <v>269.81459452745997</v>
      </c>
      <c r="AZ80">
        <v>113.71827772986001</v>
      </c>
      <c r="BA80">
        <v>166.09274054040401</v>
      </c>
      <c r="BB80">
        <v>177.853134859389</v>
      </c>
      <c r="BC80">
        <v>208.25411349765801</v>
      </c>
      <c r="BD80">
        <v>199.87031411318799</v>
      </c>
      <c r="BE80">
        <v>187.47825227675801</v>
      </c>
      <c r="BF80">
        <v>166.27605862584201</v>
      </c>
      <c r="BG80">
        <v>168.032331243974</v>
      </c>
      <c r="BH80">
        <v>154.14102391336201</v>
      </c>
      <c r="BI80">
        <v>153.48819069912099</v>
      </c>
      <c r="BJ80">
        <v>279.12157860603799</v>
      </c>
      <c r="BK80">
        <v>279.12157860603799</v>
      </c>
      <c r="BL80">
        <v>60.302617959640301</v>
      </c>
      <c r="BM80">
        <v>70.155214363744903</v>
      </c>
      <c r="BN80">
        <v>55.869518072599597</v>
      </c>
      <c r="BO80">
        <v>46.0452122980886</v>
      </c>
      <c r="BP80">
        <v>19.665821585917001</v>
      </c>
      <c r="BQ80">
        <v>27.457598231360599</v>
      </c>
      <c r="BR80">
        <v>31.118018269907399</v>
      </c>
      <c r="BS80">
        <v>35.9920668883058</v>
      </c>
      <c r="BT80">
        <v>34.4692508450633</v>
      </c>
      <c r="BU80">
        <v>32.3615274232479</v>
      </c>
      <c r="BV80">
        <v>28.806918325220099</v>
      </c>
      <c r="BW80">
        <v>29.339021904038201</v>
      </c>
      <c r="BX80">
        <v>26.757526819325101</v>
      </c>
      <c r="BY80">
        <v>26.583533463864299</v>
      </c>
      <c r="BZ80">
        <v>49.496341058876801</v>
      </c>
      <c r="CA80">
        <v>49.496341058876801</v>
      </c>
      <c r="CB80">
        <v>17.0912954772188</v>
      </c>
      <c r="CC80">
        <v>19.828646674221101</v>
      </c>
      <c r="CD80">
        <v>17.700661306397802</v>
      </c>
      <c r="CE80">
        <v>14.767479316698999</v>
      </c>
      <c r="CF80">
        <v>6.9422263293187898</v>
      </c>
      <c r="CG80">
        <v>4.7031627002854401</v>
      </c>
      <c r="CH80">
        <v>8.2128422322118499</v>
      </c>
      <c r="CI80">
        <v>10.406262144066</v>
      </c>
      <c r="CJ80">
        <v>9.2417315119443408</v>
      </c>
      <c r="CK80">
        <v>8.9750515284382306</v>
      </c>
      <c r="CL80">
        <v>8.25690079062786</v>
      </c>
      <c r="CM80">
        <v>8.7312806576976598</v>
      </c>
      <c r="CN80">
        <v>7.7223792608634998</v>
      </c>
      <c r="CO80">
        <v>7.9387765554121899</v>
      </c>
      <c r="CP80">
        <v>13.6614828625671</v>
      </c>
      <c r="CQ80">
        <v>13.6614828625671</v>
      </c>
      <c r="CR80" s="1">
        <v>33148852.033694599</v>
      </c>
      <c r="CS80" s="1">
        <v>30932951.048409801</v>
      </c>
      <c r="CT80" s="1">
        <v>29171621.146887802</v>
      </c>
      <c r="CU80" s="1">
        <v>19176435.267062299</v>
      </c>
      <c r="CV80" s="1">
        <v>15548500.508187</v>
      </c>
      <c r="CW80" s="1">
        <v>12746593.3146974</v>
      </c>
      <c r="CX80" s="1">
        <v>14175354.0332132</v>
      </c>
      <c r="CY80" s="1">
        <v>11839504.9504495</v>
      </c>
      <c r="CZ80" s="1">
        <v>15009602.560224099</v>
      </c>
      <c r="DA80" s="1">
        <v>15782346.7436132</v>
      </c>
      <c r="DB80" s="1">
        <v>19404572.485262699</v>
      </c>
      <c r="DC80" s="1">
        <v>26925970.848676801</v>
      </c>
      <c r="DD80" s="1">
        <v>35445799.139004603</v>
      </c>
      <c r="DE80" s="1">
        <v>39339619.559688203</v>
      </c>
      <c r="DF80" s="1">
        <v>39556275.353284001</v>
      </c>
      <c r="DG80" s="1">
        <v>39093802.900460102</v>
      </c>
      <c r="DH80" s="1">
        <v>1197819831.90411</v>
      </c>
      <c r="DI80" s="1">
        <v>1118993227.66503</v>
      </c>
      <c r="DJ80" s="1">
        <v>1058621431.3002501</v>
      </c>
      <c r="DK80" s="1">
        <v>697017472.79982996</v>
      </c>
      <c r="DL80" s="1">
        <v>578408412.53242695</v>
      </c>
      <c r="DM80" s="1">
        <v>476632357.529585</v>
      </c>
      <c r="DN80" s="1">
        <v>528209199.611664</v>
      </c>
      <c r="DO80" s="1">
        <v>447004347.40114301</v>
      </c>
      <c r="DP80" s="1">
        <v>562522921.94855595</v>
      </c>
      <c r="DQ80" s="1">
        <v>591891691.86095095</v>
      </c>
      <c r="DR80" s="1">
        <v>727626177.87245595</v>
      </c>
      <c r="DS80" s="1">
        <v>1005862798.87193</v>
      </c>
      <c r="DT80" s="1">
        <v>1322734404.2095699</v>
      </c>
      <c r="DU80" s="1">
        <v>1470376507.48173</v>
      </c>
      <c r="DV80" s="1">
        <v>1476054464.5007701</v>
      </c>
      <c r="DW80" s="1">
        <v>1459379965.5806601</v>
      </c>
    </row>
    <row r="81" spans="1:127" x14ac:dyDescent="0.25">
      <c r="A81" t="s">
        <v>108</v>
      </c>
      <c r="B81">
        <v>42.92</v>
      </c>
      <c r="C81">
        <v>-97.38</v>
      </c>
      <c r="D81">
        <v>-22.4</v>
      </c>
      <c r="E81">
        <v>-19.5</v>
      </c>
      <c r="F81">
        <v>33</v>
      </c>
      <c r="G81">
        <v>23.3</v>
      </c>
      <c r="H81">
        <v>32.1</v>
      </c>
      <c r="I81">
        <v>22.9</v>
      </c>
      <c r="J81">
        <v>16.5833333333333</v>
      </c>
      <c r="K81">
        <v>0</v>
      </c>
      <c r="L81">
        <v>12459101608.550301</v>
      </c>
      <c r="M81">
        <v>2907513549.23452</v>
      </c>
      <c r="N81">
        <v>6034.89473</v>
      </c>
      <c r="O81" s="75">
        <v>59964619774.997803</v>
      </c>
      <c r="P81">
        <f>74955774718.7475*(0.8/0.96)</f>
        <v>62463145598.956253</v>
      </c>
      <c r="Q81">
        <v>29308</v>
      </c>
      <c r="R81">
        <v>611744408.07469296</v>
      </c>
      <c r="S81">
        <f>3770.34531916443*(0.8/0.96)</f>
        <v>3141.9544326370251</v>
      </c>
      <c r="T81">
        <v>119.51186570995699</v>
      </c>
      <c r="U81">
        <v>68.208789946870297</v>
      </c>
      <c r="V81">
        <v>101.33885861046301</v>
      </c>
      <c r="W81">
        <v>67.359293407734796</v>
      </c>
      <c r="X81">
        <v>22.491470873411298</v>
      </c>
      <c r="Y81">
        <v>44.644072527810401</v>
      </c>
      <c r="Z81">
        <v>52.221597389831899</v>
      </c>
      <c r="AA81">
        <v>49.490235187517598</v>
      </c>
      <c r="AB81">
        <v>19.197268282544002</v>
      </c>
      <c r="AC81">
        <v>36.008899386542197</v>
      </c>
      <c r="AD81">
        <v>4.2637227728404401</v>
      </c>
      <c r="AE81">
        <v>14.8797334389337</v>
      </c>
      <c r="AF81">
        <v>24.531669826578799</v>
      </c>
      <c r="AG81">
        <v>23.541976481607701</v>
      </c>
      <c r="AH81">
        <v>6.6393797773332599</v>
      </c>
      <c r="AI81">
        <v>6.6322024809429196</v>
      </c>
      <c r="AJ81">
        <v>16.3333333333333</v>
      </c>
      <c r="AK81">
        <v>67.333333333333499</v>
      </c>
      <c r="AL81">
        <v>12488759136.699499</v>
      </c>
      <c r="AM81">
        <v>1994440512.8043399</v>
      </c>
      <c r="AN81">
        <v>6034.89473</v>
      </c>
      <c r="AO81" s="69">
        <v>43947085923.3013</v>
      </c>
      <c r="AP81">
        <v>16721609589.7544</v>
      </c>
      <c r="AQ81">
        <v>6034.89473</v>
      </c>
      <c r="AR81" s="69">
        <v>13859572433.9862</v>
      </c>
      <c r="AS81">
        <v>13859572433.9862</v>
      </c>
      <c r="AT81">
        <v>9747.2992099999992</v>
      </c>
      <c r="AU81">
        <v>2866130445.5857701</v>
      </c>
      <c r="AV81">
        <v>3290.7727845700501</v>
      </c>
      <c r="AW81">
        <v>1876.0638841289001</v>
      </c>
      <c r="AX81">
        <v>2783.2039718890301</v>
      </c>
      <c r="AY81">
        <v>1867.81137219832</v>
      </c>
      <c r="AZ81">
        <v>624.16465723103602</v>
      </c>
      <c r="BA81">
        <v>1251.2046846294299</v>
      </c>
      <c r="BB81">
        <v>1468.2764045337799</v>
      </c>
      <c r="BC81">
        <v>1381.50415979586</v>
      </c>
      <c r="BD81">
        <v>529.84049362371195</v>
      </c>
      <c r="BE81">
        <v>1000.22423199345</v>
      </c>
      <c r="BF81">
        <v>115.819477063798</v>
      </c>
      <c r="BG81">
        <v>419.30659558602599</v>
      </c>
      <c r="BH81">
        <v>677.38077156164502</v>
      </c>
      <c r="BI81">
        <v>660.235694510504</v>
      </c>
      <c r="BJ81">
        <v>182.045766730634</v>
      </c>
      <c r="BK81">
        <v>181.85139125496099</v>
      </c>
      <c r="BL81">
        <v>560.34071596271599</v>
      </c>
      <c r="BM81">
        <v>318.25656159282602</v>
      </c>
      <c r="BN81">
        <v>472.90242268010098</v>
      </c>
      <c r="BO81">
        <v>314.49331261463198</v>
      </c>
      <c r="BP81">
        <v>104.795206474377</v>
      </c>
      <c r="BQ81">
        <v>208.70444842466199</v>
      </c>
      <c r="BR81">
        <v>242.52085895137</v>
      </c>
      <c r="BS81">
        <v>230.63363860704101</v>
      </c>
      <c r="BT81">
        <v>89.466065971132096</v>
      </c>
      <c r="BU81">
        <v>166.98221418334401</v>
      </c>
      <c r="BV81">
        <v>19.929894145999501</v>
      </c>
      <c r="BW81">
        <v>69.050513037028395</v>
      </c>
      <c r="BX81">
        <v>113.66659482954501</v>
      </c>
      <c r="BY81">
        <v>109.131797465891</v>
      </c>
      <c r="BZ81">
        <v>30.696821358492201</v>
      </c>
      <c r="CA81">
        <v>30.664345630412999</v>
      </c>
      <c r="CB81">
        <v>2702.69186747002</v>
      </c>
      <c r="CC81">
        <v>1636.33375084211</v>
      </c>
      <c r="CD81">
        <v>2358.1281448178102</v>
      </c>
      <c r="CE81">
        <v>1583.2634209959799</v>
      </c>
      <c r="CF81">
        <v>544.68819626921504</v>
      </c>
      <c r="CG81">
        <v>1051.84471554386</v>
      </c>
      <c r="CH81">
        <v>1335.83668402785</v>
      </c>
      <c r="CI81">
        <v>1167.2641109091201</v>
      </c>
      <c r="CJ81">
        <v>471.73948240182898</v>
      </c>
      <c r="CK81">
        <v>927.10159939883897</v>
      </c>
      <c r="CL81">
        <v>103.75029559674201</v>
      </c>
      <c r="CM81">
        <v>349.341792070221</v>
      </c>
      <c r="CN81">
        <v>650.74496804535102</v>
      </c>
      <c r="CO81">
        <v>578.184989994185</v>
      </c>
      <c r="CP81">
        <v>161.74422195270299</v>
      </c>
      <c r="CQ81">
        <v>161.54265534654499</v>
      </c>
      <c r="CR81" s="1">
        <v>188437514.86231601</v>
      </c>
      <c r="CS81" s="1">
        <v>189737207.06364101</v>
      </c>
      <c r="CT81" s="1">
        <v>138487808.357761</v>
      </c>
      <c r="CU81" s="1">
        <v>72713820.942191407</v>
      </c>
      <c r="CV81" s="1">
        <v>56566659.658978797</v>
      </c>
      <c r="CW81" s="1">
        <v>38744169.038395897</v>
      </c>
      <c r="CX81" s="1">
        <v>24982800.669867799</v>
      </c>
      <c r="CY81" s="1">
        <v>18971284.3733254</v>
      </c>
      <c r="CZ81" s="1">
        <v>14874280.8666055</v>
      </c>
      <c r="DA81" s="1">
        <v>8708978.9868930094</v>
      </c>
      <c r="DB81" s="1">
        <v>5501387.0704713501</v>
      </c>
      <c r="DC81" s="1">
        <v>3414266.1773901298</v>
      </c>
      <c r="DD81" s="1">
        <v>3492016.7226918801</v>
      </c>
      <c r="DE81" s="1">
        <v>3336286.91942584</v>
      </c>
      <c r="DF81" s="1">
        <v>3074686.89525769</v>
      </c>
      <c r="DG81" s="1">
        <v>2857491.6026870902</v>
      </c>
      <c r="DH81" s="1">
        <v>10277043674.673901</v>
      </c>
      <c r="DI81" s="1">
        <v>10602907739.606899</v>
      </c>
      <c r="DJ81" s="1">
        <v>7269393051.2904596</v>
      </c>
      <c r="DK81" s="1">
        <v>3853744652.2577901</v>
      </c>
      <c r="DL81" s="1">
        <v>3288772200.0566802</v>
      </c>
      <c r="DM81" s="1">
        <v>2175066701.1691399</v>
      </c>
      <c r="DN81" s="1">
        <v>1428099557.6826301</v>
      </c>
      <c r="DO81" s="1">
        <v>1217529448.6106999</v>
      </c>
      <c r="DP81" s="1">
        <v>829795377.93363202</v>
      </c>
      <c r="DQ81" s="1">
        <v>441425091.24239099</v>
      </c>
      <c r="DR81" s="1">
        <v>303003485.309075</v>
      </c>
      <c r="DS81" s="1">
        <v>196763738.70130599</v>
      </c>
      <c r="DT81" s="1">
        <v>209531515.94587401</v>
      </c>
      <c r="DU81" s="1">
        <v>194099044.66966999</v>
      </c>
      <c r="DV81" s="1">
        <v>187191706.344805</v>
      </c>
      <c r="DW81" s="1">
        <v>168026883.41457301</v>
      </c>
    </row>
    <row r="82" spans="1:127" x14ac:dyDescent="0.25">
      <c r="A82" t="s">
        <v>109</v>
      </c>
      <c r="B82">
        <v>43.58</v>
      </c>
      <c r="C82">
        <v>-96.75</v>
      </c>
      <c r="D82">
        <v>-24.6</v>
      </c>
      <c r="E82">
        <v>-21.8</v>
      </c>
      <c r="F82">
        <v>33.5</v>
      </c>
      <c r="G82">
        <v>23.1</v>
      </c>
      <c r="H82">
        <v>31.6</v>
      </c>
      <c r="I82">
        <v>22.8</v>
      </c>
      <c r="J82">
        <v>3.0833333333333299</v>
      </c>
      <c r="K82">
        <v>0</v>
      </c>
      <c r="L82">
        <v>9940082524.0011292</v>
      </c>
      <c r="M82">
        <v>2267727139.0395002</v>
      </c>
      <c r="N82">
        <v>6477.5162099999998</v>
      </c>
      <c r="O82" s="75">
        <v>68400921556.288696</v>
      </c>
      <c r="P82">
        <f>85501151945.361*(0.8/0.96)</f>
        <v>71250959954.467499</v>
      </c>
      <c r="Q82">
        <v>29308</v>
      </c>
      <c r="R82">
        <v>763739453.56838095</v>
      </c>
      <c r="S82">
        <f>4300.78762083329*(0.8/0.96)</f>
        <v>3583.989684027742</v>
      </c>
      <c r="T82">
        <v>154.29582750095599</v>
      </c>
      <c r="U82">
        <v>88.669269072570103</v>
      </c>
      <c r="V82">
        <v>130.58978847330999</v>
      </c>
      <c r="W82">
        <v>85.535372661402505</v>
      </c>
      <c r="X82">
        <v>29.189133681319401</v>
      </c>
      <c r="Y82">
        <v>58.902265769346897</v>
      </c>
      <c r="Z82">
        <v>71.816792638400599</v>
      </c>
      <c r="AA82">
        <v>67.898344213365604</v>
      </c>
      <c r="AB82">
        <v>26.217135004839101</v>
      </c>
      <c r="AC82">
        <v>50.0450930660663</v>
      </c>
      <c r="AD82">
        <v>5.7528186741871901</v>
      </c>
      <c r="AE82">
        <v>20.279612666421599</v>
      </c>
      <c r="AF82">
        <v>34.665857684103202</v>
      </c>
      <c r="AG82">
        <v>33.544318549646697</v>
      </c>
      <c r="AH82">
        <v>8.8708125127986506</v>
      </c>
      <c r="AI82">
        <v>8.8612019161518099</v>
      </c>
      <c r="AJ82">
        <v>2.9166666666666599</v>
      </c>
      <c r="AK82">
        <v>54.000000000000298</v>
      </c>
      <c r="AL82">
        <v>9967784681.1952896</v>
      </c>
      <c r="AM82">
        <v>1486411239.04685</v>
      </c>
      <c r="AN82">
        <v>6477.5162099999998</v>
      </c>
      <c r="AO82" s="69">
        <v>46826815534.606697</v>
      </c>
      <c r="AP82">
        <v>18371382528.5994</v>
      </c>
      <c r="AQ82">
        <v>6477.5162099999998</v>
      </c>
      <c r="AR82" s="69">
        <v>19035212677.962299</v>
      </c>
      <c r="AS82">
        <v>19035212677.962299</v>
      </c>
      <c r="AT82">
        <v>10636.454530000001</v>
      </c>
      <c r="AU82">
        <v>3418483795.9280801</v>
      </c>
      <c r="AV82">
        <v>3669.17218652171</v>
      </c>
      <c r="AW82">
        <v>2104.08358896033</v>
      </c>
      <c r="AX82">
        <v>3095.95132789541</v>
      </c>
      <c r="AY82">
        <v>2032.4928988755601</v>
      </c>
      <c r="AZ82">
        <v>694.58553762321299</v>
      </c>
      <c r="BA82">
        <v>1408.23274901427</v>
      </c>
      <c r="BB82">
        <v>1697.0271655813599</v>
      </c>
      <c r="BC82">
        <v>1575.8710199264401</v>
      </c>
      <c r="BD82">
        <v>610.82747032026998</v>
      </c>
      <c r="BE82">
        <v>1125.35189256985</v>
      </c>
      <c r="BF82">
        <v>132.30805674970901</v>
      </c>
      <c r="BG82">
        <v>475.16266978232102</v>
      </c>
      <c r="BH82">
        <v>758.19317529812997</v>
      </c>
      <c r="BI82">
        <v>759.80965342045602</v>
      </c>
      <c r="BJ82">
        <v>198.97983391882201</v>
      </c>
      <c r="BK82">
        <v>198.77124460993599</v>
      </c>
      <c r="BL82">
        <v>687.86999674458798</v>
      </c>
      <c r="BM82">
        <v>394.13143908571197</v>
      </c>
      <c r="BN82">
        <v>580.08410462143001</v>
      </c>
      <c r="BO82">
        <v>380.71246641384403</v>
      </c>
      <c r="BP82">
        <v>129.51728255227701</v>
      </c>
      <c r="BQ82">
        <v>261.924474053084</v>
      </c>
      <c r="BR82">
        <v>318.25148402245901</v>
      </c>
      <c r="BS82">
        <v>300.10602373704597</v>
      </c>
      <c r="BT82">
        <v>115.79661089829</v>
      </c>
      <c r="BU82">
        <v>218.80817498579299</v>
      </c>
      <c r="BV82">
        <v>25.425843193544601</v>
      </c>
      <c r="BW82">
        <v>89.696592829112703</v>
      </c>
      <c r="BX82">
        <v>150.32332648811499</v>
      </c>
      <c r="BY82">
        <v>146.63337359662501</v>
      </c>
      <c r="BZ82">
        <v>38.679665248031</v>
      </c>
      <c r="CA82">
        <v>38.638531310921401</v>
      </c>
      <c r="CB82">
        <v>4091.5432147884399</v>
      </c>
      <c r="CC82">
        <v>2443.33209551045</v>
      </c>
      <c r="CD82">
        <v>3512.02846899419</v>
      </c>
      <c r="CE82">
        <v>2270.56280191423</v>
      </c>
      <c r="CF82">
        <v>814.54824203434202</v>
      </c>
      <c r="CG82">
        <v>1574.1903475628101</v>
      </c>
      <c r="CH82">
        <v>2125.7985939162299</v>
      </c>
      <c r="CI82">
        <v>2021.71284220029</v>
      </c>
      <c r="CJ82">
        <v>783.26698967913796</v>
      </c>
      <c r="CK82">
        <v>1676.1765447765099</v>
      </c>
      <c r="CL82">
        <v>174.18041354100501</v>
      </c>
      <c r="CM82">
        <v>603.83921577368403</v>
      </c>
      <c r="CN82">
        <v>1218.1353054661699</v>
      </c>
      <c r="CO82">
        <v>1068.3978866494399</v>
      </c>
      <c r="CP82">
        <v>287.09087404776699</v>
      </c>
      <c r="CQ82">
        <v>286.73367670368401</v>
      </c>
      <c r="CR82" s="1">
        <v>242473615.63201499</v>
      </c>
      <c r="CS82" s="1">
        <v>240367068.14573199</v>
      </c>
      <c r="CT82" s="1">
        <v>179038485.49814299</v>
      </c>
      <c r="CU82" s="1">
        <v>92520879.439323798</v>
      </c>
      <c r="CV82" s="1">
        <v>72097904.1431337</v>
      </c>
      <c r="CW82" s="1">
        <v>52521163.352413297</v>
      </c>
      <c r="CX82" s="1">
        <v>40646124.479918599</v>
      </c>
      <c r="CY82" s="1">
        <v>28549557.021692801</v>
      </c>
      <c r="CZ82" s="1">
        <v>25326611.188078299</v>
      </c>
      <c r="DA82" s="1">
        <v>16785049.488227099</v>
      </c>
      <c r="DB82" s="1">
        <v>10109671.430518599</v>
      </c>
      <c r="DC82" s="1">
        <v>6089962.4324211199</v>
      </c>
      <c r="DD82" s="1">
        <v>5628277.2608406805</v>
      </c>
      <c r="DE82" s="1">
        <v>5670808.4202496102</v>
      </c>
      <c r="DF82" s="1">
        <v>4107859.4405304398</v>
      </c>
      <c r="DG82" s="1">
        <v>4564669.8288459498</v>
      </c>
      <c r="DH82" s="1">
        <v>13500990590.795401</v>
      </c>
      <c r="DI82" s="1">
        <v>13513728830.3834</v>
      </c>
      <c r="DJ82" s="1">
        <v>9999148527.5054493</v>
      </c>
      <c r="DK82" s="1">
        <v>5142207777.9682598</v>
      </c>
      <c r="DL82" s="1">
        <v>4217492605.3237</v>
      </c>
      <c r="DM82" s="1">
        <v>2864114649.2792301</v>
      </c>
      <c r="DN82" s="1">
        <v>2462472685.7136898</v>
      </c>
      <c r="DO82" s="1">
        <v>1891593015.55193</v>
      </c>
      <c r="DP82" s="1">
        <v>1742525151.26666</v>
      </c>
      <c r="DQ82" s="1">
        <v>1133698282.9017701</v>
      </c>
      <c r="DR82" s="1">
        <v>733546746.90728498</v>
      </c>
      <c r="DS82" s="1">
        <v>459072947.24502897</v>
      </c>
      <c r="DT82" s="1">
        <v>415142521.811315</v>
      </c>
      <c r="DU82" s="1">
        <v>410408874.38867497</v>
      </c>
      <c r="DV82" s="1">
        <v>282655279.71014202</v>
      </c>
      <c r="DW82" s="1">
        <v>332684709.28839099</v>
      </c>
    </row>
    <row r="83" spans="1:127" x14ac:dyDescent="0.25">
      <c r="A83" t="s">
        <v>110</v>
      </c>
      <c r="B83">
        <v>35.07</v>
      </c>
      <c r="C83">
        <v>-89.98</v>
      </c>
      <c r="D83">
        <v>-7.4</v>
      </c>
      <c r="E83">
        <v>-5</v>
      </c>
      <c r="F83">
        <v>35.9</v>
      </c>
      <c r="G83">
        <v>25.1</v>
      </c>
      <c r="H83">
        <v>34.6</v>
      </c>
      <c r="I83">
        <v>24.8</v>
      </c>
      <c r="J83">
        <v>49.4166666666667</v>
      </c>
      <c r="K83">
        <v>0</v>
      </c>
      <c r="L83">
        <v>22522623891.287601</v>
      </c>
      <c r="M83">
        <v>5276174451.0626898</v>
      </c>
      <c r="N83">
        <v>6018.8103799999999</v>
      </c>
      <c r="O83" s="75">
        <v>19633864191.1502</v>
      </c>
      <c r="P83">
        <f>24542330238.9377*(0.8/0.96)</f>
        <v>20451941865.781418</v>
      </c>
      <c r="Q83">
        <v>29308</v>
      </c>
      <c r="R83">
        <v>195149202.32856399</v>
      </c>
      <c r="S83">
        <f>1234.50208186058*(0.8/0.96)</f>
        <v>1028.7517348838167</v>
      </c>
      <c r="T83">
        <v>37.904177140492997</v>
      </c>
      <c r="U83">
        <v>10.758459603776</v>
      </c>
      <c r="V83">
        <v>27.8455568923399</v>
      </c>
      <c r="W83">
        <v>22.6346671716286</v>
      </c>
      <c r="X83">
        <v>9.1358871724332094</v>
      </c>
      <c r="Y83">
        <v>10.6518060152911</v>
      </c>
      <c r="Z83">
        <v>8.8724985549130206</v>
      </c>
      <c r="AA83">
        <v>11.7499665646626</v>
      </c>
      <c r="AB83">
        <v>21.2027992850999</v>
      </c>
      <c r="AC83">
        <v>12.3141803529764</v>
      </c>
      <c r="AD83">
        <v>15.114111237557999</v>
      </c>
      <c r="AE83">
        <v>18.2374454201886</v>
      </c>
      <c r="AF83">
        <v>9.3622393320389001</v>
      </c>
      <c r="AG83">
        <v>13.8803381213518</v>
      </c>
      <c r="AH83">
        <v>9.6237584668943406</v>
      </c>
      <c r="AI83">
        <v>9.6237584668943406</v>
      </c>
      <c r="AJ83">
        <v>49.1666666666667</v>
      </c>
      <c r="AK83">
        <v>8.9999999999999893</v>
      </c>
      <c r="AL83">
        <v>22542939769.4384</v>
      </c>
      <c r="AM83">
        <v>3818041692.8587799</v>
      </c>
      <c r="AN83">
        <v>6018.8103799999999</v>
      </c>
      <c r="AO83" s="69">
        <v>18438078226.630299</v>
      </c>
      <c r="AP83">
        <v>5561247868.5363798</v>
      </c>
      <c r="AQ83">
        <v>6018.8103799999999</v>
      </c>
      <c r="AR83" s="69">
        <v>487132930.21863699</v>
      </c>
      <c r="AS83">
        <v>487132930.21863699</v>
      </c>
      <c r="AT83">
        <v>5803.9016000000001</v>
      </c>
      <c r="AU83">
        <v>967366292.95541704</v>
      </c>
      <c r="AV83">
        <v>1077.9874416069899</v>
      </c>
      <c r="AW83">
        <v>317.52603007143802</v>
      </c>
      <c r="AX83">
        <v>800.05075323442895</v>
      </c>
      <c r="AY83">
        <v>650.99462186607104</v>
      </c>
      <c r="AZ83">
        <v>268.74548519815198</v>
      </c>
      <c r="BA83">
        <v>305.384825962663</v>
      </c>
      <c r="BB83">
        <v>253.82399274220501</v>
      </c>
      <c r="BC83">
        <v>337.42710678926602</v>
      </c>
      <c r="BD83">
        <v>605.90272740504395</v>
      </c>
      <c r="BE83">
        <v>348.96266158007802</v>
      </c>
      <c r="BF83">
        <v>436.37403599412301</v>
      </c>
      <c r="BG83">
        <v>522.49393095753601</v>
      </c>
      <c r="BH83">
        <v>273.25401191213899</v>
      </c>
      <c r="BI83">
        <v>403.35174140189901</v>
      </c>
      <c r="BJ83">
        <v>281.00163481483401</v>
      </c>
      <c r="BK83">
        <v>281.00163481483401</v>
      </c>
      <c r="BL83">
        <v>187.99321139097199</v>
      </c>
      <c r="BM83">
        <v>53.088121022900602</v>
      </c>
      <c r="BN83">
        <v>138.53079547657799</v>
      </c>
      <c r="BO83">
        <v>111.667341662643</v>
      </c>
      <c r="BP83">
        <v>44.9686700946286</v>
      </c>
      <c r="BQ83">
        <v>52.711679490820401</v>
      </c>
      <c r="BR83">
        <v>43.933724615222701</v>
      </c>
      <c r="BS83">
        <v>58.261475739440101</v>
      </c>
      <c r="BT83">
        <v>105.030576220998</v>
      </c>
      <c r="BU83">
        <v>60.923916193951101</v>
      </c>
      <c r="BV83">
        <v>74.8372962974654</v>
      </c>
      <c r="BW83">
        <v>90.518083173719603</v>
      </c>
      <c r="BX83">
        <v>46.154882150510801</v>
      </c>
      <c r="BY83">
        <v>68.568175721041101</v>
      </c>
      <c r="BZ83">
        <v>47.532173140123497</v>
      </c>
      <c r="CA83">
        <v>47.532173140123497</v>
      </c>
      <c r="CB83">
        <v>97.694665160654196</v>
      </c>
      <c r="CC83">
        <v>26.032845724359699</v>
      </c>
      <c r="CD83">
        <v>79.147002942467495</v>
      </c>
      <c r="CE83">
        <v>51.887957963705503</v>
      </c>
      <c r="CF83">
        <v>21.519644844799299</v>
      </c>
      <c r="CG83">
        <v>27.208114259170902</v>
      </c>
      <c r="CH83">
        <v>20.7235595372536</v>
      </c>
      <c r="CI83">
        <v>31.669666849717299</v>
      </c>
      <c r="CJ83">
        <v>53.335654072672597</v>
      </c>
      <c r="CK83">
        <v>28.716554898451101</v>
      </c>
      <c r="CL83">
        <v>39.654224155411796</v>
      </c>
      <c r="CM83">
        <v>47.313261268238001</v>
      </c>
      <c r="CN83">
        <v>24.668038355312301</v>
      </c>
      <c r="CO83">
        <v>35.7784427557336</v>
      </c>
      <c r="CP83">
        <v>23.838541378076702</v>
      </c>
      <c r="CQ83">
        <v>23.838541378076702</v>
      </c>
      <c r="CR83" s="1">
        <v>71095759.390274301</v>
      </c>
      <c r="CS83" s="1">
        <v>69407798.217223704</v>
      </c>
      <c r="CT83" s="1">
        <v>70540600.170221999</v>
      </c>
      <c r="CU83" s="1">
        <v>68846099.706323802</v>
      </c>
      <c r="CV83" s="1">
        <v>63421729.4236174</v>
      </c>
      <c r="CW83" s="1">
        <v>64415624.162564099</v>
      </c>
      <c r="CX83" s="1">
        <v>59514859.853543498</v>
      </c>
      <c r="CY83" s="1">
        <v>52806498.363214701</v>
      </c>
      <c r="CZ83" s="1">
        <v>52508683.518670499</v>
      </c>
      <c r="DA83" s="1">
        <v>66896866.520903401</v>
      </c>
      <c r="DB83" s="1">
        <v>64333850.079402901</v>
      </c>
      <c r="DC83" s="1">
        <v>80004054.359869793</v>
      </c>
      <c r="DD83" s="1">
        <v>92332205.343532801</v>
      </c>
      <c r="DE83" s="1">
        <v>85046814.434294105</v>
      </c>
      <c r="DF83" s="1">
        <v>112450284.10777199</v>
      </c>
      <c r="DG83" s="1">
        <v>111475759.784136</v>
      </c>
      <c r="DH83" s="1">
        <v>2560067219.4057298</v>
      </c>
      <c r="DI83" s="1">
        <v>2489075743.37959</v>
      </c>
      <c r="DJ83" s="1">
        <v>2534830991.97505</v>
      </c>
      <c r="DK83" s="1">
        <v>2488946076.66997</v>
      </c>
      <c r="DL83" s="1">
        <v>2294366121.8460698</v>
      </c>
      <c r="DM83" s="1">
        <v>2358832346.0073099</v>
      </c>
      <c r="DN83" s="1">
        <v>2164237106.0780501</v>
      </c>
      <c r="DO83" s="1">
        <v>1913577742.1238</v>
      </c>
      <c r="DP83" s="1">
        <v>1906579820.4284799</v>
      </c>
      <c r="DQ83" s="1">
        <v>2446555500.81037</v>
      </c>
      <c r="DR83" s="1">
        <v>2365038598.2687998</v>
      </c>
      <c r="DS83" s="1">
        <v>2912055238.5734</v>
      </c>
      <c r="DT83" s="1">
        <v>3369326917.5377498</v>
      </c>
      <c r="DU83" s="1">
        <v>3107999555.51436</v>
      </c>
      <c r="DV83" s="1">
        <v>4098355047.4400101</v>
      </c>
      <c r="DW83" s="1">
        <v>4031382194.9987502</v>
      </c>
    </row>
    <row r="84" spans="1:127" x14ac:dyDescent="0.25">
      <c r="A84" t="s">
        <v>111</v>
      </c>
      <c r="B84">
        <v>36.119999999999997</v>
      </c>
      <c r="C84">
        <v>-86.68</v>
      </c>
      <c r="D84">
        <v>-9.6</v>
      </c>
      <c r="E84">
        <v>-7.1</v>
      </c>
      <c r="F84">
        <v>34.9</v>
      </c>
      <c r="G84">
        <v>23.8</v>
      </c>
      <c r="H84">
        <v>33.5</v>
      </c>
      <c r="I84">
        <v>23.7</v>
      </c>
      <c r="J84">
        <v>77.749999999999702</v>
      </c>
      <c r="K84">
        <v>0</v>
      </c>
      <c r="L84">
        <v>22766024035.883202</v>
      </c>
      <c r="M84">
        <v>5144603756.9262199</v>
      </c>
      <c r="N84">
        <v>5410.3971099999999</v>
      </c>
      <c r="O84" s="75">
        <v>23577445250.169899</v>
      </c>
      <c r="P84">
        <f>29471806562.7125*(0.8/0.96)</f>
        <v>24559838802.260418</v>
      </c>
      <c r="Q84">
        <v>29308</v>
      </c>
      <c r="R84">
        <v>219099242.751405</v>
      </c>
      <c r="S84">
        <f>1482.45933469419*(0.8/0.96)</f>
        <v>1235.382778911825</v>
      </c>
      <c r="T84">
        <v>41.932909186860002</v>
      </c>
      <c r="U84">
        <v>12.300153016451301</v>
      </c>
      <c r="V84">
        <v>30.8314297957279</v>
      </c>
      <c r="W84">
        <v>25.355407025216799</v>
      </c>
      <c r="X84">
        <v>10.2093552964169</v>
      </c>
      <c r="Y84">
        <v>12.2142648983904</v>
      </c>
      <c r="Z84">
        <v>9.9104392171832494</v>
      </c>
      <c r="AA84">
        <v>13.4557567427845</v>
      </c>
      <c r="AB84">
        <v>23.4578640567055</v>
      </c>
      <c r="AC84">
        <v>13.869946097903901</v>
      </c>
      <c r="AD84">
        <v>16.858447986249399</v>
      </c>
      <c r="AE84">
        <v>20.591353888010499</v>
      </c>
      <c r="AF84">
        <v>10.860113659736101</v>
      </c>
      <c r="AG84">
        <v>15.707419331913201</v>
      </c>
      <c r="AH84">
        <v>11.078124702493101</v>
      </c>
      <c r="AI84">
        <v>11.078124702493101</v>
      </c>
      <c r="AJ84">
        <v>77.249999999999602</v>
      </c>
      <c r="AK84">
        <v>9.6666666666666607</v>
      </c>
      <c r="AL84">
        <v>22803627958.367901</v>
      </c>
      <c r="AM84">
        <v>3585271833.15557</v>
      </c>
      <c r="AN84">
        <v>5410.3971099999999</v>
      </c>
      <c r="AO84" s="69">
        <v>21603567501.447102</v>
      </c>
      <c r="AP84">
        <v>6926874386.4517803</v>
      </c>
      <c r="AQ84">
        <v>5410.3971099999999</v>
      </c>
      <c r="AR84" s="69">
        <v>1052296647.53179</v>
      </c>
      <c r="AS84">
        <v>1052296647.53179</v>
      </c>
      <c r="AT84">
        <v>6274.5078999999996</v>
      </c>
      <c r="AU84">
        <v>1233852652.59061</v>
      </c>
      <c r="AV84">
        <v>1318.6953890792299</v>
      </c>
      <c r="AW84">
        <v>403.20825409666298</v>
      </c>
      <c r="AX84">
        <v>980.33924760388402</v>
      </c>
      <c r="AY84">
        <v>812.50313446412304</v>
      </c>
      <c r="AZ84">
        <v>335.04019370110399</v>
      </c>
      <c r="BA84">
        <v>391.36861592720402</v>
      </c>
      <c r="BB84">
        <v>313.21379104900899</v>
      </c>
      <c r="BC84">
        <v>434.13236635074702</v>
      </c>
      <c r="BD84">
        <v>740.64821470098502</v>
      </c>
      <c r="BE84">
        <v>439.82098785679199</v>
      </c>
      <c r="BF84">
        <v>540.244737190313</v>
      </c>
      <c r="BG84">
        <v>658.96028075844299</v>
      </c>
      <c r="BH84">
        <v>356.50370926756699</v>
      </c>
      <c r="BI84">
        <v>508.60542822670197</v>
      </c>
      <c r="BJ84">
        <v>360.97712798105101</v>
      </c>
      <c r="BK84">
        <v>360.97712798105101</v>
      </c>
      <c r="BL84">
        <v>236.031057291552</v>
      </c>
      <c r="BM84">
        <v>69.388206735034601</v>
      </c>
      <c r="BN84">
        <v>173.75315633027799</v>
      </c>
      <c r="BO84">
        <v>142.778659437729</v>
      </c>
      <c r="BP84">
        <v>57.413117682562898</v>
      </c>
      <c r="BQ84">
        <v>68.785235209665601</v>
      </c>
      <c r="BR84">
        <v>55.681998890762401</v>
      </c>
      <c r="BS84">
        <v>75.773169681113401</v>
      </c>
      <c r="BT84">
        <v>132.41620261827899</v>
      </c>
      <c r="BU84">
        <v>77.781548279016803</v>
      </c>
      <c r="BV84">
        <v>95.031487463693196</v>
      </c>
      <c r="BW84">
        <v>115.993002306093</v>
      </c>
      <c r="BX84">
        <v>61.174821518619702</v>
      </c>
      <c r="BY84">
        <v>88.489704312961194</v>
      </c>
      <c r="BZ84">
        <v>62.2023956987967</v>
      </c>
      <c r="CA84">
        <v>62.2023956987967</v>
      </c>
      <c r="CB84">
        <v>190.43686594656299</v>
      </c>
      <c r="CC84">
        <v>57.279454021944801</v>
      </c>
      <c r="CD84">
        <v>141.942730743889</v>
      </c>
      <c r="CE84">
        <v>125.037618880922</v>
      </c>
      <c r="CF84">
        <v>46.599864400740799</v>
      </c>
      <c r="CG84">
        <v>65.915359578220801</v>
      </c>
      <c r="CH84">
        <v>41.246537809678401</v>
      </c>
      <c r="CI84">
        <v>72.270683861703503</v>
      </c>
      <c r="CJ84">
        <v>109.634115882562</v>
      </c>
      <c r="CK84">
        <v>68.6354604648036</v>
      </c>
      <c r="CL84">
        <v>83.9079299084609</v>
      </c>
      <c r="CM84">
        <v>103.702594719891</v>
      </c>
      <c r="CN84">
        <v>68.025607876231007</v>
      </c>
      <c r="CO84">
        <v>84.883207627326399</v>
      </c>
      <c r="CP84">
        <v>55.929464843718897</v>
      </c>
      <c r="CQ84">
        <v>55.929464843718897</v>
      </c>
      <c r="CR84" s="1">
        <v>81804676.881034195</v>
      </c>
      <c r="CS84" s="1">
        <v>79127895.726337597</v>
      </c>
      <c r="CT84" s="1">
        <v>80334040.037624002</v>
      </c>
      <c r="CU84" s="1">
        <v>78197643.794320896</v>
      </c>
      <c r="CV84" s="1">
        <v>70644252.064579397</v>
      </c>
      <c r="CW84" s="1">
        <v>70878068.887494206</v>
      </c>
      <c r="CX84" s="1">
        <v>68814231.370226294</v>
      </c>
      <c r="CY84" s="1">
        <v>61230913.393619798</v>
      </c>
      <c r="CZ84" s="1">
        <v>60349783.129432604</v>
      </c>
      <c r="DA84" s="1">
        <v>75798882.691002205</v>
      </c>
      <c r="DB84" s="1">
        <v>73040473.869812697</v>
      </c>
      <c r="DC84" s="1">
        <v>88820176.442096695</v>
      </c>
      <c r="DD84" s="1">
        <v>103623576.18469501</v>
      </c>
      <c r="DE84" s="1">
        <v>93251300.394432798</v>
      </c>
      <c r="DF84" s="1">
        <v>125342922.530637</v>
      </c>
      <c r="DG84" s="1">
        <v>122812575.94351199</v>
      </c>
      <c r="DH84" s="1">
        <v>3435909527.0942602</v>
      </c>
      <c r="DI84" s="1">
        <v>3312853666.7429399</v>
      </c>
      <c r="DJ84" s="1">
        <v>3393868095.1696901</v>
      </c>
      <c r="DK84" s="1">
        <v>3267624095.6877499</v>
      </c>
      <c r="DL84" s="1">
        <v>2999069633.5946102</v>
      </c>
      <c r="DM84" s="1">
        <v>3000562344.9520998</v>
      </c>
      <c r="DN84" s="1">
        <v>2948944799.3800998</v>
      </c>
      <c r="DO84" s="1">
        <v>2622633260.79882</v>
      </c>
      <c r="DP84" s="1">
        <v>2591353767.5978498</v>
      </c>
      <c r="DQ84" s="1">
        <v>3251991333.0915499</v>
      </c>
      <c r="DR84" s="1">
        <v>3132641755.1890702</v>
      </c>
      <c r="DS84" s="1">
        <v>3797227843.6764398</v>
      </c>
      <c r="DT84" s="1">
        <v>4455753133.9390202</v>
      </c>
      <c r="DU84" s="1">
        <v>3968310096.08497</v>
      </c>
      <c r="DV84" s="1">
        <v>5388176425.3324804</v>
      </c>
      <c r="DW84" s="1">
        <v>5299173360.2146597</v>
      </c>
    </row>
    <row r="85" spans="1:127" x14ac:dyDescent="0.25">
      <c r="A85" t="s">
        <v>113</v>
      </c>
      <c r="B85">
        <v>32.9</v>
      </c>
      <c r="C85">
        <v>-97.02</v>
      </c>
      <c r="D85">
        <v>-5</v>
      </c>
      <c r="E85">
        <v>-2.6</v>
      </c>
      <c r="F85">
        <v>38</v>
      </c>
      <c r="G85">
        <v>23.6</v>
      </c>
      <c r="H85">
        <v>37</v>
      </c>
      <c r="I85">
        <v>23.7</v>
      </c>
      <c r="J85">
        <v>164.583333333333</v>
      </c>
      <c r="K85">
        <v>0</v>
      </c>
      <c r="L85">
        <v>32430059076.205399</v>
      </c>
      <c r="M85">
        <v>7824383310.8682003</v>
      </c>
      <c r="N85">
        <v>6068.8184600000004</v>
      </c>
      <c r="O85" s="75">
        <v>12508797686.3647</v>
      </c>
      <c r="P85">
        <f>15635997107.956*(0.8/0.96)</f>
        <v>13029997589.963333</v>
      </c>
      <c r="Q85">
        <v>29308</v>
      </c>
      <c r="R85">
        <v>131553433.33358701</v>
      </c>
      <c r="S85">
        <f>786.505225616798*(0.8/0.96)</f>
        <v>655.4210213473317</v>
      </c>
      <c r="T85">
        <v>18.372248338460999</v>
      </c>
      <c r="U85">
        <v>14.6158708214139</v>
      </c>
      <c r="V85">
        <v>21.196088143025602</v>
      </c>
      <c r="W85">
        <v>14.493546935421699</v>
      </c>
      <c r="X85">
        <v>6.8559392624297697</v>
      </c>
      <c r="Y85">
        <v>7.1618552179958597</v>
      </c>
      <c r="Z85">
        <v>9.8738798747203393</v>
      </c>
      <c r="AA85">
        <v>8.1651030952523502</v>
      </c>
      <c r="AB85">
        <v>6.6981753511792403</v>
      </c>
      <c r="AC85">
        <v>12.538814459569799</v>
      </c>
      <c r="AD85">
        <v>8.1015010791969395</v>
      </c>
      <c r="AE85">
        <v>8.7880029258319308</v>
      </c>
      <c r="AF85">
        <v>5.2696741372439</v>
      </c>
      <c r="AG85">
        <v>10.066508657447701</v>
      </c>
      <c r="AH85">
        <v>6.0893054076622599</v>
      </c>
      <c r="AI85">
        <v>6.0890366006784298</v>
      </c>
      <c r="AJ85">
        <v>164</v>
      </c>
      <c r="AK85">
        <v>8.9166666666666607</v>
      </c>
      <c r="AL85">
        <v>32449112725.5765</v>
      </c>
      <c r="AM85">
        <v>5986234477.37609</v>
      </c>
      <c r="AN85">
        <v>6068.8184600000004</v>
      </c>
      <c r="AO85" s="69">
        <v>11817601585.877001</v>
      </c>
      <c r="AP85">
        <v>3443659301.6430898</v>
      </c>
      <c r="AQ85">
        <v>6068.8184600000004</v>
      </c>
      <c r="AR85" s="69">
        <v>221283882.750572</v>
      </c>
      <c r="AS85">
        <v>221283882.750572</v>
      </c>
      <c r="AT85">
        <v>5057.1344600000002</v>
      </c>
      <c r="AU85">
        <v>653189856.10327995</v>
      </c>
      <c r="AV85">
        <v>483.16636500976199</v>
      </c>
      <c r="AW85">
        <v>387.189514974487</v>
      </c>
      <c r="AX85">
        <v>561.69701950476804</v>
      </c>
      <c r="AY85">
        <v>392.340496808333</v>
      </c>
      <c r="AZ85">
        <v>181.47687276934201</v>
      </c>
      <c r="BA85">
        <v>192.41212495463699</v>
      </c>
      <c r="BB85">
        <v>265.95661860325202</v>
      </c>
      <c r="BC85">
        <v>215.24368442182501</v>
      </c>
      <c r="BD85">
        <v>177.646319505224</v>
      </c>
      <c r="BE85">
        <v>335.25094469361801</v>
      </c>
      <c r="BF85">
        <v>215.21606645567601</v>
      </c>
      <c r="BG85">
        <v>236.737675419933</v>
      </c>
      <c r="BH85">
        <v>139.645919356663</v>
      </c>
      <c r="BI85">
        <v>270.88393288385299</v>
      </c>
      <c r="BJ85">
        <v>160.56499227835101</v>
      </c>
      <c r="BK85">
        <v>160.55847634447201</v>
      </c>
      <c r="BL85">
        <v>91.195717803762506</v>
      </c>
      <c r="BM85">
        <v>72.479646241223605</v>
      </c>
      <c r="BN85">
        <v>105.21590270498299</v>
      </c>
      <c r="BO85">
        <v>71.909601616369201</v>
      </c>
      <c r="BP85">
        <v>33.9936928744578</v>
      </c>
      <c r="BQ85">
        <v>35.573410814959701</v>
      </c>
      <c r="BR85">
        <v>48.928740537076301</v>
      </c>
      <c r="BS85">
        <v>40.517333878806497</v>
      </c>
      <c r="BT85">
        <v>33.221822971621201</v>
      </c>
      <c r="BU85">
        <v>62.295875030662103</v>
      </c>
      <c r="BV85">
        <v>40.139333407589397</v>
      </c>
      <c r="BW85">
        <v>43.562862685025003</v>
      </c>
      <c r="BX85">
        <v>26.070002590907499</v>
      </c>
      <c r="BY85">
        <v>49.9736840750192</v>
      </c>
      <c r="BZ85">
        <v>30.211897171756998</v>
      </c>
      <c r="CA85">
        <v>30.210526302020199</v>
      </c>
      <c r="CB85">
        <v>32.620210579813801</v>
      </c>
      <c r="CC85">
        <v>28.169509796721499</v>
      </c>
      <c r="CD85">
        <v>38.869882723735103</v>
      </c>
      <c r="CE85">
        <v>31.231847354539202</v>
      </c>
      <c r="CF85">
        <v>14.179158820773701</v>
      </c>
      <c r="CG85">
        <v>14.036977980955101</v>
      </c>
      <c r="CH85">
        <v>21.7433522887899</v>
      </c>
      <c r="CI85">
        <v>15.5278959771848</v>
      </c>
      <c r="CJ85">
        <v>11.633712367953301</v>
      </c>
      <c r="CK85">
        <v>26.164535731297899</v>
      </c>
      <c r="CL85">
        <v>15.230264372375601</v>
      </c>
      <c r="CM85">
        <v>17.660608034468801</v>
      </c>
      <c r="CN85">
        <v>9.4454453353675198</v>
      </c>
      <c r="CO85">
        <v>19.412473684166699</v>
      </c>
      <c r="CP85">
        <v>10.242780282604199</v>
      </c>
      <c r="CQ85">
        <v>10.242409407949101</v>
      </c>
      <c r="CR85" s="1">
        <v>121321333.848095</v>
      </c>
      <c r="CS85" s="1">
        <v>115701917.95541599</v>
      </c>
      <c r="CT85" s="1">
        <v>105805267.32690699</v>
      </c>
      <c r="CU85" s="1">
        <v>93521623.102961093</v>
      </c>
      <c r="CV85" s="1">
        <v>82906716.954213202</v>
      </c>
      <c r="CW85" s="1">
        <v>60435577.592684999</v>
      </c>
      <c r="CX85" s="1">
        <v>49820700.139132902</v>
      </c>
      <c r="CY85" s="1">
        <v>46459044.600811899</v>
      </c>
      <c r="CZ85" s="1">
        <v>41850063.553895399</v>
      </c>
      <c r="DA85" s="1">
        <v>39095581.424846299</v>
      </c>
      <c r="DB85" s="1">
        <v>39301153.456531197</v>
      </c>
      <c r="DC85" s="1">
        <v>33981731.9135461</v>
      </c>
      <c r="DD85" s="1">
        <v>32906379.620062999</v>
      </c>
      <c r="DE85" s="1">
        <v>29440520.367284302</v>
      </c>
      <c r="DF85" s="1">
        <v>30106472.265266199</v>
      </c>
      <c r="DG85" s="1">
        <v>28548923.969613701</v>
      </c>
      <c r="DH85" s="1">
        <v>3974884956.3294001</v>
      </c>
      <c r="DI85" s="1">
        <v>3787118345.8264098</v>
      </c>
      <c r="DJ85" s="1">
        <v>3484452641.7037702</v>
      </c>
      <c r="DK85" s="1">
        <v>3099128278.4603901</v>
      </c>
      <c r="DL85" s="1">
        <v>2776777840.9833798</v>
      </c>
      <c r="DM85" s="1">
        <v>2024088852.7221501</v>
      </c>
      <c r="DN85" s="1">
        <v>1676330590.87024</v>
      </c>
      <c r="DO85" s="1">
        <v>1566690586.0987799</v>
      </c>
      <c r="DP85" s="1">
        <v>1406531943.8845</v>
      </c>
      <c r="DQ85" s="1">
        <v>1314648687.29264</v>
      </c>
      <c r="DR85" s="1">
        <v>1323580689.0775399</v>
      </c>
      <c r="DS85" s="1">
        <v>1130762036.6749499</v>
      </c>
      <c r="DT85" s="1">
        <v>1096652569.8943801</v>
      </c>
      <c r="DU85" s="1">
        <v>976202555.73367202</v>
      </c>
      <c r="DV85" s="1">
        <v>1002623313.76035</v>
      </c>
      <c r="DW85" s="1">
        <v>950486641.96792603</v>
      </c>
    </row>
    <row r="86" spans="1:127" x14ac:dyDescent="0.25">
      <c r="A86" t="s">
        <v>112</v>
      </c>
      <c r="B86">
        <v>29.57</v>
      </c>
      <c r="C86">
        <v>-95.09</v>
      </c>
      <c r="D86">
        <v>0</v>
      </c>
      <c r="E86">
        <v>2.2000000000000002</v>
      </c>
      <c r="F86">
        <v>35.6</v>
      </c>
      <c r="G86">
        <v>25.7</v>
      </c>
      <c r="H86">
        <v>34.700000000000003</v>
      </c>
      <c r="I86">
        <v>25.7</v>
      </c>
      <c r="J86">
        <v>67.5</v>
      </c>
      <c r="K86">
        <v>0</v>
      </c>
      <c r="L86">
        <v>37725216653.823799</v>
      </c>
      <c r="M86">
        <v>8415211584.2076998</v>
      </c>
      <c r="N86">
        <v>6016.0194199999996</v>
      </c>
      <c r="O86" s="75">
        <v>4556935987.1100302</v>
      </c>
      <c r="P86">
        <f>5696169983.88753*(0.8/0.96)</f>
        <v>4746808319.9062757</v>
      </c>
      <c r="Q86">
        <v>29308</v>
      </c>
      <c r="R86">
        <v>44420146.343717501</v>
      </c>
      <c r="S86">
        <f>286.522658414251*(0.8/0.96)</f>
        <v>238.76888201187583</v>
      </c>
      <c r="T86">
        <v>6.1052393713605397</v>
      </c>
      <c r="U86">
        <v>4.9607549014302403</v>
      </c>
      <c r="V86">
        <v>7.1270270446990001</v>
      </c>
      <c r="W86">
        <v>5.1459374513961498</v>
      </c>
      <c r="X86">
        <v>2.28756740961584</v>
      </c>
      <c r="Y86">
        <v>2.4843677096137502</v>
      </c>
      <c r="Z86">
        <v>3.2593336898111098</v>
      </c>
      <c r="AA86">
        <v>2.76064478404715</v>
      </c>
      <c r="AB86">
        <v>2.20796400884455</v>
      </c>
      <c r="AC86">
        <v>4.4192801590339803</v>
      </c>
      <c r="AD86">
        <v>2.58682098221511</v>
      </c>
      <c r="AE86">
        <v>3.0036336094256599</v>
      </c>
      <c r="AF86">
        <v>1.75396404513306</v>
      </c>
      <c r="AG86">
        <v>3.4451805785548602</v>
      </c>
      <c r="AH86">
        <v>2.0748426481774001</v>
      </c>
      <c r="AI86">
        <v>2.0747328145902699</v>
      </c>
      <c r="AJ86">
        <v>66.3333333333334</v>
      </c>
      <c r="AK86">
        <v>2.5833333333333299</v>
      </c>
      <c r="AL86">
        <v>37762200231.1259</v>
      </c>
      <c r="AM86">
        <v>5904412658.3056698</v>
      </c>
      <c r="AN86">
        <v>6016.0194199999996</v>
      </c>
      <c r="AO86" s="69">
        <v>4327931858.8459902</v>
      </c>
      <c r="AP86">
        <v>1282547455.44417</v>
      </c>
      <c r="AQ86">
        <v>6016.0194199999996</v>
      </c>
      <c r="AR86" s="69">
        <v>59229266.021052197</v>
      </c>
      <c r="AS86">
        <v>59229266.021052197</v>
      </c>
      <c r="AT86">
        <v>3778.8486400000002</v>
      </c>
      <c r="AU86">
        <v>222087986.28854999</v>
      </c>
      <c r="AV86">
        <v>177.03848376154301</v>
      </c>
      <c r="AW86">
        <v>145.03055412345901</v>
      </c>
      <c r="AX86">
        <v>208.529424532061</v>
      </c>
      <c r="AY86">
        <v>152.93359692794499</v>
      </c>
      <c r="AZ86">
        <v>66.593236808399695</v>
      </c>
      <c r="BA86">
        <v>73.668798542999994</v>
      </c>
      <c r="BB86">
        <v>96.366827761689905</v>
      </c>
      <c r="BC86">
        <v>80.375285317322493</v>
      </c>
      <c r="BD86">
        <v>64.9691927138702</v>
      </c>
      <c r="BE86">
        <v>130.16325480462899</v>
      </c>
      <c r="BF86">
        <v>75.828549710630796</v>
      </c>
      <c r="BG86">
        <v>88.8107069804649</v>
      </c>
      <c r="BH86">
        <v>51.383727012932603</v>
      </c>
      <c r="BI86">
        <v>102.339148500764</v>
      </c>
      <c r="BJ86">
        <v>60.690390122437499</v>
      </c>
      <c r="BK86">
        <v>60.687248285717303</v>
      </c>
      <c r="BL86">
        <v>30.478614258663299</v>
      </c>
      <c r="BM86">
        <v>24.782906020120901</v>
      </c>
      <c r="BN86">
        <v>35.523642028028199</v>
      </c>
      <c r="BO86">
        <v>25.619673495450499</v>
      </c>
      <c r="BP86">
        <v>11.414930604447299</v>
      </c>
      <c r="BQ86">
        <v>12.3565616688254</v>
      </c>
      <c r="BR86">
        <v>16.220772467242</v>
      </c>
      <c r="BS86">
        <v>13.7897973043194</v>
      </c>
      <c r="BT86">
        <v>11.003509774491601</v>
      </c>
      <c r="BU86">
        <v>22.012538219140499</v>
      </c>
      <c r="BV86">
        <v>12.8906955948391</v>
      </c>
      <c r="BW86">
        <v>14.969240768185999</v>
      </c>
      <c r="BX86">
        <v>8.7560659728789307</v>
      </c>
      <c r="BY86">
        <v>17.1362274530265</v>
      </c>
      <c r="BZ86">
        <v>10.3623308109027</v>
      </c>
      <c r="CA86">
        <v>10.3617699560149</v>
      </c>
      <c r="CB86">
        <v>8.7633626110192893</v>
      </c>
      <c r="CC86">
        <v>7.5963077051288996</v>
      </c>
      <c r="CD86">
        <v>10.622780428251399</v>
      </c>
      <c r="CE86">
        <v>8.6201954023092604</v>
      </c>
      <c r="CF86">
        <v>3.8783522776088999</v>
      </c>
      <c r="CG86">
        <v>3.9650990922685199</v>
      </c>
      <c r="CH86">
        <v>5.3756934344271299</v>
      </c>
      <c r="CI86">
        <v>4.1071265173057698</v>
      </c>
      <c r="CJ86">
        <v>3.2345489382002302</v>
      </c>
      <c r="CK86">
        <v>6.7659229255111901</v>
      </c>
      <c r="CL86">
        <v>3.9288967107179298</v>
      </c>
      <c r="CM86">
        <v>4.6791994454513404</v>
      </c>
      <c r="CN86">
        <v>2.4612978324435302</v>
      </c>
      <c r="CO86">
        <v>5.1469339571721999</v>
      </c>
      <c r="CP86">
        <v>2.9316858813632298</v>
      </c>
      <c r="CQ86">
        <v>2.93159233590255</v>
      </c>
      <c r="CR86" s="1">
        <v>39121108.670961298</v>
      </c>
      <c r="CS86" s="1">
        <v>36647467.761647701</v>
      </c>
      <c r="CT86" s="1">
        <v>33472497.864977501</v>
      </c>
      <c r="CU86" s="1">
        <v>29143839.345330302</v>
      </c>
      <c r="CV86" s="1">
        <v>26886615.103896599</v>
      </c>
      <c r="CW86" s="1">
        <v>17058073.758306801</v>
      </c>
      <c r="CX86" s="1">
        <v>14319054.737836801</v>
      </c>
      <c r="CY86" s="1">
        <v>13265298.287421901</v>
      </c>
      <c r="CZ86" s="1">
        <v>11910153.143181499</v>
      </c>
      <c r="DA86" s="1">
        <v>10777117.2050333</v>
      </c>
      <c r="DB86" s="1">
        <v>10821545.1130771</v>
      </c>
      <c r="DC86" s="1">
        <v>9596262.9012248497</v>
      </c>
      <c r="DD86" s="1">
        <v>9617565.7319821194</v>
      </c>
      <c r="DE86" s="1">
        <v>8289235.9689099602</v>
      </c>
      <c r="DF86" s="1">
        <v>8725880.4939492997</v>
      </c>
      <c r="DG86" s="1">
        <v>8083292.7729371302</v>
      </c>
      <c r="DH86" s="1">
        <v>1363221516.1916201</v>
      </c>
      <c r="DI86" s="1">
        <v>1274514208.86257</v>
      </c>
      <c r="DJ86" s="1">
        <v>1169256250.64607</v>
      </c>
      <c r="DK86" s="1">
        <v>1020598769.73637</v>
      </c>
      <c r="DL86" s="1">
        <v>951033791.10956502</v>
      </c>
      <c r="DM86" s="1">
        <v>593496245.43641102</v>
      </c>
      <c r="DN86" s="1">
        <v>499774082.595586</v>
      </c>
      <c r="DO86" s="1">
        <v>464940635.26425302</v>
      </c>
      <c r="DP86" s="1">
        <v>415510575.06775099</v>
      </c>
      <c r="DQ86" s="1">
        <v>376339306.34691298</v>
      </c>
      <c r="DR86" s="1">
        <v>378480105.94386202</v>
      </c>
      <c r="DS86" s="1">
        <v>334247705.25224102</v>
      </c>
      <c r="DT86" s="1">
        <v>337623333.43398303</v>
      </c>
      <c r="DU86" s="1">
        <v>289055209.01256698</v>
      </c>
      <c r="DV86" s="1">
        <v>305642078.20512402</v>
      </c>
      <c r="DW86" s="1">
        <v>282816771.16317302</v>
      </c>
    </row>
    <row r="87" spans="1:127" x14ac:dyDescent="0.25">
      <c r="A87" t="s">
        <v>114</v>
      </c>
      <c r="B87">
        <v>33.67</v>
      </c>
      <c r="C87">
        <v>-101.82</v>
      </c>
      <c r="D87">
        <v>-8.9</v>
      </c>
      <c r="E87">
        <v>-6.7</v>
      </c>
      <c r="F87">
        <v>37.200000000000003</v>
      </c>
      <c r="G87">
        <v>19.3</v>
      </c>
      <c r="H87">
        <v>35.9</v>
      </c>
      <c r="I87">
        <v>19.7</v>
      </c>
      <c r="J87">
        <v>91.916666666666401</v>
      </c>
      <c r="K87">
        <v>0</v>
      </c>
      <c r="L87">
        <v>20109471575.9757</v>
      </c>
      <c r="M87">
        <v>4877395178.5374498</v>
      </c>
      <c r="N87">
        <v>5395.8877000000002</v>
      </c>
      <c r="O87" s="75">
        <v>19593590498.7388</v>
      </c>
      <c r="P87">
        <f>24491988123.4235*(0.8/0.96)</f>
        <v>20409990102.852917</v>
      </c>
      <c r="Q87">
        <v>29308</v>
      </c>
      <c r="R87">
        <v>218235632.61649799</v>
      </c>
      <c r="S87">
        <f>1231.96982653671*(0.8/0.96)</f>
        <v>1026.641522113925</v>
      </c>
      <c r="T87">
        <v>30.157508623159401</v>
      </c>
      <c r="U87">
        <v>23.954107604235499</v>
      </c>
      <c r="V87">
        <v>34.3766510280226</v>
      </c>
      <c r="W87">
        <v>23.743276649888902</v>
      </c>
      <c r="X87">
        <v>11.553008321118799</v>
      </c>
      <c r="Y87">
        <v>11.567019118085</v>
      </c>
      <c r="Z87">
        <v>16.019570298988601</v>
      </c>
      <c r="AA87">
        <v>13.579112276752801</v>
      </c>
      <c r="AB87">
        <v>10.7548435060893</v>
      </c>
      <c r="AC87">
        <v>21.0669017238789</v>
      </c>
      <c r="AD87">
        <v>13.149565492740599</v>
      </c>
      <c r="AE87">
        <v>14.4321873203927</v>
      </c>
      <c r="AF87">
        <v>8.1875668959163299</v>
      </c>
      <c r="AG87">
        <v>16.214507684442399</v>
      </c>
      <c r="AH87">
        <v>9.6344610518139593</v>
      </c>
      <c r="AI87">
        <v>9.6339737683320692</v>
      </c>
      <c r="AJ87">
        <v>91.166666666666401</v>
      </c>
      <c r="AK87">
        <v>12.25</v>
      </c>
      <c r="AL87">
        <v>20133829529.036598</v>
      </c>
      <c r="AM87">
        <v>3537745301.4161301</v>
      </c>
      <c r="AN87">
        <v>5395.8877000000002</v>
      </c>
      <c r="AO87" s="69">
        <v>17773075890.665199</v>
      </c>
      <c r="AP87">
        <v>5806859877.8769197</v>
      </c>
      <c r="AQ87">
        <v>5395.8877000000002</v>
      </c>
      <c r="AR87" s="69">
        <v>915045575.01721096</v>
      </c>
      <c r="AS87">
        <v>915045575.01721096</v>
      </c>
      <c r="AT87">
        <v>5821.8679899999997</v>
      </c>
      <c r="AU87">
        <v>1215384894.7218001</v>
      </c>
      <c r="AV87">
        <v>807.084645633538</v>
      </c>
      <c r="AW87">
        <v>647.14109503038696</v>
      </c>
      <c r="AX87">
        <v>929.23385634038596</v>
      </c>
      <c r="AY87">
        <v>656.91667992260602</v>
      </c>
      <c r="AZ87">
        <v>311.84747781393099</v>
      </c>
      <c r="BA87">
        <v>318.373136057034</v>
      </c>
      <c r="BB87">
        <v>438.53299916000498</v>
      </c>
      <c r="BC87">
        <v>363.43364946023502</v>
      </c>
      <c r="BD87">
        <v>291.85152380397</v>
      </c>
      <c r="BE87">
        <v>574.10260836017903</v>
      </c>
      <c r="BF87">
        <v>355.92684440256198</v>
      </c>
      <c r="BG87">
        <v>396.631848058093</v>
      </c>
      <c r="BH87">
        <v>221.45980588786799</v>
      </c>
      <c r="BI87">
        <v>447.035794868089</v>
      </c>
      <c r="BJ87">
        <v>259.70775902005897</v>
      </c>
      <c r="BK87">
        <v>259.69503056409002</v>
      </c>
      <c r="BL87">
        <v>167.743827267765</v>
      </c>
      <c r="BM87">
        <v>132.85252497464501</v>
      </c>
      <c r="BN87">
        <v>190.711984914992</v>
      </c>
      <c r="BO87">
        <v>130.98857361248099</v>
      </c>
      <c r="BP87">
        <v>64.115744560044604</v>
      </c>
      <c r="BQ87">
        <v>63.962485089821101</v>
      </c>
      <c r="BR87">
        <v>88.606620401263598</v>
      </c>
      <c r="BS87">
        <v>75.431484812994796</v>
      </c>
      <c r="BT87">
        <v>59.660799960484603</v>
      </c>
      <c r="BU87">
        <v>116.661497516325</v>
      </c>
      <c r="BV87">
        <v>72.894140350273403</v>
      </c>
      <c r="BW87">
        <v>79.595366429378302</v>
      </c>
      <c r="BX87">
        <v>45.343533128116697</v>
      </c>
      <c r="BY87">
        <v>89.4453765404416</v>
      </c>
      <c r="BZ87">
        <v>53.423820165969502</v>
      </c>
      <c r="CA87">
        <v>53.4210925577854</v>
      </c>
      <c r="CB87">
        <v>133.46075309697301</v>
      </c>
      <c r="CC87">
        <v>97.197432860471295</v>
      </c>
      <c r="CD87">
        <v>148.31592108212101</v>
      </c>
      <c r="CE87">
        <v>103.94973490359</v>
      </c>
      <c r="CF87">
        <v>48.018920354885502</v>
      </c>
      <c r="CG87">
        <v>51.537828746384797</v>
      </c>
      <c r="CH87">
        <v>66.859930656438493</v>
      </c>
      <c r="CI87">
        <v>51.6910317715909</v>
      </c>
      <c r="CJ87">
        <v>46.8180805986254</v>
      </c>
      <c r="CK87">
        <v>90.669647369095998</v>
      </c>
      <c r="CL87">
        <v>53.995212157534198</v>
      </c>
      <c r="CM87">
        <v>58.292297312583699</v>
      </c>
      <c r="CN87">
        <v>33.302835726591603</v>
      </c>
      <c r="CO87">
        <v>71.286191488829303</v>
      </c>
      <c r="CP87">
        <v>37.033464628637802</v>
      </c>
      <c r="CQ87">
        <v>37.031833078534298</v>
      </c>
      <c r="CR87" s="1">
        <v>197784816.04420799</v>
      </c>
      <c r="CS87" s="1">
        <v>188402726.84722501</v>
      </c>
      <c r="CT87" s="1">
        <v>172613875.20594999</v>
      </c>
      <c r="CU87" s="1">
        <v>149577432.09338501</v>
      </c>
      <c r="CV87" s="1">
        <v>130678612.883221</v>
      </c>
      <c r="CW87" s="1">
        <v>93521021.377279505</v>
      </c>
      <c r="CX87" s="1">
        <v>75656065.346354604</v>
      </c>
      <c r="CY87" s="1">
        <v>67734627.380206794</v>
      </c>
      <c r="CZ87" s="1">
        <v>62118750.549570903</v>
      </c>
      <c r="DA87" s="1">
        <v>57510687.055607103</v>
      </c>
      <c r="DB87" s="1">
        <v>58247099.387186497</v>
      </c>
      <c r="DC87" s="1">
        <v>49542014.079200298</v>
      </c>
      <c r="DD87" s="1">
        <v>49213635.149955601</v>
      </c>
      <c r="DE87" s="1">
        <v>42679588.428430103</v>
      </c>
      <c r="DF87" s="1">
        <v>43920605.0373656</v>
      </c>
      <c r="DG87" s="1">
        <v>40089549.737154901</v>
      </c>
      <c r="DH87" s="1">
        <v>7182265046.2119703</v>
      </c>
      <c r="DI87" s="1">
        <v>6860717497.5022497</v>
      </c>
      <c r="DJ87" s="1">
        <v>6287417126.0158195</v>
      </c>
      <c r="DK87" s="1">
        <v>5467091468.7948303</v>
      </c>
      <c r="DL87" s="1">
        <v>4815423622.9694796</v>
      </c>
      <c r="DM87" s="1">
        <v>3454994737.1177802</v>
      </c>
      <c r="DN87" s="1">
        <v>2812733020.9492402</v>
      </c>
      <c r="DO87" s="1">
        <v>2501952345.4415898</v>
      </c>
      <c r="DP87" s="1">
        <v>2298767827.6961899</v>
      </c>
      <c r="DQ87" s="1">
        <v>2139786848.8277099</v>
      </c>
      <c r="DR87" s="1">
        <v>2148416595.6995502</v>
      </c>
      <c r="DS87" s="1">
        <v>1816840301.1484201</v>
      </c>
      <c r="DT87" s="1">
        <v>1808470102.0994</v>
      </c>
      <c r="DU87" s="1">
        <v>1549152450.36517</v>
      </c>
      <c r="DV87" s="1">
        <v>1606843328.13341</v>
      </c>
      <c r="DW87" s="1">
        <v>1471960073.54917</v>
      </c>
    </row>
    <row r="88" spans="1:127" x14ac:dyDescent="0.25">
      <c r="A88" t="s">
        <v>116</v>
      </c>
      <c r="B88">
        <v>40.770000000000003</v>
      </c>
      <c r="C88">
        <v>-111.97</v>
      </c>
      <c r="D88">
        <v>-12.4</v>
      </c>
      <c r="E88">
        <v>-9.9</v>
      </c>
      <c r="F88">
        <v>36.5</v>
      </c>
      <c r="G88">
        <v>17.100000000000001</v>
      </c>
      <c r="H88">
        <v>35.1</v>
      </c>
      <c r="I88">
        <v>16.8</v>
      </c>
      <c r="J88">
        <v>81.083333333333201</v>
      </c>
      <c r="K88">
        <v>0</v>
      </c>
      <c r="L88">
        <v>13307723663.8032</v>
      </c>
      <c r="M88">
        <v>3303670873.60783</v>
      </c>
      <c r="N88">
        <v>4980.9839499999998</v>
      </c>
      <c r="O88" s="75">
        <v>33045726811.945599</v>
      </c>
      <c r="P88">
        <f>41307158514.932*(0.8/0.96)</f>
        <v>34422632095.776665</v>
      </c>
      <c r="Q88">
        <v>29308</v>
      </c>
      <c r="R88">
        <v>359974506.28383899</v>
      </c>
      <c r="S88">
        <f>2077.78856718031*(0.8/0.96)</f>
        <v>1731.4904726502584</v>
      </c>
      <c r="T88">
        <v>94.638473835036393</v>
      </c>
      <c r="U88">
        <v>15.431067409272</v>
      </c>
      <c r="V88">
        <v>55.865614869771697</v>
      </c>
      <c r="W88">
        <v>29.082921045558201</v>
      </c>
      <c r="X88">
        <v>34.644112834868899</v>
      </c>
      <c r="Y88">
        <v>48.0495932499785</v>
      </c>
      <c r="Z88">
        <v>46.516025795820902</v>
      </c>
      <c r="AA88">
        <v>40.014133468064699</v>
      </c>
      <c r="AB88">
        <v>32.903565912730301</v>
      </c>
      <c r="AC88">
        <v>33.431597020157596</v>
      </c>
      <c r="AD88">
        <v>23.896885293492701</v>
      </c>
      <c r="AE88">
        <v>39.653489139014503</v>
      </c>
      <c r="AF88">
        <v>21.126895425855899</v>
      </c>
      <c r="AG88">
        <v>18.4759837856644</v>
      </c>
      <c r="AH88">
        <v>6.1971195077466597</v>
      </c>
      <c r="AI88">
        <v>6.19712104284784</v>
      </c>
      <c r="AJ88">
        <v>80.833333333333201</v>
      </c>
      <c r="AK88">
        <v>15.8333333333333</v>
      </c>
      <c r="AL88">
        <v>13307840097.966999</v>
      </c>
      <c r="AM88">
        <v>2386421038.3333302</v>
      </c>
      <c r="AN88">
        <v>4980.9839499999998</v>
      </c>
      <c r="AO88" s="69">
        <v>30032337412.0574</v>
      </c>
      <c r="AP88">
        <v>9840766461.2464905</v>
      </c>
      <c r="AQ88">
        <v>4980.9839499999998</v>
      </c>
      <c r="AR88" s="69">
        <v>1297942946.60941</v>
      </c>
      <c r="AS88">
        <v>1297942946.60941</v>
      </c>
      <c r="AT88">
        <v>6739.2362599999997</v>
      </c>
      <c r="AU88">
        <v>2206233310.67554</v>
      </c>
      <c r="AV88">
        <v>2588.2034627938201</v>
      </c>
      <c r="AW88">
        <v>415.62192573016199</v>
      </c>
      <c r="AX88">
        <v>1530.13199826852</v>
      </c>
      <c r="AY88">
        <v>803.07250488829197</v>
      </c>
      <c r="AZ88">
        <v>957.434568778737</v>
      </c>
      <c r="BA88">
        <v>1333.4845450709799</v>
      </c>
      <c r="BB88">
        <v>1278.94260411457</v>
      </c>
      <c r="BC88">
        <v>1104.11696877584</v>
      </c>
      <c r="BD88">
        <v>914.50411244883696</v>
      </c>
      <c r="BE88">
        <v>934.09866101788896</v>
      </c>
      <c r="BF88">
        <v>655.84592156395297</v>
      </c>
      <c r="BG88">
        <v>1111.66283605887</v>
      </c>
      <c r="BH88">
        <v>576.22387708027895</v>
      </c>
      <c r="BI88">
        <v>519.16578908950203</v>
      </c>
      <c r="BJ88">
        <v>169.57165889261699</v>
      </c>
      <c r="BK88">
        <v>169.571691771606</v>
      </c>
      <c r="BL88">
        <v>579.75716154937595</v>
      </c>
      <c r="BM88">
        <v>94.863047691080894</v>
      </c>
      <c r="BN88">
        <v>341.98462981129597</v>
      </c>
      <c r="BO88">
        <v>179.026976863908</v>
      </c>
      <c r="BP88">
        <v>211.919751262521</v>
      </c>
      <c r="BQ88">
        <v>293.93504319610298</v>
      </c>
      <c r="BR88">
        <v>284.95511202124999</v>
      </c>
      <c r="BS88">
        <v>245.44496189529499</v>
      </c>
      <c r="BT88">
        <v>202.05165744923701</v>
      </c>
      <c r="BU88">
        <v>204.818269070437</v>
      </c>
      <c r="BV88">
        <v>146.72108075896301</v>
      </c>
      <c r="BW88">
        <v>243.776900991839</v>
      </c>
      <c r="BX88">
        <v>129.797253429129</v>
      </c>
      <c r="BY88">
        <v>113.348051762616</v>
      </c>
      <c r="BZ88">
        <v>37.930282972087099</v>
      </c>
      <c r="CA88">
        <v>37.930293017177299</v>
      </c>
      <c r="CB88">
        <v>342.84175028057098</v>
      </c>
      <c r="CC88">
        <v>45.989676442130701</v>
      </c>
      <c r="CD88">
        <v>199.300746497061</v>
      </c>
      <c r="CE88">
        <v>107.989052973418</v>
      </c>
      <c r="CF88">
        <v>134.231698159704</v>
      </c>
      <c r="CG88">
        <v>183.67452109208801</v>
      </c>
      <c r="CH88">
        <v>172.256656862488</v>
      </c>
      <c r="CI88">
        <v>156.485013299342</v>
      </c>
      <c r="CJ88">
        <v>128.674793694312</v>
      </c>
      <c r="CK88">
        <v>137.60762152480601</v>
      </c>
      <c r="CL88">
        <v>83.9592568073259</v>
      </c>
      <c r="CM88">
        <v>167.26918731970201</v>
      </c>
      <c r="CN88">
        <v>74.139691916591303</v>
      </c>
      <c r="CO88">
        <v>78.848010882874107</v>
      </c>
      <c r="CP88">
        <v>23.731584838426301</v>
      </c>
      <c r="CQ88">
        <v>23.731584838426301</v>
      </c>
      <c r="CR88" s="1">
        <v>214059827.604664</v>
      </c>
      <c r="CS88" s="1">
        <v>141673680.73751199</v>
      </c>
      <c r="CT88" s="1">
        <v>150720431.26884699</v>
      </c>
      <c r="CU88" s="1">
        <v>139251455.37448901</v>
      </c>
      <c r="CV88" s="1">
        <v>113822256.152996</v>
      </c>
      <c r="CW88" s="1">
        <v>87468076.890815899</v>
      </c>
      <c r="CX88" s="1">
        <v>75332113.780184701</v>
      </c>
      <c r="CY88" s="1">
        <v>89558955.331240103</v>
      </c>
      <c r="CZ88" s="1">
        <v>83464014.1949168</v>
      </c>
      <c r="DA88" s="1">
        <v>69144727.972104296</v>
      </c>
      <c r="DB88" s="1">
        <v>63023740.8121145</v>
      </c>
      <c r="DC88" s="1">
        <v>55058056.3106694</v>
      </c>
      <c r="DD88" s="1">
        <v>46692185.7974834</v>
      </c>
      <c r="DE88" s="1">
        <v>42823448.992021397</v>
      </c>
      <c r="DF88" s="1">
        <v>31721108.287535202</v>
      </c>
      <c r="DG88" s="1">
        <v>30379086.584042799</v>
      </c>
      <c r="DH88" s="1">
        <v>7924621265.3381596</v>
      </c>
      <c r="DI88" s="1">
        <v>5370339452.9667397</v>
      </c>
      <c r="DJ88" s="1">
        <v>5717336379.4280396</v>
      </c>
      <c r="DK88" s="1">
        <v>5325624687.6598597</v>
      </c>
      <c r="DL88" s="1">
        <v>4408542961.9663601</v>
      </c>
      <c r="DM88" s="1">
        <v>3467172021.2828398</v>
      </c>
      <c r="DN88" s="1">
        <v>2967431917.1815901</v>
      </c>
      <c r="DO88" s="1">
        <v>3538989555.8505301</v>
      </c>
      <c r="DP88" s="1">
        <v>3316894509.8345499</v>
      </c>
      <c r="DQ88" s="1">
        <v>2778246778.77249</v>
      </c>
      <c r="DR88" s="1">
        <v>2501146409.25561</v>
      </c>
      <c r="DS88" s="1">
        <v>2145247159.1235499</v>
      </c>
      <c r="DT88" s="1">
        <v>1890531866.7534699</v>
      </c>
      <c r="DU88" s="1">
        <v>1724132062.1480801</v>
      </c>
      <c r="DV88" s="1">
        <v>1306090173.8078499</v>
      </c>
      <c r="DW88" s="1">
        <v>1213249589.3108699</v>
      </c>
    </row>
    <row r="89" spans="1:127" x14ac:dyDescent="0.25">
      <c r="A89" t="s">
        <v>3778</v>
      </c>
      <c r="B89">
        <v>37.08</v>
      </c>
      <c r="C89">
        <v>-113.6</v>
      </c>
      <c r="D89">
        <v>-3</v>
      </c>
      <c r="E89">
        <v>-2.2000000000000002</v>
      </c>
      <c r="F89">
        <v>41.3</v>
      </c>
      <c r="G89">
        <v>19</v>
      </c>
      <c r="H89">
        <v>39.799999999999997</v>
      </c>
      <c r="I89">
        <v>18.399999999999999</v>
      </c>
      <c r="J89">
        <v>248</v>
      </c>
      <c r="K89">
        <v>0</v>
      </c>
      <c r="L89">
        <v>35378439273.894798</v>
      </c>
      <c r="M89">
        <v>9984645334.0109501</v>
      </c>
      <c r="N89">
        <v>6678.1514500000003</v>
      </c>
      <c r="O89" s="75">
        <v>10312380728.510599</v>
      </c>
      <c r="P89">
        <f>12890475910.6383*(0.8/0.96)</f>
        <v>10742063258.86525</v>
      </c>
      <c r="Q89">
        <v>29308</v>
      </c>
      <c r="R89">
        <v>141147444.47676301</v>
      </c>
      <c r="S89">
        <f>648.402950857916*(0.8/0.96)</f>
        <v>540.33579238159678</v>
      </c>
      <c r="T89">
        <v>37.157950708545002</v>
      </c>
      <c r="U89">
        <v>5.7689568168217198</v>
      </c>
      <c r="V89">
        <v>21.477435613143999</v>
      </c>
      <c r="W89">
        <v>11.8674985414397</v>
      </c>
      <c r="X89">
        <v>14.1068028932015</v>
      </c>
      <c r="Y89">
        <v>19.2868274285557</v>
      </c>
      <c r="Z89">
        <v>18.207801698141999</v>
      </c>
      <c r="AA89">
        <v>16.1287249787942</v>
      </c>
      <c r="AB89">
        <v>13.628477593610199</v>
      </c>
      <c r="AC89">
        <v>14.4356727463023</v>
      </c>
      <c r="AD89">
        <v>9.8435553203064607</v>
      </c>
      <c r="AE89">
        <v>17.117584762171699</v>
      </c>
      <c r="AF89">
        <v>8.4168095575645605</v>
      </c>
      <c r="AG89">
        <v>8.1103383737576298</v>
      </c>
      <c r="AH89">
        <v>2.4786942985228602</v>
      </c>
      <c r="AI89">
        <v>2.4786949395100399</v>
      </c>
      <c r="AJ89">
        <v>247.916666666667</v>
      </c>
      <c r="AK89">
        <v>9.4999999999999893</v>
      </c>
      <c r="AL89">
        <v>35290975517.731598</v>
      </c>
      <c r="AM89">
        <v>8092388581.6671696</v>
      </c>
      <c r="AN89">
        <v>6678.1514500000003</v>
      </c>
      <c r="AO89" s="69">
        <v>9730793511.2535591</v>
      </c>
      <c r="AP89">
        <v>2765659729.03827</v>
      </c>
      <c r="AQ89">
        <v>6678.1514500000003</v>
      </c>
      <c r="AR89" s="69">
        <v>110279500.780635</v>
      </c>
      <c r="AS89">
        <v>110279500.780635</v>
      </c>
      <c r="AT89">
        <v>4430.1654799999997</v>
      </c>
      <c r="AU89">
        <v>639910454.13693404</v>
      </c>
      <c r="AV89">
        <v>728.41886131806802</v>
      </c>
      <c r="AW89">
        <v>113.42460312167699</v>
      </c>
      <c r="AX89">
        <v>421.22993867691298</v>
      </c>
      <c r="AY89">
        <v>231.91469321891699</v>
      </c>
      <c r="AZ89">
        <v>279.62324492809302</v>
      </c>
      <c r="BA89">
        <v>381.045719501728</v>
      </c>
      <c r="BB89">
        <v>355.55483464281298</v>
      </c>
      <c r="BC89">
        <v>320.298125524554</v>
      </c>
      <c r="BD89">
        <v>267.93849477321299</v>
      </c>
      <c r="BE89">
        <v>287.96136079549899</v>
      </c>
      <c r="BF89">
        <v>191.02304518598299</v>
      </c>
      <c r="BG89">
        <v>337.57964689700401</v>
      </c>
      <c r="BH89">
        <v>164.565021495076</v>
      </c>
      <c r="BI89">
        <v>161.65525415428201</v>
      </c>
      <c r="BJ89">
        <v>48.072346561198202</v>
      </c>
      <c r="BK89">
        <v>48.072358414106297</v>
      </c>
      <c r="BL89">
        <v>168.47271050294199</v>
      </c>
      <c r="BM89">
        <v>26.1936788563237</v>
      </c>
      <c r="BN89">
        <v>97.416373177391606</v>
      </c>
      <c r="BO89">
        <v>53.855529244909299</v>
      </c>
      <c r="BP89">
        <v>63.939111613991599</v>
      </c>
      <c r="BQ89">
        <v>87.4793706923017</v>
      </c>
      <c r="BR89">
        <v>82.699667004675106</v>
      </c>
      <c r="BS89">
        <v>72.882043363653295</v>
      </c>
      <c r="BT89">
        <v>61.8816846755443</v>
      </c>
      <c r="BU89">
        <v>65.270162259421198</v>
      </c>
      <c r="BV89">
        <v>44.722727381988697</v>
      </c>
      <c r="BW89">
        <v>77.653471640628794</v>
      </c>
      <c r="BX89">
        <v>38.078928061142697</v>
      </c>
      <c r="BY89">
        <v>36.752930755105197</v>
      </c>
      <c r="BZ89">
        <v>11.2230116606883</v>
      </c>
      <c r="CA89">
        <v>11.223014680634201</v>
      </c>
      <c r="CB89">
        <v>29.6365619155874</v>
      </c>
      <c r="CC89">
        <v>2.7746029243085499</v>
      </c>
      <c r="CD89">
        <v>17.023652999891901</v>
      </c>
      <c r="CE89">
        <v>7.6054715613238804</v>
      </c>
      <c r="CF89">
        <v>12.629001132260401</v>
      </c>
      <c r="CG89">
        <v>16.571039945708101</v>
      </c>
      <c r="CH89">
        <v>15.0048278201307</v>
      </c>
      <c r="CI89">
        <v>13.350727586935999</v>
      </c>
      <c r="CJ89">
        <v>10.5386853386113</v>
      </c>
      <c r="CK89">
        <v>12.0306881936412</v>
      </c>
      <c r="CL89">
        <v>7.3315459858093401</v>
      </c>
      <c r="CM89">
        <v>14.235267634863201</v>
      </c>
      <c r="CN89">
        <v>6.8357458585427198</v>
      </c>
      <c r="CO89">
        <v>6.9038814203378198</v>
      </c>
      <c r="CP89">
        <v>2.28485707587412</v>
      </c>
      <c r="CQ89">
        <v>2.28485707587412</v>
      </c>
      <c r="CR89" s="1">
        <v>83039878.858649999</v>
      </c>
      <c r="CS89" s="1">
        <v>58365663.628205702</v>
      </c>
      <c r="CT89" s="1">
        <v>62551856.230474301</v>
      </c>
      <c r="CU89" s="1">
        <v>62351770.506349601</v>
      </c>
      <c r="CV89" s="1">
        <v>50858026.0702895</v>
      </c>
      <c r="CW89" s="1">
        <v>39818535.259508103</v>
      </c>
      <c r="CX89" s="1">
        <v>33869801.693899803</v>
      </c>
      <c r="CY89" s="1">
        <v>39889093.111626796</v>
      </c>
      <c r="CZ89" s="1">
        <v>38767038.2731231</v>
      </c>
      <c r="DA89" s="1">
        <v>32722873.3815604</v>
      </c>
      <c r="DB89" s="1">
        <v>29063884.3848712</v>
      </c>
      <c r="DC89" s="1">
        <v>26695326.1078826</v>
      </c>
      <c r="DD89" s="1">
        <v>22435822.179370798</v>
      </c>
      <c r="DE89" s="1">
        <v>20503174.753350299</v>
      </c>
      <c r="DF89" s="1">
        <v>15742563.741738999</v>
      </c>
      <c r="DG89" s="1">
        <v>15659412.006061399</v>
      </c>
      <c r="DH89" s="1">
        <v>2076364537.17329</v>
      </c>
      <c r="DI89" s="1">
        <v>1466479291.71101</v>
      </c>
      <c r="DJ89" s="1">
        <v>1572616161.59514</v>
      </c>
      <c r="DK89" s="1">
        <v>1577584208.58692</v>
      </c>
      <c r="DL89" s="1">
        <v>1290695967.84073</v>
      </c>
      <c r="DM89" s="1">
        <v>1016752347.19258</v>
      </c>
      <c r="DN89" s="1">
        <v>862966860.62522495</v>
      </c>
      <c r="DO89" s="1">
        <v>1017070631.1263601</v>
      </c>
      <c r="DP89" s="1">
        <v>979544344.93892598</v>
      </c>
      <c r="DQ89" s="1">
        <v>833712845.11140597</v>
      </c>
      <c r="DR89" s="1">
        <v>739834846.34119499</v>
      </c>
      <c r="DS89" s="1">
        <v>683320364.31550002</v>
      </c>
      <c r="DT89" s="1">
        <v>569246249.01137805</v>
      </c>
      <c r="DU89" s="1">
        <v>520521917.97291201</v>
      </c>
      <c r="DV89" s="1">
        <v>401800949.99697697</v>
      </c>
      <c r="DW89" s="1">
        <v>405464130.722866</v>
      </c>
    </row>
    <row r="90" spans="1:127" x14ac:dyDescent="0.25">
      <c r="A90" t="s">
        <v>117</v>
      </c>
      <c r="B90">
        <v>40.43</v>
      </c>
      <c r="C90">
        <v>-109.52</v>
      </c>
      <c r="D90">
        <v>-20</v>
      </c>
      <c r="E90">
        <v>-17.5</v>
      </c>
      <c r="F90">
        <v>33.9</v>
      </c>
      <c r="G90">
        <v>15.9</v>
      </c>
      <c r="H90">
        <v>32.6</v>
      </c>
      <c r="I90">
        <v>15.5</v>
      </c>
      <c r="J90">
        <v>33.75</v>
      </c>
      <c r="K90">
        <v>0</v>
      </c>
      <c r="L90">
        <v>8152988916.4146004</v>
      </c>
      <c r="M90">
        <v>1981621736.4168</v>
      </c>
      <c r="N90">
        <v>4626.9781499999999</v>
      </c>
      <c r="O90" s="75">
        <v>40034079209.694099</v>
      </c>
      <c r="P90">
        <f>50042599012.1173*(0.8/0.96)</f>
        <v>41702165843.431084</v>
      </c>
      <c r="Q90">
        <v>29308</v>
      </c>
      <c r="R90">
        <v>405105917.174896</v>
      </c>
      <c r="S90">
        <f>2517.18936469037*(0.8/0.96)</f>
        <v>2097.6578039086417</v>
      </c>
      <c r="T90">
        <v>105.36373422212399</v>
      </c>
      <c r="U90">
        <v>16.9344831131083</v>
      </c>
      <c r="V90">
        <v>62.510297760830902</v>
      </c>
      <c r="W90">
        <v>32.616358818954701</v>
      </c>
      <c r="X90">
        <v>40.594852358749499</v>
      </c>
      <c r="Y90">
        <v>54.973681916645397</v>
      </c>
      <c r="Z90">
        <v>53.747657203953203</v>
      </c>
      <c r="AA90">
        <v>44.407742530315602</v>
      </c>
      <c r="AB90">
        <v>39.2794697226865</v>
      </c>
      <c r="AC90">
        <v>40.112853151732303</v>
      </c>
      <c r="AD90">
        <v>29.1591038594396</v>
      </c>
      <c r="AE90">
        <v>47.668790934601901</v>
      </c>
      <c r="AF90">
        <v>25.461153318537502</v>
      </c>
      <c r="AG90">
        <v>23.106749513330001</v>
      </c>
      <c r="AH90">
        <v>7.4947906880000401</v>
      </c>
      <c r="AI90">
        <v>7.4947963409601597</v>
      </c>
      <c r="AJ90">
        <v>33.6666666666666</v>
      </c>
      <c r="AK90">
        <v>20</v>
      </c>
      <c r="AL90">
        <v>8145961329.2097797</v>
      </c>
      <c r="AM90">
        <v>1377904636.6961401</v>
      </c>
      <c r="AN90">
        <v>4626.9781499999999</v>
      </c>
      <c r="AO90" s="69">
        <v>32897455237.424198</v>
      </c>
      <c r="AP90">
        <v>12425383090.8641</v>
      </c>
      <c r="AQ90">
        <v>4626.9781499999999</v>
      </c>
      <c r="AR90" s="69">
        <v>5075268573.6670799</v>
      </c>
      <c r="AS90">
        <v>5075268573.6670799</v>
      </c>
      <c r="AT90">
        <v>8358.0573600000007</v>
      </c>
      <c r="AU90">
        <v>2606566046.8371401</v>
      </c>
      <c r="AV90">
        <v>3235.44319217972</v>
      </c>
      <c r="AW90">
        <v>513.98674606407701</v>
      </c>
      <c r="AX90">
        <v>1923.1332630919801</v>
      </c>
      <c r="AY90">
        <v>1005.2546092167501</v>
      </c>
      <c r="AZ90">
        <v>1251.1795979297401</v>
      </c>
      <c r="BA90">
        <v>1705.41238824573</v>
      </c>
      <c r="BB90">
        <v>1655.3734474916901</v>
      </c>
      <c r="BC90">
        <v>1371.8306692565</v>
      </c>
      <c r="BD90">
        <v>1213.9069314575099</v>
      </c>
      <c r="BE90">
        <v>1240.08692823052</v>
      </c>
      <c r="BF90">
        <v>892.414918263309</v>
      </c>
      <c r="BG90">
        <v>1476.26857191155</v>
      </c>
      <c r="BH90">
        <v>774.21913841426306</v>
      </c>
      <c r="BI90">
        <v>717.66341202414196</v>
      </c>
      <c r="BJ90">
        <v>228.38899609671401</v>
      </c>
      <c r="BK90">
        <v>228.389208782998</v>
      </c>
      <c r="BL90">
        <v>677.49242591038603</v>
      </c>
      <c r="BM90">
        <v>110.040882014793</v>
      </c>
      <c r="BN90">
        <v>401.75450357507702</v>
      </c>
      <c r="BO90">
        <v>210.266616434041</v>
      </c>
      <c r="BP90">
        <v>260.163773368222</v>
      </c>
      <c r="BQ90">
        <v>353.037491623969</v>
      </c>
      <c r="BR90">
        <v>345.99424678538401</v>
      </c>
      <c r="BS90">
        <v>284.94797935565401</v>
      </c>
      <c r="BT90">
        <v>252.73921568716599</v>
      </c>
      <c r="BU90">
        <v>256.51163559334202</v>
      </c>
      <c r="BV90">
        <v>188.15215342812601</v>
      </c>
      <c r="BW90">
        <v>306.97766018347897</v>
      </c>
      <c r="BX90">
        <v>164.13770743565499</v>
      </c>
      <c r="BY90">
        <v>148.250565913321</v>
      </c>
      <c r="BZ90">
        <v>48.146431420569698</v>
      </c>
      <c r="CA90">
        <v>48.146466436229801</v>
      </c>
      <c r="CB90">
        <v>1346.51879155096</v>
      </c>
      <c r="CC90">
        <v>188.26289063899401</v>
      </c>
      <c r="CD90">
        <v>783.28354947856894</v>
      </c>
      <c r="CE90">
        <v>402.14024031326198</v>
      </c>
      <c r="CF90">
        <v>562.72466215685097</v>
      </c>
      <c r="CG90">
        <v>744.99210226617504</v>
      </c>
      <c r="CH90">
        <v>658.62546363048</v>
      </c>
      <c r="CI90">
        <v>599.15598459679097</v>
      </c>
      <c r="CJ90">
        <v>514.65396171493398</v>
      </c>
      <c r="CK90">
        <v>577.13421881857403</v>
      </c>
      <c r="CL90">
        <v>346.32459408123299</v>
      </c>
      <c r="CM90">
        <v>655.12769497015097</v>
      </c>
      <c r="CN90">
        <v>295.41770400222902</v>
      </c>
      <c r="CO90">
        <v>326.19332994539798</v>
      </c>
      <c r="CP90">
        <v>91.3412396937876</v>
      </c>
      <c r="CQ90">
        <v>91.341241519701498</v>
      </c>
      <c r="CR90" s="1">
        <v>242299152.69332999</v>
      </c>
      <c r="CS90" s="1">
        <v>164703720.250155</v>
      </c>
      <c r="CT90" s="1">
        <v>177274654.15773299</v>
      </c>
      <c r="CU90" s="1">
        <v>168521019.17798901</v>
      </c>
      <c r="CV90" s="1">
        <v>134297180.43605101</v>
      </c>
      <c r="CW90" s="1">
        <v>107837333.87901799</v>
      </c>
      <c r="CX90" s="1">
        <v>93960874.926839098</v>
      </c>
      <c r="CY90" s="1">
        <v>110205977.570545</v>
      </c>
      <c r="CZ90" s="1">
        <v>107435754.86564299</v>
      </c>
      <c r="DA90" s="1">
        <v>88129599.397619203</v>
      </c>
      <c r="DB90" s="1">
        <v>78327677.557933301</v>
      </c>
      <c r="DC90" s="1">
        <v>70011456.187744096</v>
      </c>
      <c r="DD90" s="1">
        <v>58311699.855791099</v>
      </c>
      <c r="DE90" s="1">
        <v>53255724.803910002</v>
      </c>
      <c r="DF90" s="1">
        <v>39060788.963906802</v>
      </c>
      <c r="DG90" s="1">
        <v>39862808.806179799</v>
      </c>
      <c r="DH90" s="1">
        <v>12051855527.380699</v>
      </c>
      <c r="DI90" s="1">
        <v>8343420348.20224</v>
      </c>
      <c r="DJ90" s="1">
        <v>8942507791.8990707</v>
      </c>
      <c r="DK90" s="1">
        <v>8631120506.7383499</v>
      </c>
      <c r="DL90" s="1">
        <v>6982177602.5437698</v>
      </c>
      <c r="DM90" s="1">
        <v>5757499819.9084301</v>
      </c>
      <c r="DN90" s="1">
        <v>4983276390.8875904</v>
      </c>
      <c r="DO90" s="1">
        <v>5776533079.60427</v>
      </c>
      <c r="DP90" s="1">
        <v>5612345334.0918798</v>
      </c>
      <c r="DQ90" s="1">
        <v>4740770026.2117796</v>
      </c>
      <c r="DR90" s="1">
        <v>4105084745.1336699</v>
      </c>
      <c r="DS90" s="1">
        <v>3628144676.6898899</v>
      </c>
      <c r="DT90" s="1">
        <v>3116078083.3973899</v>
      </c>
      <c r="DU90" s="1">
        <v>2830774650.8532701</v>
      </c>
      <c r="DV90" s="1">
        <v>2096449349.7776999</v>
      </c>
      <c r="DW90" s="1">
        <v>2169586882.4361501</v>
      </c>
    </row>
    <row r="91" spans="1:127" x14ac:dyDescent="0.25">
      <c r="A91" t="s">
        <v>118</v>
      </c>
      <c r="B91">
        <v>36.9</v>
      </c>
      <c r="C91">
        <v>-76.2</v>
      </c>
      <c r="D91">
        <v>-5.3</v>
      </c>
      <c r="E91">
        <v>-3.2</v>
      </c>
      <c r="F91">
        <v>34.299999999999997</v>
      </c>
      <c r="G91">
        <v>24.8</v>
      </c>
      <c r="H91">
        <v>33</v>
      </c>
      <c r="I91">
        <v>24.4</v>
      </c>
      <c r="J91">
        <v>4.4166666666666599</v>
      </c>
      <c r="K91">
        <v>0</v>
      </c>
      <c r="L91">
        <v>9846044605.2804108</v>
      </c>
      <c r="M91">
        <v>2181775493.7635498</v>
      </c>
      <c r="N91">
        <v>5557.2416300000004</v>
      </c>
      <c r="O91" s="75">
        <v>28788838909.1077</v>
      </c>
      <c r="P91">
        <f>35986048636.3846*(0.8/0.96)</f>
        <v>29988373863.653831</v>
      </c>
      <c r="Q91">
        <v>29308</v>
      </c>
      <c r="R91">
        <v>259830388.931748</v>
      </c>
      <c r="S91">
        <f>1810.13178158081*(0.8/0.96)</f>
        <v>1508.4431513173417</v>
      </c>
      <c r="T91">
        <v>29.360655780234399</v>
      </c>
      <c r="U91">
        <v>5.0341476241316299</v>
      </c>
      <c r="V91">
        <v>10.0946522093122</v>
      </c>
      <c r="W91">
        <v>13.800077467827199</v>
      </c>
      <c r="X91">
        <v>4.4012408710880804</v>
      </c>
      <c r="Y91">
        <v>8.3017921904532805</v>
      </c>
      <c r="Z91">
        <v>4.4536986617886596</v>
      </c>
      <c r="AA91">
        <v>10.4342479530234</v>
      </c>
      <c r="AB91">
        <v>6.4208382832982398</v>
      </c>
      <c r="AC91">
        <v>14.1594038236674</v>
      </c>
      <c r="AD91">
        <v>4.9963557900339497</v>
      </c>
      <c r="AE91">
        <v>7.2758455854067803</v>
      </c>
      <c r="AF91">
        <v>4.5306496407306804</v>
      </c>
      <c r="AG91">
        <v>7.1031153381629704</v>
      </c>
      <c r="AH91">
        <v>8.0420113597308092</v>
      </c>
      <c r="AI91">
        <v>8.0420113597308092</v>
      </c>
      <c r="AJ91">
        <v>4.25</v>
      </c>
      <c r="AK91">
        <v>10.3333333333333</v>
      </c>
      <c r="AL91">
        <v>9860013663.9934006</v>
      </c>
      <c r="AM91">
        <v>1467382376.2636099</v>
      </c>
      <c r="AN91">
        <v>5557.2416300000004</v>
      </c>
      <c r="AO91" s="69">
        <v>27116642894.833302</v>
      </c>
      <c r="AP91">
        <v>7719134497.66432</v>
      </c>
      <c r="AQ91">
        <v>5557.2416300000004</v>
      </c>
      <c r="AR91" s="69">
        <v>604248874.76716197</v>
      </c>
      <c r="AS91">
        <v>604248874.76716197</v>
      </c>
      <c r="AT91">
        <v>5427.8786899999996</v>
      </c>
      <c r="AU91">
        <v>1426484629.4899499</v>
      </c>
      <c r="AV91">
        <v>912.65647648319305</v>
      </c>
      <c r="AW91">
        <v>151.18007756702599</v>
      </c>
      <c r="AX91">
        <v>312.84559213045998</v>
      </c>
      <c r="AY91">
        <v>423.11909075147298</v>
      </c>
      <c r="AZ91">
        <v>133.204117953555</v>
      </c>
      <c r="BA91">
        <v>252.580320960569</v>
      </c>
      <c r="BB91">
        <v>136.67169336702599</v>
      </c>
      <c r="BC91">
        <v>318.33794997851197</v>
      </c>
      <c r="BD91">
        <v>198.34910776757201</v>
      </c>
      <c r="BE91">
        <v>436.03852253997002</v>
      </c>
      <c r="BF91">
        <v>150.65244173207</v>
      </c>
      <c r="BG91">
        <v>224.68753607176001</v>
      </c>
      <c r="BH91">
        <v>141.549409719842</v>
      </c>
      <c r="BI91">
        <v>220.82097052840999</v>
      </c>
      <c r="BJ91">
        <v>251.23884129286299</v>
      </c>
      <c r="BK91">
        <v>251.23884129286299</v>
      </c>
      <c r="BL91">
        <v>163.04493670201299</v>
      </c>
      <c r="BM91">
        <v>27.690483054621101</v>
      </c>
      <c r="BN91">
        <v>55.854588841700298</v>
      </c>
      <c r="BO91">
        <v>76.309879453455807</v>
      </c>
      <c r="BP91">
        <v>24.267765766293799</v>
      </c>
      <c r="BQ91">
        <v>45.910690846808897</v>
      </c>
      <c r="BR91">
        <v>24.4992543346108</v>
      </c>
      <c r="BS91">
        <v>57.595058747499202</v>
      </c>
      <c r="BT91">
        <v>35.533551115584899</v>
      </c>
      <c r="BU91">
        <v>78.126493424089105</v>
      </c>
      <c r="BV91">
        <v>27.511636978522699</v>
      </c>
      <c r="BW91">
        <v>40.296538544865797</v>
      </c>
      <c r="BX91">
        <v>25.101437305585598</v>
      </c>
      <c r="BY91">
        <v>39.378548741303199</v>
      </c>
      <c r="BZ91">
        <v>44.546245536571398</v>
      </c>
      <c r="CA91">
        <v>44.546245536571398</v>
      </c>
      <c r="CB91">
        <v>84.826980434660399</v>
      </c>
      <c r="CC91">
        <v>12.437363136129401</v>
      </c>
      <c r="CD91">
        <v>26.861398320231</v>
      </c>
      <c r="CE91">
        <v>36.713323307461998</v>
      </c>
      <c r="CF91">
        <v>11.2037613590054</v>
      </c>
      <c r="CG91">
        <v>18.4461449559297</v>
      </c>
      <c r="CH91">
        <v>10.04501560842</v>
      </c>
      <c r="CI91">
        <v>22.714516461748701</v>
      </c>
      <c r="CJ91">
        <v>16.7839880852375</v>
      </c>
      <c r="CK91">
        <v>34.922527590457499</v>
      </c>
      <c r="CL91">
        <v>12.0410257050263</v>
      </c>
      <c r="CM91">
        <v>19.571445006475201</v>
      </c>
      <c r="CN91">
        <v>11.8204023987225</v>
      </c>
      <c r="CO91">
        <v>21.266764495163901</v>
      </c>
      <c r="CP91">
        <v>18.806415056888699</v>
      </c>
      <c r="CQ91">
        <v>18.806415056888699</v>
      </c>
      <c r="CR91" s="1">
        <v>259349421.29166999</v>
      </c>
      <c r="CS91" s="1">
        <v>251308280.482364</v>
      </c>
      <c r="CT91" s="1">
        <v>245416013.845732</v>
      </c>
      <c r="CU91" s="1">
        <v>179262667.827066</v>
      </c>
      <c r="CV91" s="1">
        <v>166041590.883589</v>
      </c>
      <c r="CW91" s="1">
        <v>144450181.613796</v>
      </c>
      <c r="CX91" s="1">
        <v>135403207.45141199</v>
      </c>
      <c r="CY91" s="1">
        <v>99359144.760242894</v>
      </c>
      <c r="CZ91" s="1">
        <v>87311788.766751006</v>
      </c>
      <c r="DA91" s="1">
        <v>72955028.0081314</v>
      </c>
      <c r="DB91" s="1">
        <v>87168867.813419193</v>
      </c>
      <c r="DC91" s="1">
        <v>69051458.992929503</v>
      </c>
      <c r="DD91" s="1">
        <v>70680273.015563294</v>
      </c>
      <c r="DE91" s="1">
        <v>0</v>
      </c>
      <c r="DF91" s="1">
        <v>0</v>
      </c>
      <c r="DG91" s="1">
        <v>0</v>
      </c>
      <c r="DH91" s="1">
        <v>9721024537.8439407</v>
      </c>
      <c r="DI91" s="1">
        <v>9445038639.9861202</v>
      </c>
      <c r="DJ91" s="1">
        <v>9276572498.8740692</v>
      </c>
      <c r="DK91" s="1">
        <v>6823980169.8510799</v>
      </c>
      <c r="DL91" s="1">
        <v>6338960340.8507204</v>
      </c>
      <c r="DM91" s="1">
        <v>5600138561.6886902</v>
      </c>
      <c r="DN91" s="1">
        <v>5265594373.0948896</v>
      </c>
      <c r="DO91" s="1">
        <v>3880938986.2189202</v>
      </c>
      <c r="DP91" s="1">
        <v>3397334279.8895202</v>
      </c>
      <c r="DQ91" s="1">
        <v>2884290375.81984</v>
      </c>
      <c r="DR91" s="1">
        <v>3406655470.9491601</v>
      </c>
      <c r="DS91" s="1">
        <v>2716445072.8253002</v>
      </c>
      <c r="DT91" s="1">
        <v>2808470316.2997699</v>
      </c>
      <c r="DU91" s="1">
        <v>0</v>
      </c>
      <c r="DV91" s="1">
        <v>0</v>
      </c>
      <c r="DW91" s="1">
        <v>0</v>
      </c>
    </row>
    <row r="92" spans="1:127" x14ac:dyDescent="0.25">
      <c r="A92" t="s">
        <v>119</v>
      </c>
      <c r="B92">
        <v>44.47</v>
      </c>
      <c r="C92">
        <v>-73.150000000000006</v>
      </c>
      <c r="D92">
        <v>-22.1</v>
      </c>
      <c r="E92">
        <v>-19.3</v>
      </c>
      <c r="F92">
        <v>31.4</v>
      </c>
      <c r="G92">
        <v>21.9</v>
      </c>
      <c r="H92">
        <v>29.7</v>
      </c>
      <c r="I92">
        <v>21.1</v>
      </c>
      <c r="J92">
        <v>8.3333333333333301E-2</v>
      </c>
      <c r="K92">
        <v>0</v>
      </c>
      <c r="L92">
        <v>819253480.48976302</v>
      </c>
      <c r="M92">
        <v>187516379.814897</v>
      </c>
      <c r="N92">
        <v>5587.7171099999996</v>
      </c>
      <c r="O92" s="75">
        <v>64981921727.4963</v>
      </c>
      <c r="P92">
        <f>81227402159.3707*(0.8/0.96)</f>
        <v>67689501799.475586</v>
      </c>
      <c r="Q92">
        <v>29308</v>
      </c>
      <c r="R92">
        <v>644496456.37970805</v>
      </c>
      <c r="S92">
        <f>4085.81402391763*(0.8/0.96)</f>
        <v>3404.8450199313584</v>
      </c>
      <c r="T92">
        <v>49.8494833244334</v>
      </c>
      <c r="U92">
        <v>1.33163303896269</v>
      </c>
      <c r="V92">
        <v>1.96674830634715</v>
      </c>
      <c r="W92">
        <v>0.58486354305445498</v>
      </c>
      <c r="X92">
        <v>1.9546706427263101</v>
      </c>
      <c r="Y92">
        <v>0.348277082373606</v>
      </c>
      <c r="Z92">
        <v>0.27462966966003299</v>
      </c>
      <c r="AA92">
        <v>0.394503563321002</v>
      </c>
      <c r="AB92">
        <v>0.77920800594692996</v>
      </c>
      <c r="AC92">
        <v>0.44410511424688498</v>
      </c>
      <c r="AD92">
        <v>6.97840493522071</v>
      </c>
      <c r="AE92">
        <v>4.3447907295226704</v>
      </c>
      <c r="AF92">
        <v>3.6029622607310499</v>
      </c>
      <c r="AG92">
        <v>0.62304200439253898</v>
      </c>
      <c r="AH92">
        <v>0.99852219368532003</v>
      </c>
      <c r="AI92">
        <v>0.99852173935565303</v>
      </c>
      <c r="AJ92">
        <v>8.3333333333333301E-2</v>
      </c>
      <c r="AK92">
        <v>27.833333333333201</v>
      </c>
      <c r="AL92">
        <v>821191947.64171803</v>
      </c>
      <c r="AM92">
        <v>131973146.04457401</v>
      </c>
      <c r="AN92">
        <v>5587.7171099999996</v>
      </c>
      <c r="AO92" s="69">
        <v>50029671540.823502</v>
      </c>
      <c r="AP92">
        <v>18400404974.251099</v>
      </c>
      <c r="AQ92">
        <v>5587.7171099999996</v>
      </c>
      <c r="AR92" s="69">
        <v>12355225139.3505</v>
      </c>
      <c r="AS92">
        <v>12355225139.3505</v>
      </c>
      <c r="AT92">
        <v>9829.5398700000005</v>
      </c>
      <c r="AU92">
        <v>3383315993.1126599</v>
      </c>
      <c r="AV92">
        <v>1436.4044285750001</v>
      </c>
      <c r="AW92">
        <v>37.623910947516798</v>
      </c>
      <c r="AX92">
        <v>58.353487412205801</v>
      </c>
      <c r="AY92">
        <v>17.274861020570999</v>
      </c>
      <c r="AZ92">
        <v>58.219957586539103</v>
      </c>
      <c r="BA92">
        <v>10.193650186794001</v>
      </c>
      <c r="BB92">
        <v>7.52255010905938</v>
      </c>
      <c r="BC92">
        <v>11.0164787095419</v>
      </c>
      <c r="BD92">
        <v>21.727195505128499</v>
      </c>
      <c r="BE92">
        <v>13.390363599695799</v>
      </c>
      <c r="BF92">
        <v>205.58861113326699</v>
      </c>
      <c r="BG92">
        <v>127.390302165782</v>
      </c>
      <c r="BH92">
        <v>102.299681419767</v>
      </c>
      <c r="BI92">
        <v>18.261291129381299</v>
      </c>
      <c r="BJ92">
        <v>29.637902691937398</v>
      </c>
      <c r="BK92">
        <v>29.637865000694202</v>
      </c>
      <c r="BL92">
        <v>263.63159738858798</v>
      </c>
      <c r="BM92">
        <v>6.9720048718206202</v>
      </c>
      <c r="BN92">
        <v>10.4857319331872</v>
      </c>
      <c r="BO92">
        <v>3.1031528359837899</v>
      </c>
      <c r="BP92">
        <v>10.3049970694841</v>
      </c>
      <c r="BQ92">
        <v>1.82300203709583</v>
      </c>
      <c r="BR92">
        <v>1.42478756312364</v>
      </c>
      <c r="BS92">
        <v>2.0380196163999802</v>
      </c>
      <c r="BT92">
        <v>4.1550177441927696</v>
      </c>
      <c r="BU92">
        <v>2.4199470942073198</v>
      </c>
      <c r="BV92">
        <v>37.304066696982602</v>
      </c>
      <c r="BW92">
        <v>22.987073018614801</v>
      </c>
      <c r="BX92">
        <v>18.788124236925299</v>
      </c>
      <c r="BY92">
        <v>3.2918207412078</v>
      </c>
      <c r="BZ92">
        <v>5.3696121033468698</v>
      </c>
      <c r="CA92">
        <v>5.3696098557177496</v>
      </c>
      <c r="CB92">
        <v>950.32958616415397</v>
      </c>
      <c r="CC92">
        <v>26.851783784961999</v>
      </c>
      <c r="CD92">
        <v>34.870374630268401</v>
      </c>
      <c r="CE92">
        <v>10.8685923086515</v>
      </c>
      <c r="CF92">
        <v>42.2524681208548</v>
      </c>
      <c r="CG92">
        <v>7.4904655054576104</v>
      </c>
      <c r="CH92">
        <v>4.1785017333019399</v>
      </c>
      <c r="CI92">
        <v>8.2655618608425794</v>
      </c>
      <c r="CJ92">
        <v>9.1880392079085205</v>
      </c>
      <c r="CK92">
        <v>5.6764343654692704</v>
      </c>
      <c r="CL92">
        <v>123.12058856477699</v>
      </c>
      <c r="CM92">
        <v>76.539754105469598</v>
      </c>
      <c r="CN92">
        <v>75.521345860586806</v>
      </c>
      <c r="CO92">
        <v>10.273218788499699</v>
      </c>
      <c r="CP92">
        <v>15.756207264376901</v>
      </c>
      <c r="CQ92">
        <v>15.756207264376901</v>
      </c>
      <c r="CR92" s="1">
        <v>0</v>
      </c>
      <c r="CS92" s="1">
        <v>0</v>
      </c>
      <c r="CT92" s="1">
        <v>0</v>
      </c>
      <c r="CU92" s="1">
        <v>0</v>
      </c>
      <c r="CV92" s="1">
        <v>0</v>
      </c>
      <c r="CW92" s="1">
        <v>0</v>
      </c>
      <c r="CX92" s="1">
        <v>0</v>
      </c>
      <c r="CY92" s="1">
        <v>0</v>
      </c>
      <c r="CZ92" s="1">
        <v>0</v>
      </c>
      <c r="DA92" s="1">
        <v>0</v>
      </c>
      <c r="DB92" s="1">
        <v>0</v>
      </c>
      <c r="DC92" s="1">
        <v>0</v>
      </c>
      <c r="DD92" s="1">
        <v>182819.09772372199</v>
      </c>
      <c r="DE92" s="1">
        <v>136411.25781442499</v>
      </c>
      <c r="DF92" s="1">
        <v>31356.940223195499</v>
      </c>
      <c r="DG92" s="1">
        <v>31041.043586187599</v>
      </c>
      <c r="DH92" s="1">
        <v>0</v>
      </c>
      <c r="DI92" s="1">
        <v>0</v>
      </c>
      <c r="DJ92" s="1">
        <v>0</v>
      </c>
      <c r="DK92" s="1">
        <v>0</v>
      </c>
      <c r="DL92" s="1">
        <v>0</v>
      </c>
      <c r="DM92" s="1">
        <v>0</v>
      </c>
      <c r="DN92" s="1">
        <v>0</v>
      </c>
      <c r="DO92" s="1">
        <v>0</v>
      </c>
      <c r="DP92" s="1">
        <v>0</v>
      </c>
      <c r="DQ92" s="1">
        <v>0</v>
      </c>
      <c r="DR92" s="1">
        <v>0</v>
      </c>
      <c r="DS92" s="1">
        <v>0</v>
      </c>
      <c r="DT92" s="1">
        <v>9169561.5513316691</v>
      </c>
      <c r="DU92" s="1">
        <v>8094447.3007697202</v>
      </c>
      <c r="DV92" s="1">
        <v>2366404.2255479898</v>
      </c>
      <c r="DW92" s="1">
        <v>2342591.3627985199</v>
      </c>
    </row>
    <row r="93" spans="1:127" x14ac:dyDescent="0.25">
      <c r="A93" t="s">
        <v>120</v>
      </c>
      <c r="B93">
        <v>47.47</v>
      </c>
      <c r="C93">
        <v>-122.32</v>
      </c>
      <c r="D93">
        <v>-3.8</v>
      </c>
      <c r="E93">
        <v>-1.3</v>
      </c>
      <c r="F93">
        <v>29.6</v>
      </c>
      <c r="G93">
        <v>18.399999999999999</v>
      </c>
      <c r="H93">
        <v>27.6</v>
      </c>
      <c r="I93">
        <v>17.600000000000001</v>
      </c>
      <c r="J93">
        <v>11.1666666666666</v>
      </c>
      <c r="K93">
        <v>0</v>
      </c>
      <c r="L93">
        <v>1799985830.45521</v>
      </c>
      <c r="M93">
        <v>387438785.750166</v>
      </c>
      <c r="N93">
        <v>3267.1764600000001</v>
      </c>
      <c r="O93" s="75">
        <v>26484539572.857498</v>
      </c>
      <c r="P93">
        <f>33105674466.0718*(0.8/0.96)</f>
        <v>27588062055.059834</v>
      </c>
      <c r="Q93">
        <v>29308</v>
      </c>
      <c r="R93">
        <v>172939157.94704801</v>
      </c>
      <c r="S93">
        <f>1665.24627661164*(0.8/0.96)</f>
        <v>1387.7052305097002</v>
      </c>
      <c r="T93">
        <v>7.44763681357722</v>
      </c>
      <c r="U93">
        <v>6.9004581812292498</v>
      </c>
      <c r="V93">
        <v>4.6164292145161996</v>
      </c>
      <c r="W93">
        <v>4.5886809241542101</v>
      </c>
      <c r="X93">
        <v>4.7122027639324404</v>
      </c>
      <c r="Y93">
        <v>9.8673051628778303</v>
      </c>
      <c r="Z93">
        <v>8.3553698960065397</v>
      </c>
      <c r="AA93">
        <v>8.0960593085914603</v>
      </c>
      <c r="AB93">
        <v>2.3139642447087598</v>
      </c>
      <c r="AC93">
        <v>2.22565396147544</v>
      </c>
      <c r="AD93">
        <v>7.94660021911751</v>
      </c>
      <c r="AE93">
        <v>2.86381507112739</v>
      </c>
      <c r="AF93">
        <v>5.1140977316963498</v>
      </c>
      <c r="AG93">
        <v>7.7511173555608996</v>
      </c>
      <c r="AH93">
        <v>7.6232328026902998</v>
      </c>
      <c r="AI93">
        <v>7.6232068073732897</v>
      </c>
      <c r="AJ93">
        <v>11.1666666666666</v>
      </c>
      <c r="AK93">
        <v>18.25</v>
      </c>
      <c r="AL93">
        <v>1810248501.0015099</v>
      </c>
      <c r="AM93">
        <v>238336170.68092301</v>
      </c>
      <c r="AN93">
        <v>3267.1764600000001</v>
      </c>
      <c r="AO93" s="69">
        <v>24049830837.092701</v>
      </c>
      <c r="AP93">
        <v>6392280216.6208696</v>
      </c>
      <c r="AQ93">
        <v>3267.1764600000001</v>
      </c>
      <c r="AR93" s="69">
        <v>1181937905.7405701</v>
      </c>
      <c r="AS93">
        <v>1181937905.7405701</v>
      </c>
      <c r="AT93">
        <v>4749.5635199999997</v>
      </c>
      <c r="AU93">
        <v>1555752029.7534001</v>
      </c>
      <c r="AV93">
        <v>272.518537552189</v>
      </c>
      <c r="AW93">
        <v>257.65479893608801</v>
      </c>
      <c r="AX93">
        <v>176.87570361033099</v>
      </c>
      <c r="AY93">
        <v>176.32401128787899</v>
      </c>
      <c r="AZ93">
        <v>180.174326661994</v>
      </c>
      <c r="BA93">
        <v>375.365512491277</v>
      </c>
      <c r="BB93">
        <v>316.53685712209</v>
      </c>
      <c r="BC93">
        <v>307.35280341000799</v>
      </c>
      <c r="BD93">
        <v>87.435256399306496</v>
      </c>
      <c r="BE93">
        <v>85.567278613757793</v>
      </c>
      <c r="BF93">
        <v>301.06583242742801</v>
      </c>
      <c r="BG93">
        <v>108.096782887214</v>
      </c>
      <c r="BH93">
        <v>193.664266917085</v>
      </c>
      <c r="BI93">
        <v>295.78560808013901</v>
      </c>
      <c r="BJ93">
        <v>289.56788111306901</v>
      </c>
      <c r="BK93">
        <v>289.56767989167298</v>
      </c>
      <c r="BL93">
        <v>66.898929659724999</v>
      </c>
      <c r="BM93">
        <v>62.394277860222701</v>
      </c>
      <c r="BN93">
        <v>42.080249782623603</v>
      </c>
      <c r="BO93">
        <v>41.867872688069802</v>
      </c>
      <c r="BP93">
        <v>42.9307860388259</v>
      </c>
      <c r="BQ93">
        <v>89.618115394538506</v>
      </c>
      <c r="BR93">
        <v>75.845093481856296</v>
      </c>
      <c r="BS93">
        <v>73.491381014334607</v>
      </c>
      <c r="BT93">
        <v>20.930290034601999</v>
      </c>
      <c r="BU93">
        <v>20.2865238197449</v>
      </c>
      <c r="BV93">
        <v>72.139289006633106</v>
      </c>
      <c r="BW93">
        <v>25.881467339167301</v>
      </c>
      <c r="BX93">
        <v>46.367548649392397</v>
      </c>
      <c r="BY93">
        <v>70.195422784946103</v>
      </c>
      <c r="BZ93">
        <v>69.4301457204039</v>
      </c>
      <c r="CA93">
        <v>69.430027241693097</v>
      </c>
      <c r="CB93">
        <v>48.228200878566099</v>
      </c>
      <c r="CC93">
        <v>48.368349083896902</v>
      </c>
      <c r="CD93">
        <v>35.319350445657399</v>
      </c>
      <c r="CE93">
        <v>35.980387340704901</v>
      </c>
      <c r="CF93">
        <v>35.904754943395801</v>
      </c>
      <c r="CG93">
        <v>73.961652470228699</v>
      </c>
      <c r="CH93">
        <v>60.849782749268599</v>
      </c>
      <c r="CI93">
        <v>60.350353767686599</v>
      </c>
      <c r="CJ93">
        <v>18.101710572096799</v>
      </c>
      <c r="CK93">
        <v>18.082199950390599</v>
      </c>
      <c r="CL93">
        <v>57.745004123714303</v>
      </c>
      <c r="CM93">
        <v>22.161816031574599</v>
      </c>
      <c r="CN93">
        <v>38.226315673615296</v>
      </c>
      <c r="CO93">
        <v>63.140750479976802</v>
      </c>
      <c r="CP93">
        <v>52.002107326457597</v>
      </c>
      <c r="CQ93">
        <v>52.002418853570497</v>
      </c>
      <c r="CR93" s="1">
        <v>31509893.150287401</v>
      </c>
      <c r="CS93" s="1">
        <v>26874423.296428598</v>
      </c>
      <c r="CT93" s="1">
        <v>20081428.8389486</v>
      </c>
      <c r="CU93" s="1">
        <v>14571263.5356772</v>
      </c>
      <c r="CV93" s="1">
        <v>12577091.162065201</v>
      </c>
      <c r="CW93" s="1">
        <v>9802784.06319068</v>
      </c>
      <c r="CX93" s="1">
        <v>13161481.494844999</v>
      </c>
      <c r="CY93" s="1">
        <v>14066890.786746301</v>
      </c>
      <c r="CZ93" s="1">
        <v>14023690.2780698</v>
      </c>
      <c r="DA93" s="1">
        <v>13011244.4381746</v>
      </c>
      <c r="DB93" s="1">
        <v>8069162.2612642702</v>
      </c>
      <c r="DC93" s="1">
        <v>11269668.716957601</v>
      </c>
      <c r="DD93" s="1">
        <v>11186382.9227344</v>
      </c>
      <c r="DE93" s="1">
        <v>9207087.2045942098</v>
      </c>
      <c r="DF93" s="1">
        <v>10518762.2242459</v>
      </c>
      <c r="DG93" s="1">
        <v>10349871.7228342</v>
      </c>
      <c r="DH93" s="1">
        <v>1699419007.3991001</v>
      </c>
      <c r="DI93" s="1">
        <v>1433969350.14696</v>
      </c>
      <c r="DJ93" s="1">
        <v>1090571128.77987</v>
      </c>
      <c r="DK93" s="1">
        <v>786812309.67373502</v>
      </c>
      <c r="DL93" s="1">
        <v>692440476.57131004</v>
      </c>
      <c r="DM93" s="1">
        <v>536364572.192424</v>
      </c>
      <c r="DN93" s="1">
        <v>711566100.576545</v>
      </c>
      <c r="DO93" s="1">
        <v>766497605.42479002</v>
      </c>
      <c r="DP93" s="1">
        <v>757162750.16106999</v>
      </c>
      <c r="DQ93" s="1">
        <v>717344525.99089599</v>
      </c>
      <c r="DR93" s="1">
        <v>430236372.977983</v>
      </c>
      <c r="DS93" s="1">
        <v>621175592.82664502</v>
      </c>
      <c r="DT93" s="1">
        <v>607885456.98010695</v>
      </c>
      <c r="DU93" s="1">
        <v>496565381.92350602</v>
      </c>
      <c r="DV93" s="1">
        <v>576904914.20190001</v>
      </c>
      <c r="DW93" s="1">
        <v>561371447.57419896</v>
      </c>
    </row>
    <row r="94" spans="1:127" x14ac:dyDescent="0.25">
      <c r="A94" t="s">
        <v>121</v>
      </c>
      <c r="B94">
        <v>47.49</v>
      </c>
      <c r="C94">
        <v>-117.59</v>
      </c>
      <c r="D94">
        <v>-15.2</v>
      </c>
      <c r="E94">
        <v>-11.7</v>
      </c>
      <c r="F94">
        <v>33.799999999999997</v>
      </c>
      <c r="G94">
        <v>17.2</v>
      </c>
      <c r="H94">
        <v>32</v>
      </c>
      <c r="I94">
        <v>16.5</v>
      </c>
      <c r="J94">
        <v>32.583333333333201</v>
      </c>
      <c r="K94">
        <v>0</v>
      </c>
      <c r="L94">
        <v>4917034499.8225803</v>
      </c>
      <c r="M94">
        <v>1168806341.35395</v>
      </c>
      <c r="N94">
        <v>4066.6019000000001</v>
      </c>
      <c r="O94" s="75">
        <v>51570613878.884598</v>
      </c>
      <c r="P94">
        <f>64463267348.6057*(0.8/0.96)</f>
        <v>53719389457.171417</v>
      </c>
      <c r="Q94">
        <v>29308</v>
      </c>
      <c r="R94">
        <v>458291703.33937299</v>
      </c>
      <c r="S94">
        <f>3242.56242054517*(0.8/0.96)</f>
        <v>2702.1353504543085</v>
      </c>
      <c r="T94">
        <v>19.871239501235401</v>
      </c>
      <c r="U94">
        <v>20.030165762962099</v>
      </c>
      <c r="V94">
        <v>12.8760734157607</v>
      </c>
      <c r="W94">
        <v>12.6788477307413</v>
      </c>
      <c r="X94">
        <v>13.245638890708801</v>
      </c>
      <c r="Y94">
        <v>27.355015224716499</v>
      </c>
      <c r="Z94">
        <v>23.217608815407502</v>
      </c>
      <c r="AA94">
        <v>22.457974954585499</v>
      </c>
      <c r="AB94">
        <v>6.3787256020322198</v>
      </c>
      <c r="AC94">
        <v>6.2898610709913898</v>
      </c>
      <c r="AD94">
        <v>22.370206250382701</v>
      </c>
      <c r="AE94">
        <v>7.8967530336350897</v>
      </c>
      <c r="AF94">
        <v>14.4806685624955</v>
      </c>
      <c r="AG94">
        <v>21.166518751117302</v>
      </c>
      <c r="AH94">
        <v>21.6648436425975</v>
      </c>
      <c r="AI94">
        <v>21.664802267180399</v>
      </c>
      <c r="AJ94">
        <v>32.583333333333201</v>
      </c>
      <c r="AK94">
        <v>21.0833333333333</v>
      </c>
      <c r="AL94">
        <v>4911247646.3716297</v>
      </c>
      <c r="AM94">
        <v>805848349.90989304</v>
      </c>
      <c r="AN94">
        <v>4066.6019000000001</v>
      </c>
      <c r="AO94" s="69">
        <v>41109460300.985298</v>
      </c>
      <c r="AP94">
        <v>13958628212.879801</v>
      </c>
      <c r="AQ94">
        <v>4066.6019000000001</v>
      </c>
      <c r="AR94" s="69">
        <v>7768458674.7831802</v>
      </c>
      <c r="AS94">
        <v>7768458674.7831802</v>
      </c>
      <c r="AT94">
        <v>7478.1667399999997</v>
      </c>
      <c r="AU94">
        <v>3324604850.7810702</v>
      </c>
      <c r="AV94">
        <v>597.81760547886597</v>
      </c>
      <c r="AW94">
        <v>614.03013311941402</v>
      </c>
      <c r="AX94">
        <v>397.88447719094398</v>
      </c>
      <c r="AY94">
        <v>394.55735678235101</v>
      </c>
      <c r="AZ94">
        <v>410.08012736439599</v>
      </c>
      <c r="BA94">
        <v>843.97876187147097</v>
      </c>
      <c r="BB94">
        <v>718.75104042274404</v>
      </c>
      <c r="BC94">
        <v>690.89761512543396</v>
      </c>
      <c r="BD94">
        <v>195.76570252029799</v>
      </c>
      <c r="BE94">
        <v>193.159253723125</v>
      </c>
      <c r="BF94">
        <v>688.08000852956604</v>
      </c>
      <c r="BG94">
        <v>241.77670957299401</v>
      </c>
      <c r="BH94">
        <v>445.38159718114201</v>
      </c>
      <c r="BI94">
        <v>652.93112732522502</v>
      </c>
      <c r="BJ94">
        <v>667.12840666244597</v>
      </c>
      <c r="BK94">
        <v>667.12772827938295</v>
      </c>
      <c r="BL94">
        <v>143.607803776449</v>
      </c>
      <c r="BM94">
        <v>146.954704809795</v>
      </c>
      <c r="BN94">
        <v>92.796160634157999</v>
      </c>
      <c r="BO94">
        <v>91.991300726548005</v>
      </c>
      <c r="BP94">
        <v>95.929067826591805</v>
      </c>
      <c r="BQ94">
        <v>197.665791947207</v>
      </c>
      <c r="BR94">
        <v>168.75269974813401</v>
      </c>
      <c r="BS94">
        <v>162.21506279437301</v>
      </c>
      <c r="BT94">
        <v>46.130518566289098</v>
      </c>
      <c r="BU94">
        <v>45.070654859385797</v>
      </c>
      <c r="BV94">
        <v>161.58143483721301</v>
      </c>
      <c r="BW94">
        <v>57.049279225675697</v>
      </c>
      <c r="BX94">
        <v>104.796753173128</v>
      </c>
      <c r="BY94">
        <v>152.629572881814</v>
      </c>
      <c r="BZ94">
        <v>156.33810976630301</v>
      </c>
      <c r="CA94">
        <v>156.33802200172599</v>
      </c>
      <c r="CB94">
        <v>323.00729184913598</v>
      </c>
      <c r="CC94">
        <v>311.51337903371501</v>
      </c>
      <c r="CD94">
        <v>272.25163095276002</v>
      </c>
      <c r="CE94">
        <v>259.01975702541199</v>
      </c>
      <c r="CF94">
        <v>269.81041438153301</v>
      </c>
      <c r="CG94">
        <v>550.02743936315005</v>
      </c>
      <c r="CH94">
        <v>441.831529088992</v>
      </c>
      <c r="CI94">
        <v>448.55989610894898</v>
      </c>
      <c r="CJ94">
        <v>123.515063235225</v>
      </c>
      <c r="CK94">
        <v>136.86597236725001</v>
      </c>
      <c r="CL94">
        <v>444.62879340299702</v>
      </c>
      <c r="CM94">
        <v>148.33934158625601</v>
      </c>
      <c r="CN94">
        <v>283.72498198145001</v>
      </c>
      <c r="CO94">
        <v>426.33166811533499</v>
      </c>
      <c r="CP94">
        <v>445.251017467476</v>
      </c>
      <c r="CQ94">
        <v>445.248407962589</v>
      </c>
      <c r="CR94" s="1">
        <v>87007177.307895094</v>
      </c>
      <c r="CS94" s="1">
        <v>75849211.073044106</v>
      </c>
      <c r="CT94" s="1">
        <v>57353399.519960001</v>
      </c>
      <c r="CU94" s="1">
        <v>42864777.856127001</v>
      </c>
      <c r="CV94" s="1">
        <v>35552455.585797399</v>
      </c>
      <c r="CW94" s="1">
        <v>28467899.197854899</v>
      </c>
      <c r="CX94" s="1">
        <v>37485801.789304398</v>
      </c>
      <c r="CY94" s="1">
        <v>39824917.848569401</v>
      </c>
      <c r="CZ94" s="1">
        <v>40605415.770590603</v>
      </c>
      <c r="DA94" s="1">
        <v>36557236.490838498</v>
      </c>
      <c r="DB94" s="1">
        <v>23471863.820200801</v>
      </c>
      <c r="DC94" s="1">
        <v>32111697.509558801</v>
      </c>
      <c r="DD94" s="1">
        <v>31751497.5698088</v>
      </c>
      <c r="DE94" s="1">
        <v>26326630.667081699</v>
      </c>
      <c r="DF94" s="1">
        <v>30160117.103454102</v>
      </c>
      <c r="DG94" s="1">
        <v>29917660.314086601</v>
      </c>
      <c r="DH94" s="1">
        <v>4888369898.7479897</v>
      </c>
      <c r="DI94" s="1">
        <v>4260149095.7936201</v>
      </c>
      <c r="DJ94" s="1">
        <v>3248177104.6613302</v>
      </c>
      <c r="DK94" s="1">
        <v>2474185003.6020002</v>
      </c>
      <c r="DL94" s="1">
        <v>2089603191.1396899</v>
      </c>
      <c r="DM94" s="1">
        <v>1695340802.3238201</v>
      </c>
      <c r="DN94" s="1">
        <v>2194730813.2056699</v>
      </c>
      <c r="DO94" s="1">
        <v>2347477079.1164999</v>
      </c>
      <c r="DP94" s="1">
        <v>2387447399.47047</v>
      </c>
      <c r="DQ94" s="1">
        <v>2161469464.7857099</v>
      </c>
      <c r="DR94" s="1">
        <v>1359931918.8075399</v>
      </c>
      <c r="DS94" s="1">
        <v>1898753606.1194799</v>
      </c>
      <c r="DT94" s="1">
        <v>1854727887.69361</v>
      </c>
      <c r="DU94" s="1">
        <v>1548395520.62871</v>
      </c>
      <c r="DV94" s="1">
        <v>1767247378.05617</v>
      </c>
      <c r="DW94" s="1">
        <v>1749374742.0992401</v>
      </c>
    </row>
    <row r="95" spans="1:127" x14ac:dyDescent="0.25">
      <c r="A95" t="s">
        <v>122</v>
      </c>
      <c r="B95">
        <v>42.95</v>
      </c>
      <c r="C95">
        <v>-87.9</v>
      </c>
      <c r="D95">
        <v>-18.600000000000001</v>
      </c>
      <c r="E95">
        <v>-16</v>
      </c>
      <c r="F95">
        <v>32.200000000000003</v>
      </c>
      <c r="G95">
        <v>23.5</v>
      </c>
      <c r="H95">
        <v>30.3</v>
      </c>
      <c r="I95">
        <v>22.4</v>
      </c>
      <c r="J95">
        <v>3.6666666666666599</v>
      </c>
      <c r="K95">
        <v>0</v>
      </c>
      <c r="L95">
        <v>6384537192.9410696</v>
      </c>
      <c r="M95">
        <v>1365252454.0134499</v>
      </c>
      <c r="N95">
        <v>5737.9262900000003</v>
      </c>
      <c r="O95" s="75">
        <v>62994735020.768204</v>
      </c>
      <c r="P95">
        <f>78743418775.9602*(0.8/0.96)</f>
        <v>65619515646.633507</v>
      </c>
      <c r="Q95">
        <v>29308</v>
      </c>
      <c r="R95">
        <v>599158689.80094099</v>
      </c>
      <c r="S95">
        <f>3960.86734492371*(0.8/0.96)</f>
        <v>3300.7227874364248</v>
      </c>
      <c r="T95">
        <v>85.535641252694106</v>
      </c>
      <c r="U95">
        <v>76.331571697603593</v>
      </c>
      <c r="V95">
        <v>98.340409742722798</v>
      </c>
      <c r="W95">
        <v>74.564556418739599</v>
      </c>
      <c r="X95">
        <v>54.187993499816102</v>
      </c>
      <c r="Y95">
        <v>44.072743802962002</v>
      </c>
      <c r="Z95">
        <v>26.7796664224865</v>
      </c>
      <c r="AA95">
        <v>49.294905182194803</v>
      </c>
      <c r="AB95">
        <v>63.661661355381497</v>
      </c>
      <c r="AC95">
        <v>39.557674296870303</v>
      </c>
      <c r="AD95">
        <v>45.571853265744501</v>
      </c>
      <c r="AE95">
        <v>28.1916781777695</v>
      </c>
      <c r="AF95">
        <v>46.703979576283402</v>
      </c>
      <c r="AG95">
        <v>62.9948765833905</v>
      </c>
      <c r="AH95">
        <v>45.633051039602599</v>
      </c>
      <c r="AI95">
        <v>45.633053499420903</v>
      </c>
      <c r="AJ95">
        <v>3.6666666666666599</v>
      </c>
      <c r="AK95">
        <v>43.000000000000099</v>
      </c>
      <c r="AL95">
        <v>6410292976.1575098</v>
      </c>
      <c r="AM95">
        <v>805643637.188007</v>
      </c>
      <c r="AN95">
        <v>5737.9262900000003</v>
      </c>
      <c r="AO95" s="69">
        <v>47930811276.510902</v>
      </c>
      <c r="AP95">
        <v>17870088639.655399</v>
      </c>
      <c r="AQ95">
        <v>5737.9262900000003</v>
      </c>
      <c r="AR95" s="69">
        <v>12691250638.458</v>
      </c>
      <c r="AS95">
        <v>12691250638.458</v>
      </c>
      <c r="AT95">
        <v>9310.4405700000007</v>
      </c>
      <c r="AU95">
        <v>3095455974.4698501</v>
      </c>
      <c r="AV95">
        <v>2573.6050192719799</v>
      </c>
      <c r="AW95">
        <v>2286.32200826807</v>
      </c>
      <c r="AX95">
        <v>2926.5924283528402</v>
      </c>
      <c r="AY95">
        <v>2240.9152309241799</v>
      </c>
      <c r="AZ95">
        <v>1621.51004282238</v>
      </c>
      <c r="BA95">
        <v>1320.2368517375801</v>
      </c>
      <c r="BB95">
        <v>804.37587170292898</v>
      </c>
      <c r="BC95">
        <v>1460.8673216560201</v>
      </c>
      <c r="BD95">
        <v>1925.3296266239599</v>
      </c>
      <c r="BE95">
        <v>1207.5034412954899</v>
      </c>
      <c r="BF95">
        <v>1372.6506156759899</v>
      </c>
      <c r="BG95">
        <v>848.26277024804801</v>
      </c>
      <c r="BH95">
        <v>1391.10487980629</v>
      </c>
      <c r="BI95">
        <v>1892.6667962469801</v>
      </c>
      <c r="BJ95">
        <v>1374.8880459270499</v>
      </c>
      <c r="BK95">
        <v>1374.88816145533</v>
      </c>
      <c r="BL95">
        <v>443.06001012511302</v>
      </c>
      <c r="BM95">
        <v>394.371938686151</v>
      </c>
      <c r="BN95">
        <v>506.04023201721498</v>
      </c>
      <c r="BO95">
        <v>385.587090788333</v>
      </c>
      <c r="BP95">
        <v>279.42276058879202</v>
      </c>
      <c r="BQ95">
        <v>227.66852987381299</v>
      </c>
      <c r="BR95">
        <v>137.99945598095201</v>
      </c>
      <c r="BS95">
        <v>252.436539379518</v>
      </c>
      <c r="BT95">
        <v>329.46295161257899</v>
      </c>
      <c r="BU95">
        <v>204.57496805450501</v>
      </c>
      <c r="BV95">
        <v>234.88068957369899</v>
      </c>
      <c r="BW95">
        <v>145.536115335316</v>
      </c>
      <c r="BX95">
        <v>238.37711946464501</v>
      </c>
      <c r="BY95">
        <v>324.93165210008198</v>
      </c>
      <c r="BZ95">
        <v>235.04144630832801</v>
      </c>
      <c r="CA95">
        <v>235.04146334896799</v>
      </c>
      <c r="CB95">
        <v>1762.15756222665</v>
      </c>
      <c r="CC95">
        <v>1684.0082163967299</v>
      </c>
      <c r="CD95">
        <v>2212.52037740481</v>
      </c>
      <c r="CE95">
        <v>1646.6111246753501</v>
      </c>
      <c r="CF95">
        <v>1216.4967526093501</v>
      </c>
      <c r="CG95">
        <v>936.16106779516304</v>
      </c>
      <c r="CH95">
        <v>591.72780399016904</v>
      </c>
      <c r="CI95">
        <v>1224.3960173855301</v>
      </c>
      <c r="CJ95">
        <v>1399.0466730097901</v>
      </c>
      <c r="CK95">
        <v>887.71356711556496</v>
      </c>
      <c r="CL95">
        <v>1051.1372079791399</v>
      </c>
      <c r="CM95">
        <v>606.16649062106603</v>
      </c>
      <c r="CN95">
        <v>1210.7974152223901</v>
      </c>
      <c r="CO95">
        <v>1411.92054074374</v>
      </c>
      <c r="CP95">
        <v>1018.04891477993</v>
      </c>
      <c r="CQ95">
        <v>1018.04891477993</v>
      </c>
      <c r="CR95" s="1">
        <v>429762751.40975797</v>
      </c>
      <c r="CS95" s="1">
        <v>415549603.05741602</v>
      </c>
      <c r="CT95" s="1">
        <v>386593483.61233097</v>
      </c>
      <c r="CU95" s="1">
        <v>312298171.99454701</v>
      </c>
      <c r="CV95" s="1">
        <v>265253195.59035</v>
      </c>
      <c r="CW95" s="1">
        <v>217594063.439008</v>
      </c>
      <c r="CX95" s="1">
        <v>199864870.35183299</v>
      </c>
      <c r="CY95" s="1">
        <v>121638891.05882899</v>
      </c>
      <c r="CZ95" s="1">
        <v>116009534.31776699</v>
      </c>
      <c r="DA95" s="1">
        <v>107527346.07325201</v>
      </c>
      <c r="DB95" s="1">
        <v>94170122.425281003</v>
      </c>
      <c r="DC95" s="1">
        <v>86562508.293170199</v>
      </c>
      <c r="DD95" s="1">
        <v>73269186.453921005</v>
      </c>
      <c r="DE95" s="1">
        <v>63360479.887157202</v>
      </c>
      <c r="DF95" s="1">
        <v>72757640.288047001</v>
      </c>
      <c r="DG95" s="1">
        <v>88261262.538814306</v>
      </c>
      <c r="DH95" s="1">
        <v>24020850940.001999</v>
      </c>
      <c r="DI95" s="1">
        <v>23439621236.967499</v>
      </c>
      <c r="DJ95" s="1">
        <v>21734623971.584801</v>
      </c>
      <c r="DK95" s="1">
        <v>17842782523.000801</v>
      </c>
      <c r="DL95" s="1">
        <v>15112102346.363701</v>
      </c>
      <c r="DM95" s="1">
        <v>12523712581.5481</v>
      </c>
      <c r="DN95" s="1">
        <v>11396331104.203899</v>
      </c>
      <c r="DO95" s="1">
        <v>6868951908.8230896</v>
      </c>
      <c r="DP95" s="1">
        <v>6749065826.3912296</v>
      </c>
      <c r="DQ95" s="1">
        <v>6366589045.7638597</v>
      </c>
      <c r="DR95" s="1">
        <v>5535690411.0663004</v>
      </c>
      <c r="DS95" s="1">
        <v>4971929902.6429996</v>
      </c>
      <c r="DT95" s="1">
        <v>4288088030.4829202</v>
      </c>
      <c r="DU95" s="1">
        <v>3762927055.9516802</v>
      </c>
      <c r="DV95" s="1">
        <v>4280621706.2501302</v>
      </c>
      <c r="DW95" s="1">
        <v>5192935267.3332195</v>
      </c>
    </row>
    <row r="96" spans="1:127" x14ac:dyDescent="0.25">
      <c r="A96" t="s">
        <v>123</v>
      </c>
      <c r="B96">
        <v>45.63</v>
      </c>
      <c r="C96">
        <v>-89.47</v>
      </c>
      <c r="D96">
        <v>-26</v>
      </c>
      <c r="E96">
        <v>-22.6</v>
      </c>
      <c r="F96">
        <v>30.1</v>
      </c>
      <c r="G96">
        <v>21.1</v>
      </c>
      <c r="H96">
        <v>28</v>
      </c>
      <c r="I96">
        <v>19.899999999999999</v>
      </c>
      <c r="J96">
        <v>2.0833333333333299</v>
      </c>
      <c r="K96">
        <v>0</v>
      </c>
      <c r="L96">
        <v>4433898224.8102903</v>
      </c>
      <c r="M96">
        <v>993692230.63529694</v>
      </c>
      <c r="N96">
        <v>6092.4543100000001</v>
      </c>
      <c r="O96" s="75">
        <v>73531840012.864304</v>
      </c>
      <c r="P96">
        <f>91914800016.0808*(0.8/0.96)</f>
        <v>76595666680.067337</v>
      </c>
      <c r="Q96">
        <v>29308</v>
      </c>
      <c r="R96">
        <v>818663374.45239198</v>
      </c>
      <c r="S96">
        <f>4623.40009562849*(0.8/0.96)</f>
        <v>3852.8334130237417</v>
      </c>
      <c r="T96">
        <v>117.33935965344401</v>
      </c>
      <c r="U96">
        <v>104.125888063497</v>
      </c>
      <c r="V96">
        <v>134.197443249126</v>
      </c>
      <c r="W96">
        <v>102.195441093943</v>
      </c>
      <c r="X96">
        <v>74.097606508479203</v>
      </c>
      <c r="Y96">
        <v>59.899278859463003</v>
      </c>
      <c r="Z96">
        <v>36.4941375044464</v>
      </c>
      <c r="AA96">
        <v>66.673289220379601</v>
      </c>
      <c r="AB96">
        <v>87.168307737420406</v>
      </c>
      <c r="AC96">
        <v>53.816760516825198</v>
      </c>
      <c r="AD96">
        <v>62.537340938720597</v>
      </c>
      <c r="AE96">
        <v>38.207551955720703</v>
      </c>
      <c r="AF96">
        <v>63.920683996625399</v>
      </c>
      <c r="AG96">
        <v>85.655479017852898</v>
      </c>
      <c r="AH96">
        <v>62.516018761810301</v>
      </c>
      <c r="AI96">
        <v>62.516024596392199</v>
      </c>
      <c r="AJ96">
        <v>2.0833333333333299</v>
      </c>
      <c r="AK96">
        <v>31.749999999999801</v>
      </c>
      <c r="AL96">
        <v>4451373456.4719496</v>
      </c>
      <c r="AM96">
        <v>623229453.435902</v>
      </c>
      <c r="AN96">
        <v>6092.4543100000001</v>
      </c>
      <c r="AO96" s="69">
        <v>47082316743.477898</v>
      </c>
      <c r="AP96">
        <v>19292342864.969898</v>
      </c>
      <c r="AQ96">
        <v>6092.4543100000001</v>
      </c>
      <c r="AR96" s="69">
        <v>23556320126.402199</v>
      </c>
      <c r="AS96">
        <v>23556320126.402199</v>
      </c>
      <c r="AT96">
        <v>10512.10441</v>
      </c>
      <c r="AU96">
        <v>3856929064.3996</v>
      </c>
      <c r="AV96">
        <v>2763.4879502070798</v>
      </c>
      <c r="AW96">
        <v>2435.3465160532201</v>
      </c>
      <c r="AX96">
        <v>3128.3469556312202</v>
      </c>
      <c r="AY96">
        <v>2379.56299470669</v>
      </c>
      <c r="AZ96">
        <v>1705.00070321866</v>
      </c>
      <c r="BA96">
        <v>1406.0116153169199</v>
      </c>
      <c r="BB96">
        <v>854.47463891816403</v>
      </c>
      <c r="BC96">
        <v>1545.4488294119101</v>
      </c>
      <c r="BD96">
        <v>2019.37995032969</v>
      </c>
      <c r="BE96">
        <v>1246.9319630486</v>
      </c>
      <c r="BF96">
        <v>1449.74062867671</v>
      </c>
      <c r="BG96">
        <v>900.24829943330894</v>
      </c>
      <c r="BH96">
        <v>1457.1143176144501</v>
      </c>
      <c r="BI96">
        <v>1991.5496429212999</v>
      </c>
      <c r="BJ96">
        <v>1446.16922471064</v>
      </c>
      <c r="BK96">
        <v>1446.16941003442</v>
      </c>
      <c r="BL96">
        <v>551.82135330072595</v>
      </c>
      <c r="BM96">
        <v>489.28329223105499</v>
      </c>
      <c r="BN96">
        <v>629.85164833696297</v>
      </c>
      <c r="BO96">
        <v>479.75875497342599</v>
      </c>
      <c r="BP96">
        <v>346.09580280010903</v>
      </c>
      <c r="BQ96">
        <v>281.11387406472898</v>
      </c>
      <c r="BR96">
        <v>170.878483338292</v>
      </c>
      <c r="BS96">
        <v>312.20299404754502</v>
      </c>
      <c r="BT96">
        <v>407.914616144523</v>
      </c>
      <c r="BU96">
        <v>251.80168134772799</v>
      </c>
      <c r="BV96">
        <v>292.35607534804399</v>
      </c>
      <c r="BW96">
        <v>179.14168610395399</v>
      </c>
      <c r="BX96">
        <v>296.57250124015297</v>
      </c>
      <c r="BY96">
        <v>401.24170571447399</v>
      </c>
      <c r="BZ96">
        <v>291.26047215413098</v>
      </c>
      <c r="CA96">
        <v>291.260504743936</v>
      </c>
      <c r="CB96">
        <v>3392.4602290585899</v>
      </c>
      <c r="CC96">
        <v>3150.48070862446</v>
      </c>
      <c r="CD96">
        <v>4076.19079089762</v>
      </c>
      <c r="CE96">
        <v>3130.84532237642</v>
      </c>
      <c r="CF96">
        <v>2340.3753228888199</v>
      </c>
      <c r="CG96">
        <v>1775.26414559867</v>
      </c>
      <c r="CH96">
        <v>1126.1337706480299</v>
      </c>
      <c r="CI96">
        <v>2142.21230015023</v>
      </c>
      <c r="CJ96">
        <v>2766.6215348170999</v>
      </c>
      <c r="CK96">
        <v>1723.4079649735199</v>
      </c>
      <c r="CL96">
        <v>1985.7470499941901</v>
      </c>
      <c r="CM96">
        <v>1144.7333051140899</v>
      </c>
      <c r="CN96">
        <v>2201.5054898636299</v>
      </c>
      <c r="CO96">
        <v>2670.2347712323499</v>
      </c>
      <c r="CP96">
        <v>1992.2849481712101</v>
      </c>
      <c r="CQ96">
        <v>1992.2850440454499</v>
      </c>
      <c r="CR96" s="1">
        <v>586429848.24852598</v>
      </c>
      <c r="CS96" s="1">
        <v>566531778.480165</v>
      </c>
      <c r="CT96" s="1">
        <v>524590017.35149902</v>
      </c>
      <c r="CU96" s="1">
        <v>422155004.33757901</v>
      </c>
      <c r="CV96" s="1">
        <v>362505159.01931399</v>
      </c>
      <c r="CW96" s="1">
        <v>296299124.52731502</v>
      </c>
      <c r="CX96" s="1">
        <v>273522856.16524798</v>
      </c>
      <c r="CY96" s="1">
        <v>168851327.93694499</v>
      </c>
      <c r="CZ96" s="1">
        <v>159232471.96442601</v>
      </c>
      <c r="DA96" s="1">
        <v>147599624.727606</v>
      </c>
      <c r="DB96" s="1">
        <v>129768005.56095999</v>
      </c>
      <c r="DC96" s="1">
        <v>122140389.076428</v>
      </c>
      <c r="DD96" s="1">
        <v>101544534.470393</v>
      </c>
      <c r="DE96" s="1">
        <v>89562656.194962606</v>
      </c>
      <c r="DF96" s="1">
        <v>101411757.76675899</v>
      </c>
      <c r="DG96" s="1">
        <v>124580554.211943</v>
      </c>
      <c r="DH96" s="1">
        <v>33335703371.894199</v>
      </c>
      <c r="DI96" s="1">
        <v>32487917429.6731</v>
      </c>
      <c r="DJ96" s="1">
        <v>29717655874.681</v>
      </c>
      <c r="DK96" s="1">
        <v>24423428724.3494</v>
      </c>
      <c r="DL96" s="1">
        <v>21140163422.3395</v>
      </c>
      <c r="DM96" s="1">
        <v>17355560887.4491</v>
      </c>
      <c r="DN96" s="1">
        <v>16217506298.184099</v>
      </c>
      <c r="DO96" s="1">
        <v>10038703065.299801</v>
      </c>
      <c r="DP96" s="1">
        <v>9612587878.2291107</v>
      </c>
      <c r="DQ96" s="1">
        <v>9171470126.1063194</v>
      </c>
      <c r="DR96" s="1">
        <v>7881929988.5882502</v>
      </c>
      <c r="DS96" s="1">
        <v>7364850315.6580601</v>
      </c>
      <c r="DT96" s="1">
        <v>6137544856.1456699</v>
      </c>
      <c r="DU96" s="1">
        <v>5394339659.0549803</v>
      </c>
      <c r="DV96" s="1">
        <v>6170061464.98382</v>
      </c>
      <c r="DW96" s="1">
        <v>7581350513.2386799</v>
      </c>
    </row>
    <row r="97" spans="1:127" x14ac:dyDescent="0.25">
      <c r="A97" t="s">
        <v>124</v>
      </c>
      <c r="B97">
        <v>38.380000000000003</v>
      </c>
      <c r="C97">
        <v>-81.58</v>
      </c>
      <c r="D97">
        <v>-12.2</v>
      </c>
      <c r="E97">
        <v>-9.1999999999999993</v>
      </c>
      <c r="F97">
        <v>32.9</v>
      </c>
      <c r="G97">
        <v>22.7</v>
      </c>
      <c r="H97">
        <v>31.7</v>
      </c>
      <c r="I97">
        <v>22.6</v>
      </c>
      <c r="J97">
        <v>66.500000000000099</v>
      </c>
      <c r="K97">
        <v>0</v>
      </c>
      <c r="L97">
        <v>14080639213.018101</v>
      </c>
      <c r="M97">
        <v>3006448448.15169</v>
      </c>
      <c r="N97">
        <v>4756.0166399999998</v>
      </c>
      <c r="O97" s="75">
        <v>34358836072.164799</v>
      </c>
      <c r="P97">
        <f>42948545090.206*(0.8/0.96)</f>
        <v>35790454241.838333</v>
      </c>
      <c r="Q97">
        <v>29308</v>
      </c>
      <c r="R97">
        <v>292881875.82099402</v>
      </c>
      <c r="S97">
        <f>2160.35184151434*(0.8/0.96)</f>
        <v>1800.2932012619499</v>
      </c>
      <c r="T97">
        <v>36.962912212843896</v>
      </c>
      <c r="U97">
        <v>47.6130992654059</v>
      </c>
      <c r="V97">
        <v>50.080375479452698</v>
      </c>
      <c r="W97">
        <v>19.885518255992402</v>
      </c>
      <c r="X97">
        <v>11.4591151048157</v>
      </c>
      <c r="Y97">
        <v>9.8916053976261793</v>
      </c>
      <c r="Z97">
        <v>16.488934390792799</v>
      </c>
      <c r="AA97">
        <v>33.807604728497402</v>
      </c>
      <c r="AB97">
        <v>12.3646715752354</v>
      </c>
      <c r="AC97">
        <v>23.020981918591598</v>
      </c>
      <c r="AD97">
        <v>16.892144540413799</v>
      </c>
      <c r="AE97">
        <v>10.9097738545853</v>
      </c>
      <c r="AF97">
        <v>21.136045773510801</v>
      </c>
      <c r="AG97">
        <v>16.6724895985292</v>
      </c>
      <c r="AH97">
        <v>19.199378436940801</v>
      </c>
      <c r="AI97">
        <v>19.199378436940801</v>
      </c>
      <c r="AJ97">
        <v>65.500000000000099</v>
      </c>
      <c r="AK97">
        <v>65.750000000000099</v>
      </c>
      <c r="AL97">
        <v>14120285579.9872</v>
      </c>
      <c r="AM97">
        <v>1967673957.4784701</v>
      </c>
      <c r="AN97">
        <v>4756.0166399999998</v>
      </c>
      <c r="AO97" s="69">
        <v>27769122545.5415</v>
      </c>
      <c r="AP97">
        <v>9262928729.2608891</v>
      </c>
      <c r="AQ97">
        <v>4756.0166399999998</v>
      </c>
      <c r="AR97" s="69">
        <v>5085561834.5614996</v>
      </c>
      <c r="AS97">
        <v>5085561834.5614996</v>
      </c>
      <c r="AT97">
        <v>6889.3493200000003</v>
      </c>
      <c r="AU97">
        <v>1798130807.7771001</v>
      </c>
      <c r="AV97">
        <v>1164.7930964340101</v>
      </c>
      <c r="AW97">
        <v>1508.6241644530201</v>
      </c>
      <c r="AX97">
        <v>1594.36488583188</v>
      </c>
      <c r="AY97">
        <v>632.989360973614</v>
      </c>
      <c r="AZ97">
        <v>362.93081854588303</v>
      </c>
      <c r="BA97">
        <v>318.29219699860897</v>
      </c>
      <c r="BB97">
        <v>530.03645864993598</v>
      </c>
      <c r="BC97">
        <v>1077.7625863103001</v>
      </c>
      <c r="BD97">
        <v>390.79131046442501</v>
      </c>
      <c r="BE97">
        <v>744.05319557962105</v>
      </c>
      <c r="BF97">
        <v>536.11308995741001</v>
      </c>
      <c r="BG97">
        <v>346.52184371056802</v>
      </c>
      <c r="BH97">
        <v>670.80746275198999</v>
      </c>
      <c r="BI97">
        <v>524.84967954056003</v>
      </c>
      <c r="BJ97">
        <v>610.20899159792395</v>
      </c>
      <c r="BK97">
        <v>610.20899159792395</v>
      </c>
      <c r="BL97">
        <v>226.244420052545</v>
      </c>
      <c r="BM97">
        <v>291.077243196734</v>
      </c>
      <c r="BN97">
        <v>305.58117794806901</v>
      </c>
      <c r="BO97">
        <v>122.326940719899</v>
      </c>
      <c r="BP97">
        <v>70.040619634774202</v>
      </c>
      <c r="BQ97">
        <v>60.820747986768701</v>
      </c>
      <c r="BR97">
        <v>101.24135226417</v>
      </c>
      <c r="BS97">
        <v>207.15349764609701</v>
      </c>
      <c r="BT97">
        <v>75.279475354214497</v>
      </c>
      <c r="BU97">
        <v>141.41294674905501</v>
      </c>
      <c r="BV97">
        <v>103.44303598525801</v>
      </c>
      <c r="BW97">
        <v>66.692696595882296</v>
      </c>
      <c r="BX97">
        <v>129.11842858267801</v>
      </c>
      <c r="BY97">
        <v>100.93007896094301</v>
      </c>
      <c r="BZ97">
        <v>117.431446200143</v>
      </c>
      <c r="CA97">
        <v>117.431446200143</v>
      </c>
      <c r="CB97">
        <v>669.93299977393303</v>
      </c>
      <c r="CC97">
        <v>895.15229619283696</v>
      </c>
      <c r="CD97">
        <v>963.06790198366696</v>
      </c>
      <c r="CE97">
        <v>331.55157056185197</v>
      </c>
      <c r="CF97">
        <v>207.58595211557801</v>
      </c>
      <c r="CG97">
        <v>163.68570853555499</v>
      </c>
      <c r="CH97">
        <v>304.67049096573902</v>
      </c>
      <c r="CI97">
        <v>607.69736177818595</v>
      </c>
      <c r="CJ97">
        <v>240.26539123277701</v>
      </c>
      <c r="CK97">
        <v>408.567014689524</v>
      </c>
      <c r="CL97">
        <v>303.493572728331</v>
      </c>
      <c r="CM97">
        <v>201.35121366261799</v>
      </c>
      <c r="CN97">
        <v>399.60855574132898</v>
      </c>
      <c r="CO97">
        <v>359.831421410735</v>
      </c>
      <c r="CP97">
        <v>362.15512929189498</v>
      </c>
      <c r="CQ97">
        <v>362.15512929189498</v>
      </c>
      <c r="CR97" s="1">
        <v>175285.32514564999</v>
      </c>
      <c r="CS97" s="1">
        <v>194692114.643168</v>
      </c>
      <c r="CT97" s="1">
        <v>171669096.931674</v>
      </c>
      <c r="CU97" s="1">
        <v>104893154.21088301</v>
      </c>
      <c r="CV97" s="1">
        <v>95159042.927535906</v>
      </c>
      <c r="CW97" s="1">
        <v>97905215.816026002</v>
      </c>
      <c r="CX97" s="1">
        <v>75641149.945628807</v>
      </c>
      <c r="CY97" s="1">
        <v>47150997.850690201</v>
      </c>
      <c r="CZ97" s="1">
        <v>48324592.823950201</v>
      </c>
      <c r="DA97" s="1">
        <v>56543295.492488198</v>
      </c>
      <c r="DB97" s="1">
        <v>24617972.992710501</v>
      </c>
      <c r="DC97" s="1">
        <v>24521491.6244279</v>
      </c>
      <c r="DD97" s="1">
        <v>31071837.8664876</v>
      </c>
      <c r="DE97" s="1">
        <v>29078027.080688201</v>
      </c>
      <c r="DF97" s="1">
        <v>29296548.410118401</v>
      </c>
      <c r="DG97" s="1">
        <v>25998408.210669301</v>
      </c>
      <c r="DH97" s="1">
        <v>8866967.7941856999</v>
      </c>
      <c r="DI97" s="1">
        <v>10514783704.0926</v>
      </c>
      <c r="DJ97" s="1">
        <v>9228073525.3072491</v>
      </c>
      <c r="DK97" s="1">
        <v>5741171378.4298201</v>
      </c>
      <c r="DL97" s="1">
        <v>5152430477.3896999</v>
      </c>
      <c r="DM97" s="1">
        <v>5522885399.2518797</v>
      </c>
      <c r="DN97" s="1">
        <v>4240169161.11624</v>
      </c>
      <c r="DO97" s="1">
        <v>2721118253.82234</v>
      </c>
      <c r="DP97" s="1">
        <v>2789996831.2807999</v>
      </c>
      <c r="DQ97" s="1">
        <v>3168887361.86309</v>
      </c>
      <c r="DR97" s="1">
        <v>1410688538.7125199</v>
      </c>
      <c r="DS97" s="1">
        <v>1314367177.4611199</v>
      </c>
      <c r="DT97" s="1">
        <v>1754618037.94644</v>
      </c>
      <c r="DU97" s="1">
        <v>1623059592.13344</v>
      </c>
      <c r="DV97" s="1">
        <v>1705874044.6784201</v>
      </c>
      <c r="DW97" s="1">
        <v>1538790090.5099001</v>
      </c>
    </row>
    <row r="98" spans="1:127" x14ac:dyDescent="0.25">
      <c r="A98" t="s">
        <v>125</v>
      </c>
      <c r="B98">
        <v>39.65</v>
      </c>
      <c r="C98">
        <v>-79.92</v>
      </c>
      <c r="D98">
        <v>-13.7</v>
      </c>
      <c r="E98">
        <v>-11</v>
      </c>
      <c r="F98">
        <v>32.1</v>
      </c>
      <c r="G98">
        <v>22.2</v>
      </c>
      <c r="H98">
        <v>30.8</v>
      </c>
      <c r="I98">
        <v>21.8</v>
      </c>
      <c r="J98">
        <v>12.5833333333333</v>
      </c>
      <c r="K98">
        <v>0</v>
      </c>
      <c r="L98">
        <v>8323301476.0457096</v>
      </c>
      <c r="M98">
        <v>1726058405.1271</v>
      </c>
      <c r="N98">
        <v>4517.62698</v>
      </c>
      <c r="O98" s="75">
        <v>35585383101.408798</v>
      </c>
      <c r="P98">
        <f>44481728876.7609*(0.8/0.96)</f>
        <v>37068107397.300751</v>
      </c>
      <c r="Q98">
        <v>29308</v>
      </c>
      <c r="R98">
        <v>291757156.19592798</v>
      </c>
      <c r="S98">
        <f>2237.47241474231*(0.8/0.96)</f>
        <v>1864.5603456185916</v>
      </c>
      <c r="T98">
        <v>36.556099465790503</v>
      </c>
      <c r="U98">
        <v>47.515695466355098</v>
      </c>
      <c r="V98">
        <v>48.909518032273702</v>
      </c>
      <c r="W98">
        <v>19.797090057949699</v>
      </c>
      <c r="X98">
        <v>11.248340769606401</v>
      </c>
      <c r="Y98">
        <v>9.5272420968897293</v>
      </c>
      <c r="Z98">
        <v>15.9379336394201</v>
      </c>
      <c r="AA98">
        <v>32.711464812074198</v>
      </c>
      <c r="AB98">
        <v>12.248348328712201</v>
      </c>
      <c r="AC98">
        <v>22.1816551968341</v>
      </c>
      <c r="AD98">
        <v>16.990610946118998</v>
      </c>
      <c r="AE98">
        <v>10.866681725589901</v>
      </c>
      <c r="AF98">
        <v>20.808324073727601</v>
      </c>
      <c r="AG98">
        <v>16.399008296004599</v>
      </c>
      <c r="AH98">
        <v>18.404346343231701</v>
      </c>
      <c r="AI98">
        <v>18.404346343231701</v>
      </c>
      <c r="AJ98">
        <v>12.25</v>
      </c>
      <c r="AK98">
        <v>95.833333333332902</v>
      </c>
      <c r="AL98">
        <v>8357634011.6688004</v>
      </c>
      <c r="AM98">
        <v>1014361342.74955</v>
      </c>
      <c r="AN98">
        <v>4517.62698</v>
      </c>
      <c r="AO98" s="69">
        <v>27732388547.556499</v>
      </c>
      <c r="AP98">
        <v>9379618469.0061302</v>
      </c>
      <c r="AQ98">
        <v>4517.62698</v>
      </c>
      <c r="AR98" s="69">
        <v>6259214776.8753405</v>
      </c>
      <c r="AS98">
        <v>6259214776.8753405</v>
      </c>
      <c r="AT98">
        <v>7347.7415700000001</v>
      </c>
      <c r="AU98">
        <v>1870280714.2656901</v>
      </c>
      <c r="AV98">
        <v>1173.70975415511</v>
      </c>
      <c r="AW98">
        <v>1524.85676431826</v>
      </c>
      <c r="AX98">
        <v>1582.5286817538899</v>
      </c>
      <c r="AY98">
        <v>645.84201625069295</v>
      </c>
      <c r="AZ98">
        <v>364.08840508000702</v>
      </c>
      <c r="BA98">
        <v>315.66147091231602</v>
      </c>
      <c r="BB98">
        <v>505.08308498913402</v>
      </c>
      <c r="BC98">
        <v>1067.4390643424099</v>
      </c>
      <c r="BD98">
        <v>392.46990820730099</v>
      </c>
      <c r="BE98">
        <v>724.71757384121804</v>
      </c>
      <c r="BF98">
        <v>544.45053187978999</v>
      </c>
      <c r="BG98">
        <v>348.14207821262897</v>
      </c>
      <c r="BH98">
        <v>674.66716879307</v>
      </c>
      <c r="BI98">
        <v>515.62380744693405</v>
      </c>
      <c r="BJ98">
        <v>590.81945258103895</v>
      </c>
      <c r="BK98">
        <v>590.81945258103895</v>
      </c>
      <c r="BL98">
        <v>233.79993064024501</v>
      </c>
      <c r="BM98">
        <v>303.122819592849</v>
      </c>
      <c r="BN98">
        <v>312.90732152407998</v>
      </c>
      <c r="BO98">
        <v>127.626737839147</v>
      </c>
      <c r="BP98">
        <v>72.166559504465695</v>
      </c>
      <c r="BQ98">
        <v>62.016279434214297</v>
      </c>
      <c r="BR98">
        <v>101.406842304714</v>
      </c>
      <c r="BS98">
        <v>210.788750553087</v>
      </c>
      <c r="BT98">
        <v>77.952378988830105</v>
      </c>
      <c r="BU98">
        <v>143.08395083333599</v>
      </c>
      <c r="BV98">
        <v>108.19986605823399</v>
      </c>
      <c r="BW98">
        <v>69.348544129196497</v>
      </c>
      <c r="BX98">
        <v>133.07960231221301</v>
      </c>
      <c r="BY98">
        <v>103.10145156807199</v>
      </c>
      <c r="BZ98">
        <v>117.553760660233</v>
      </c>
      <c r="CA98">
        <v>117.553760660233</v>
      </c>
      <c r="CB98">
        <v>804.48385415143105</v>
      </c>
      <c r="CC98">
        <v>1098.8847525266699</v>
      </c>
      <c r="CD98">
        <v>1113.3658560363299</v>
      </c>
      <c r="CE98">
        <v>406.68005216071703</v>
      </c>
      <c r="CF98">
        <v>247.92678976066099</v>
      </c>
      <c r="CG98">
        <v>177.75627983133501</v>
      </c>
      <c r="CH98">
        <v>379.64584726289598</v>
      </c>
      <c r="CI98">
        <v>704.14946300592601</v>
      </c>
      <c r="CJ98">
        <v>291.58053872455599</v>
      </c>
      <c r="CK98">
        <v>464.61005823563301</v>
      </c>
      <c r="CL98">
        <v>393.24645738707699</v>
      </c>
      <c r="CM98">
        <v>247.058373962839</v>
      </c>
      <c r="CN98">
        <v>476.063096599998</v>
      </c>
      <c r="CO98">
        <v>436.34097804626799</v>
      </c>
      <c r="CP98">
        <v>418.57976562485101</v>
      </c>
      <c r="CQ98">
        <v>418.57976562485101</v>
      </c>
      <c r="CR98" s="1">
        <v>226201.77536988401</v>
      </c>
      <c r="CS98" s="1">
        <v>194471089.141038</v>
      </c>
      <c r="CT98" s="1">
        <v>162347308.52046299</v>
      </c>
      <c r="CU98" s="1">
        <v>100987671.629426</v>
      </c>
      <c r="CV98" s="1">
        <v>90127769.633689493</v>
      </c>
      <c r="CW98" s="1">
        <v>92360055.203760207</v>
      </c>
      <c r="CX98" s="1">
        <v>72556761.717462793</v>
      </c>
      <c r="CY98" s="1">
        <v>49861620.9227309</v>
      </c>
      <c r="CZ98" s="1">
        <v>48243272.543393701</v>
      </c>
      <c r="DA98" s="1">
        <v>56782156.548598602</v>
      </c>
      <c r="DB98" s="1">
        <v>23556808.724576</v>
      </c>
      <c r="DC98" s="1">
        <v>27307428.807690199</v>
      </c>
      <c r="DD98" s="1">
        <v>32900759.317287799</v>
      </c>
      <c r="DE98" s="1">
        <v>33334279.658634</v>
      </c>
      <c r="DF98" s="1">
        <v>30656994.009564601</v>
      </c>
      <c r="DG98" s="1">
        <v>27334147.949961498</v>
      </c>
      <c r="DH98" s="1">
        <v>15002691.364139199</v>
      </c>
      <c r="DI98" s="1">
        <v>11322125356.310101</v>
      </c>
      <c r="DJ98" s="1">
        <v>9251471159.0652695</v>
      </c>
      <c r="DK98" s="1">
        <v>6004383576.0978804</v>
      </c>
      <c r="DL98" s="1">
        <v>5370703905.9301996</v>
      </c>
      <c r="DM98" s="1">
        <v>5511718483.0755501</v>
      </c>
      <c r="DN98" s="1">
        <v>4536838659.2474699</v>
      </c>
      <c r="DO98" s="1">
        <v>3354034436.6751099</v>
      </c>
      <c r="DP98" s="1">
        <v>3237204706.1459198</v>
      </c>
      <c r="DQ98" s="1">
        <v>3734677499.1010299</v>
      </c>
      <c r="DR98" s="1">
        <v>1574840517.75143</v>
      </c>
      <c r="DS98" s="1">
        <v>1994938785.9837301</v>
      </c>
      <c r="DT98" s="1">
        <v>2295877063.7129898</v>
      </c>
      <c r="DU98" s="1">
        <v>2372574254.0337901</v>
      </c>
      <c r="DV98" s="1">
        <v>2049389035.1534801</v>
      </c>
      <c r="DW98" s="1">
        <v>1907235906.1587801</v>
      </c>
    </row>
    <row r="99" spans="1:127" x14ac:dyDescent="0.25">
      <c r="A99" t="s">
        <v>126</v>
      </c>
      <c r="B99">
        <v>41.15</v>
      </c>
      <c r="C99">
        <v>-104.8</v>
      </c>
      <c r="D99">
        <v>-19.8</v>
      </c>
      <c r="E99">
        <v>-16.2</v>
      </c>
      <c r="F99">
        <v>32</v>
      </c>
      <c r="G99">
        <v>14.6</v>
      </c>
      <c r="H99">
        <v>30.4</v>
      </c>
      <c r="I99">
        <v>14.3</v>
      </c>
      <c r="J99">
        <v>0.33333333333333298</v>
      </c>
      <c r="K99">
        <v>0</v>
      </c>
      <c r="L99">
        <v>2652135840.8754601</v>
      </c>
      <c r="M99">
        <v>619571384.38139796</v>
      </c>
      <c r="N99">
        <v>4925.5267100000001</v>
      </c>
      <c r="O99" s="75">
        <v>56016021571.389801</v>
      </c>
      <c r="P99">
        <f>70020026964.2373*(0.8/0.96)</f>
        <v>58350022470.197754</v>
      </c>
      <c r="Q99">
        <v>29308</v>
      </c>
      <c r="R99">
        <v>603401288.48879397</v>
      </c>
      <c r="S99">
        <f>3522.07260752051*(0.8/0.96)</f>
        <v>2935.0605062670916</v>
      </c>
      <c r="T99">
        <v>117.347907434584</v>
      </c>
      <c r="U99">
        <v>81.984293375851806</v>
      </c>
      <c r="V99">
        <v>100.409017784599</v>
      </c>
      <c r="W99">
        <v>70.3733796681245</v>
      </c>
      <c r="X99">
        <v>45.462554545563002</v>
      </c>
      <c r="Y99">
        <v>81.873864636021395</v>
      </c>
      <c r="Z99">
        <v>73.318563295496503</v>
      </c>
      <c r="AA99">
        <v>62.806894249701998</v>
      </c>
      <c r="AB99">
        <v>79.543472066825103</v>
      </c>
      <c r="AC99">
        <v>78.890294808280899</v>
      </c>
      <c r="AD99">
        <v>30.432503201480799</v>
      </c>
      <c r="AE99">
        <v>79.616770581983005</v>
      </c>
      <c r="AF99">
        <v>39.849633836475803</v>
      </c>
      <c r="AG99">
        <v>70.618647804706001</v>
      </c>
      <c r="AH99">
        <v>52.499075363872301</v>
      </c>
      <c r="AI99">
        <v>52.499086549700102</v>
      </c>
      <c r="AJ99">
        <v>0.33333333333333298</v>
      </c>
      <c r="AK99">
        <v>26.6666666666666</v>
      </c>
      <c r="AL99">
        <v>2655837208.7228298</v>
      </c>
      <c r="AM99">
        <v>360922615.74258298</v>
      </c>
      <c r="AN99">
        <v>4925.5267100000001</v>
      </c>
      <c r="AO99" s="69">
        <v>44154847407.827904</v>
      </c>
      <c r="AP99">
        <v>15737340828.7747</v>
      </c>
      <c r="AQ99">
        <v>4925.5267100000001</v>
      </c>
      <c r="AR99" s="69">
        <v>9108568564.6006603</v>
      </c>
      <c r="AS99">
        <v>9108568564.6006603</v>
      </c>
      <c r="AT99">
        <v>8617.5824499999999</v>
      </c>
      <c r="AU99">
        <v>3511502481.1528602</v>
      </c>
      <c r="AV99">
        <v>3060.8243870564902</v>
      </c>
      <c r="AW99">
        <v>2147.7269045513499</v>
      </c>
      <c r="AX99">
        <v>2651.4274057544499</v>
      </c>
      <c r="AY99">
        <v>1850.39664406119</v>
      </c>
      <c r="AZ99">
        <v>1192.8359424082</v>
      </c>
      <c r="BA99">
        <v>2158.4420927730498</v>
      </c>
      <c r="BB99">
        <v>1929.32641902251</v>
      </c>
      <c r="BC99">
        <v>1645.2740963937799</v>
      </c>
      <c r="BD99">
        <v>2077.6834385126399</v>
      </c>
      <c r="BE99">
        <v>2057.1849181319299</v>
      </c>
      <c r="BF99">
        <v>790.12015623537002</v>
      </c>
      <c r="BG99">
        <v>2086.99377489995</v>
      </c>
      <c r="BH99">
        <v>1041.34500333456</v>
      </c>
      <c r="BI99">
        <v>1840.4371833385201</v>
      </c>
      <c r="BJ99">
        <v>1367.79194568295</v>
      </c>
      <c r="BK99">
        <v>1367.7922468494901</v>
      </c>
      <c r="BL99">
        <v>682.98347172194701</v>
      </c>
      <c r="BM99">
        <v>477.66284482449402</v>
      </c>
      <c r="BN99">
        <v>586.14643012194597</v>
      </c>
      <c r="BO99">
        <v>409.579006516677</v>
      </c>
      <c r="BP99">
        <v>264.91763955139101</v>
      </c>
      <c r="BQ99">
        <v>477.349318491654</v>
      </c>
      <c r="BR99">
        <v>427.53360601416398</v>
      </c>
      <c r="BS99">
        <v>365.55234785203402</v>
      </c>
      <c r="BT99">
        <v>462.52019268825001</v>
      </c>
      <c r="BU99">
        <v>457.86704977413001</v>
      </c>
      <c r="BV99">
        <v>177.43437207775901</v>
      </c>
      <c r="BW99">
        <v>463.63753453147802</v>
      </c>
      <c r="BX99">
        <v>232.24071487734199</v>
      </c>
      <c r="BY99">
        <v>409.66916729066298</v>
      </c>
      <c r="BZ99">
        <v>304.600954514276</v>
      </c>
      <c r="CA99">
        <v>304.60101264794503</v>
      </c>
      <c r="CB99">
        <v>1772.42931793509</v>
      </c>
      <c r="CC99">
        <v>1250.7096368733501</v>
      </c>
      <c r="CD99">
        <v>1521.22313456093</v>
      </c>
      <c r="CE99">
        <v>1109.84831523864</v>
      </c>
      <c r="CF99">
        <v>678.81519108156397</v>
      </c>
      <c r="CG99">
        <v>1291.69584955093</v>
      </c>
      <c r="CH99">
        <v>1144.8101579087399</v>
      </c>
      <c r="CI99">
        <v>997.97464265996598</v>
      </c>
      <c r="CJ99">
        <v>1243.43803297506</v>
      </c>
      <c r="CK99">
        <v>1264.1139822432101</v>
      </c>
      <c r="CL99">
        <v>462.442453745519</v>
      </c>
      <c r="CM99">
        <v>1252.4683251071699</v>
      </c>
      <c r="CN99">
        <v>637.60431717056395</v>
      </c>
      <c r="CO99">
        <v>1156.74409890071</v>
      </c>
      <c r="CP99">
        <v>863.24250848612996</v>
      </c>
      <c r="CQ99">
        <v>863.24285105806905</v>
      </c>
      <c r="CR99" s="1">
        <v>21422491.351407699</v>
      </c>
      <c r="CS99" s="1">
        <v>16307623.1753181</v>
      </c>
      <c r="CT99" s="1">
        <v>9327003.2673019096</v>
      </c>
      <c r="CU99" s="1">
        <v>6901955.0011760201</v>
      </c>
      <c r="CV99" s="1">
        <v>4304508.1302105999</v>
      </c>
      <c r="CW99" s="1">
        <v>2212675.7333663902</v>
      </c>
      <c r="CX99" s="1">
        <v>1693507.6001382701</v>
      </c>
      <c r="CY99" s="1">
        <v>2025078.33356344</v>
      </c>
      <c r="CZ99" s="1">
        <v>1054483.78432966</v>
      </c>
      <c r="DA99" s="1">
        <v>1302698.76841454</v>
      </c>
      <c r="DB99" s="1">
        <v>1635718.92156997</v>
      </c>
      <c r="DC99" s="1">
        <v>1563767.48755303</v>
      </c>
      <c r="DD99" s="1">
        <v>1759389.13642766</v>
      </c>
      <c r="DE99" s="1">
        <v>1471146.1069554801</v>
      </c>
      <c r="DF99" s="1">
        <v>1068181.54722651</v>
      </c>
      <c r="DG99" s="1">
        <v>1446205.8606686599</v>
      </c>
      <c r="DH99" s="1">
        <v>990171147.15623796</v>
      </c>
      <c r="DI99" s="1">
        <v>755627013.48545098</v>
      </c>
      <c r="DJ99" s="1">
        <v>448774587.12773401</v>
      </c>
      <c r="DK99" s="1">
        <v>328518986.89050198</v>
      </c>
      <c r="DL99" s="1">
        <v>210790377.05046299</v>
      </c>
      <c r="DM99" s="1">
        <v>109494739.607538</v>
      </c>
      <c r="DN99" s="1">
        <v>85173649.714922801</v>
      </c>
      <c r="DO99" s="1">
        <v>108679650.773048</v>
      </c>
      <c r="DP99" s="1">
        <v>54109698.4610487</v>
      </c>
      <c r="DQ99" s="1">
        <v>70534654.841961905</v>
      </c>
      <c r="DR99" s="1">
        <v>91073652.731499493</v>
      </c>
      <c r="DS99" s="1">
        <v>75284666.001998499</v>
      </c>
      <c r="DT99" s="1">
        <v>90370121.143352702</v>
      </c>
      <c r="DU99" s="1">
        <v>84057693.2286378</v>
      </c>
      <c r="DV99" s="1">
        <v>52112879.618822403</v>
      </c>
      <c r="DW99" s="1">
        <v>78809443.613285795</v>
      </c>
    </row>
    <row r="100" spans="1:127" x14ac:dyDescent="0.25">
      <c r="A100" t="s">
        <v>127</v>
      </c>
      <c r="B100">
        <v>43.6</v>
      </c>
      <c r="C100">
        <v>-110.73</v>
      </c>
      <c r="D100">
        <v>-26.3</v>
      </c>
      <c r="E100">
        <v>-22.8</v>
      </c>
      <c r="F100">
        <v>29</v>
      </c>
      <c r="G100">
        <v>13.1</v>
      </c>
      <c r="H100">
        <v>27.5</v>
      </c>
      <c r="I100">
        <v>12.5</v>
      </c>
      <c r="J100">
        <v>0</v>
      </c>
      <c r="K100">
        <v>0</v>
      </c>
      <c r="L100">
        <v>873022794.30098999</v>
      </c>
      <c r="M100">
        <v>211297398.65609601</v>
      </c>
      <c r="N100">
        <v>5732.6809899999998</v>
      </c>
      <c r="O100" s="75">
        <v>65551432285.091698</v>
      </c>
      <c r="P100">
        <f>81939290356.3649*(0.8/0.96)</f>
        <v>68282741963.637421</v>
      </c>
      <c r="Q100">
        <v>29308</v>
      </c>
      <c r="R100">
        <v>821828607.24320698</v>
      </c>
      <c r="S100">
        <f>4121.62266363055*(0.8/0.96)</f>
        <v>3434.6855530254584</v>
      </c>
      <c r="T100">
        <v>160.03722740983699</v>
      </c>
      <c r="U100">
        <v>110.29364721851999</v>
      </c>
      <c r="V100">
        <v>136.85899036159401</v>
      </c>
      <c r="W100">
        <v>93.311985684926199</v>
      </c>
      <c r="X100">
        <v>60.595557342988101</v>
      </c>
      <c r="Y100">
        <v>108.420163743195</v>
      </c>
      <c r="Z100">
        <v>96.379811172806697</v>
      </c>
      <c r="AA100">
        <v>83.285196389767194</v>
      </c>
      <c r="AB100">
        <v>105.99192920580199</v>
      </c>
      <c r="AC100">
        <v>103.059342503765</v>
      </c>
      <c r="AD100">
        <v>39.706160715724998</v>
      </c>
      <c r="AE100">
        <v>104.705982698089</v>
      </c>
      <c r="AF100">
        <v>51.211774607915899</v>
      </c>
      <c r="AG100">
        <v>91.981253113685099</v>
      </c>
      <c r="AH100">
        <v>67.897400804677503</v>
      </c>
      <c r="AI100">
        <v>67.897415673234505</v>
      </c>
      <c r="AJ100">
        <v>0</v>
      </c>
      <c r="AK100">
        <v>31.249999999999801</v>
      </c>
      <c r="AL100">
        <v>871451226.83571005</v>
      </c>
      <c r="AM100">
        <v>125826615.186804</v>
      </c>
      <c r="AN100">
        <v>5732.6809899999998</v>
      </c>
      <c r="AO100" s="69">
        <v>50570526731.518204</v>
      </c>
      <c r="AP100">
        <v>19679441008.057301</v>
      </c>
      <c r="AQ100">
        <v>5732.6809899999998</v>
      </c>
      <c r="AR100" s="69">
        <v>11771954785.548901</v>
      </c>
      <c r="AS100">
        <v>11771954785.548901</v>
      </c>
      <c r="AT100">
        <v>9846.3083399999996</v>
      </c>
      <c r="AU100">
        <v>4178127787.02843</v>
      </c>
      <c r="AV100">
        <v>3824.6782486382299</v>
      </c>
      <c r="AW100">
        <v>2638.5429147841701</v>
      </c>
      <c r="AX100">
        <v>3274.20318425305</v>
      </c>
      <c r="AY100">
        <v>2234.1263454647101</v>
      </c>
      <c r="AZ100">
        <v>1466.8923940973</v>
      </c>
      <c r="BA100">
        <v>2597.32535660333</v>
      </c>
      <c r="BB100">
        <v>2316.8170117888799</v>
      </c>
      <c r="BC100">
        <v>1995.7724531066101</v>
      </c>
      <c r="BD100">
        <v>2534.6747650245902</v>
      </c>
      <c r="BE100">
        <v>2474.8560468986898</v>
      </c>
      <c r="BF100">
        <v>950.46039747387397</v>
      </c>
      <c r="BG100">
        <v>2517.1973674375099</v>
      </c>
      <c r="BH100">
        <v>1230.4759453715801</v>
      </c>
      <c r="BI100">
        <v>2204.6426789838702</v>
      </c>
      <c r="BJ100">
        <v>1638.18624367546</v>
      </c>
      <c r="BK100">
        <v>1638.1864004593101</v>
      </c>
      <c r="BL100">
        <v>812.94285356152398</v>
      </c>
      <c r="BM100">
        <v>559.55791453167399</v>
      </c>
      <c r="BN100">
        <v>693.09422640944797</v>
      </c>
      <c r="BO100">
        <v>472.418719408931</v>
      </c>
      <c r="BP100">
        <v>307.58154320136902</v>
      </c>
      <c r="BQ100">
        <v>549.26023367446305</v>
      </c>
      <c r="BR100">
        <v>488.14311699089302</v>
      </c>
      <c r="BS100">
        <v>422.47700048818098</v>
      </c>
      <c r="BT100">
        <v>538.06426008774395</v>
      </c>
      <c r="BU100">
        <v>522.79462586822797</v>
      </c>
      <c r="BV100">
        <v>201.365897824482</v>
      </c>
      <c r="BW100">
        <v>530.73475918354995</v>
      </c>
      <c r="BX100">
        <v>259.251483189346</v>
      </c>
      <c r="BY100">
        <v>467.049679749912</v>
      </c>
      <c r="BZ100">
        <v>344.51386748770301</v>
      </c>
      <c r="CA100">
        <v>344.51393075780197</v>
      </c>
      <c r="CB100">
        <v>2301.70316649404</v>
      </c>
      <c r="CC100">
        <v>1649.3225728888899</v>
      </c>
      <c r="CD100">
        <v>2039.90159810412</v>
      </c>
      <c r="CE100">
        <v>1488.3894630771999</v>
      </c>
      <c r="CF100">
        <v>851.99346176791403</v>
      </c>
      <c r="CG100">
        <v>1703.75124066488</v>
      </c>
      <c r="CH100">
        <v>1482.1743176951099</v>
      </c>
      <c r="CI100">
        <v>1305.50594838451</v>
      </c>
      <c r="CJ100">
        <v>1636.9884509559199</v>
      </c>
      <c r="CK100">
        <v>1599.93518676337</v>
      </c>
      <c r="CL100">
        <v>601.35894923303101</v>
      </c>
      <c r="CM100">
        <v>1619.2971332130001</v>
      </c>
      <c r="CN100">
        <v>842.62952211685001</v>
      </c>
      <c r="CO100">
        <v>1485.89597199945</v>
      </c>
      <c r="CP100">
        <v>1065.0118925234499</v>
      </c>
      <c r="CQ100">
        <v>1065.0125840040801</v>
      </c>
      <c r="CR100" s="1">
        <v>30413683.467085999</v>
      </c>
      <c r="CS100" s="1">
        <v>22811532.5826841</v>
      </c>
      <c r="CT100" s="1">
        <v>12590007.3226231</v>
      </c>
      <c r="CU100" s="1">
        <v>9486366.09420247</v>
      </c>
      <c r="CV100" s="1">
        <v>6039033.4927070504</v>
      </c>
      <c r="CW100" s="1">
        <v>2735327.7934586899</v>
      </c>
      <c r="CX100" s="1">
        <v>2347626.5353812799</v>
      </c>
      <c r="CY100" s="1">
        <v>2462678.8526450698</v>
      </c>
      <c r="CZ100" s="1">
        <v>1262749.65076229</v>
      </c>
      <c r="DA100" s="1">
        <v>1643427.70316975</v>
      </c>
      <c r="DB100" s="1">
        <v>2091640.1394766599</v>
      </c>
      <c r="DC100" s="1">
        <v>1804317.0752534601</v>
      </c>
      <c r="DD100" s="1">
        <v>2017320.83002513</v>
      </c>
      <c r="DE100" s="1">
        <v>1853530.9024823799</v>
      </c>
      <c r="DF100" s="1">
        <v>1409321.38208725</v>
      </c>
      <c r="DG100" s="1">
        <v>1647688.17900022</v>
      </c>
      <c r="DH100" s="1">
        <v>1303310698.5461099</v>
      </c>
      <c r="DI100" s="1">
        <v>979577199.13982296</v>
      </c>
      <c r="DJ100" s="1">
        <v>561132107.20195198</v>
      </c>
      <c r="DK100" s="1">
        <v>412377373.56114399</v>
      </c>
      <c r="DL100" s="1">
        <v>276730275.31437898</v>
      </c>
      <c r="DM100" s="1">
        <v>129209879.70863301</v>
      </c>
      <c r="DN100" s="1">
        <v>106714632.506084</v>
      </c>
      <c r="DO100" s="1">
        <v>122524521.549823</v>
      </c>
      <c r="DP100" s="1">
        <v>59737147.1531322</v>
      </c>
      <c r="DQ100" s="1">
        <v>85871298.795704499</v>
      </c>
      <c r="DR100" s="1">
        <v>108689476.856245</v>
      </c>
      <c r="DS100" s="1">
        <v>85216395.905196294</v>
      </c>
      <c r="DT100" s="1">
        <v>98775115.819644094</v>
      </c>
      <c r="DU100" s="1">
        <v>92546038.423456594</v>
      </c>
      <c r="DV100" s="1">
        <v>65581112.584518202</v>
      </c>
      <c r="DW100" s="1">
        <v>80721934.469363004</v>
      </c>
    </row>
  </sheetData>
  <sortState xmlns:xlrd2="http://schemas.microsoft.com/office/spreadsheetml/2017/richdata2" ref="A2:DW100">
    <sortCondition ref="A1:A10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
  <sheetViews>
    <sheetView topLeftCell="A10" workbookViewId="0">
      <selection activeCell="C67" sqref="C67"/>
    </sheetView>
  </sheetViews>
  <sheetFormatPr defaultRowHeight="15" x14ac:dyDescent="0.25"/>
  <cols>
    <col min="1" max="1" width="9.140625" style="3"/>
    <col min="2" max="2" width="18.42578125" style="3" customWidth="1"/>
    <col min="3" max="3" width="18.5703125" style="3" customWidth="1"/>
    <col min="4" max="4" width="49.5703125" style="3" bestFit="1" customWidth="1"/>
    <col min="5" max="5" width="21.42578125" style="3" customWidth="1"/>
    <col min="6" max="6" width="35.5703125" style="3" customWidth="1"/>
    <col min="7" max="9" width="19.28515625" style="3" customWidth="1"/>
  </cols>
  <sheetData>
    <row r="1" spans="1:9" s="3" customFormat="1" x14ac:dyDescent="0.25">
      <c r="A1" s="63" t="s">
        <v>177</v>
      </c>
      <c r="B1" s="63" t="s">
        <v>178</v>
      </c>
      <c r="C1" s="63" t="s">
        <v>323</v>
      </c>
      <c r="D1" s="63" t="s">
        <v>179</v>
      </c>
      <c r="E1" s="63" t="s">
        <v>3623</v>
      </c>
      <c r="F1" s="63"/>
      <c r="G1" s="63" t="s">
        <v>321</v>
      </c>
      <c r="H1" s="63" t="s">
        <v>322</v>
      </c>
      <c r="I1" s="63" t="s">
        <v>3766</v>
      </c>
    </row>
    <row r="2" spans="1:9" x14ac:dyDescent="0.25">
      <c r="A2" s="62" t="s">
        <v>180</v>
      </c>
      <c r="B2" s="15" t="s">
        <v>181</v>
      </c>
      <c r="C2" s="15" t="s">
        <v>376</v>
      </c>
      <c r="D2" s="15" t="s">
        <v>30</v>
      </c>
      <c r="E2" s="64">
        <f>VLOOKUP(C2,'Census Population Data'!$B$6:$O$3147,13,FALSE)</f>
        <v>658573</v>
      </c>
      <c r="F2" s="16" t="str">
        <f>VLOOKUP(C2,'Census Population Data'!$B$6:$O$3147,14,FALSE)</f>
        <v>Jefferson County, Alabama</v>
      </c>
      <c r="G2" s="62">
        <v>3</v>
      </c>
      <c r="H2" s="62" t="s">
        <v>377</v>
      </c>
      <c r="I2" s="3" t="s">
        <v>3767</v>
      </c>
    </row>
    <row r="3" spans="1:9" x14ac:dyDescent="0.25">
      <c r="A3" s="62" t="s">
        <v>180</v>
      </c>
      <c r="B3" s="15" t="s">
        <v>182</v>
      </c>
      <c r="C3" s="15" t="s">
        <v>182</v>
      </c>
      <c r="D3" s="15" t="s">
        <v>31</v>
      </c>
      <c r="E3" s="64">
        <f>VLOOKUP(C3,'Census Population Data'!$B$6:$O$3147,13,FALSE)</f>
        <v>413210</v>
      </c>
      <c r="F3" s="16" t="str">
        <f>VLOOKUP(C3,'Census Population Data'!$B$6:$O$3147,14,FALSE)</f>
        <v>Mobile County, Alabama</v>
      </c>
      <c r="G3" s="62">
        <v>2</v>
      </c>
      <c r="H3" s="62" t="s">
        <v>378</v>
      </c>
      <c r="I3" s="3" t="s">
        <v>3767</v>
      </c>
    </row>
    <row r="4" spans="1:9" x14ac:dyDescent="0.25">
      <c r="A4" s="62" t="s">
        <v>183</v>
      </c>
      <c r="B4" s="15" t="s">
        <v>184</v>
      </c>
      <c r="C4" s="15" t="s">
        <v>379</v>
      </c>
      <c r="D4" s="15" t="s">
        <v>33</v>
      </c>
      <c r="E4" s="64">
        <f>VLOOKUP(C4,'Census Population Data'!$B$100:$O$3147,13,FALSE)</f>
        <v>239187</v>
      </c>
      <c r="F4" s="16" t="str">
        <f>VLOOKUP(C4,'Census Population Data'!$B$100:$O$3147,14,FALSE)</f>
        <v>Washington County, Arkansas</v>
      </c>
      <c r="G4" s="62">
        <v>4</v>
      </c>
      <c r="H4" s="62" t="s">
        <v>377</v>
      </c>
      <c r="I4" s="3" t="s">
        <v>3767</v>
      </c>
    </row>
    <row r="5" spans="1:9" x14ac:dyDescent="0.25">
      <c r="A5" s="62" t="s">
        <v>183</v>
      </c>
      <c r="B5" s="15" t="s">
        <v>185</v>
      </c>
      <c r="C5" s="15" t="s">
        <v>380</v>
      </c>
      <c r="D5" s="15" t="s">
        <v>32</v>
      </c>
      <c r="E5" s="64">
        <f>VLOOKUP(C5,'Census Population Data'!$B$6:$O$3147,13,FALSE)</f>
        <v>391911</v>
      </c>
      <c r="F5" s="16" t="str">
        <f>VLOOKUP(C5,'Census Population Data'!$B$6:$O$3147,14,FALSE)</f>
        <v>Pulaski County, Arkansas</v>
      </c>
      <c r="G5" s="62">
        <v>3</v>
      </c>
      <c r="H5" s="62" t="s">
        <v>377</v>
      </c>
      <c r="I5" s="3" t="s">
        <v>3767</v>
      </c>
    </row>
    <row r="6" spans="1:9" x14ac:dyDescent="0.25">
      <c r="A6" s="62" t="s">
        <v>186</v>
      </c>
      <c r="B6" s="15" t="s">
        <v>187</v>
      </c>
      <c r="C6" s="15" t="s">
        <v>381</v>
      </c>
      <c r="D6" s="15" t="s">
        <v>36</v>
      </c>
      <c r="E6" s="64">
        <f>VLOOKUP(C6,'Census Population Data'!$B$6:$O$3147,13,FALSE)</f>
        <v>143476</v>
      </c>
      <c r="F6" s="16" t="str">
        <f>VLOOKUP(C6,'Census Population Data'!$B$6:$O$3147,14,FALSE)</f>
        <v>Coconino County, Arizona</v>
      </c>
      <c r="G6" s="62">
        <v>5</v>
      </c>
      <c r="H6" s="62" t="s">
        <v>382</v>
      </c>
      <c r="I6" s="3" t="s">
        <v>3768</v>
      </c>
    </row>
    <row r="7" spans="1:9" x14ac:dyDescent="0.25">
      <c r="A7" s="62" t="s">
        <v>186</v>
      </c>
      <c r="B7" s="15" t="s">
        <v>188</v>
      </c>
      <c r="C7" s="15" t="s">
        <v>383</v>
      </c>
      <c r="D7" s="15" t="s">
        <v>37</v>
      </c>
      <c r="E7" s="64">
        <f>VLOOKUP(C7,'Census Population Data'!$B$6:$O$3147,13,FALSE)</f>
        <v>212181</v>
      </c>
      <c r="F7" s="16" t="str">
        <f>VLOOKUP(C7,'Census Population Data'!$B$6:$O$3147,14,FALSE)</f>
        <v>Mohave County, Arizona</v>
      </c>
      <c r="G7" s="62">
        <v>3</v>
      </c>
      <c r="H7" s="62" t="s">
        <v>384</v>
      </c>
      <c r="I7" s="3" t="s">
        <v>3768</v>
      </c>
    </row>
    <row r="8" spans="1:9" x14ac:dyDescent="0.25">
      <c r="A8" s="62" t="s">
        <v>186</v>
      </c>
      <c r="B8" s="15" t="s">
        <v>189</v>
      </c>
      <c r="C8" s="15" t="s">
        <v>385</v>
      </c>
      <c r="D8" s="15" t="s">
        <v>34</v>
      </c>
      <c r="E8" s="64">
        <f>VLOOKUP(C8,'Census Population Data'!$B$6:$O$3147,13,FALSE)</f>
        <v>4485414</v>
      </c>
      <c r="F8" s="16" t="str">
        <f>VLOOKUP(C8,'Census Population Data'!$B$6:$O$3147,14,FALSE)</f>
        <v>Maricopa County, Arizona</v>
      </c>
      <c r="G8" s="62">
        <v>2</v>
      </c>
      <c r="H8" s="62" t="s">
        <v>384</v>
      </c>
      <c r="I8" s="3" t="s">
        <v>3768</v>
      </c>
    </row>
    <row r="9" spans="1:9" x14ac:dyDescent="0.25">
      <c r="A9" s="62" t="s">
        <v>186</v>
      </c>
      <c r="B9" s="15" t="s">
        <v>190</v>
      </c>
      <c r="C9" s="15" t="s">
        <v>3632</v>
      </c>
      <c r="D9" s="15" t="s">
        <v>35</v>
      </c>
      <c r="E9" s="64">
        <f>VLOOKUP(C9,'Census Population Data'!$B$6:$O$3147,13,FALSE)</f>
        <v>235099</v>
      </c>
      <c r="F9" s="16" t="str">
        <f>VLOOKUP(C9,'Census Population Data'!$B$6:$O$3147,14,FALSE)</f>
        <v>Yavapai County, Arizona</v>
      </c>
      <c r="G9" s="62">
        <v>4</v>
      </c>
      <c r="H9" s="62" t="s">
        <v>386</v>
      </c>
      <c r="I9" s="3" t="s">
        <v>3768</v>
      </c>
    </row>
    <row r="10" spans="1:9" x14ac:dyDescent="0.25">
      <c r="A10" s="62" t="s">
        <v>191</v>
      </c>
      <c r="B10" s="15" t="s">
        <v>192</v>
      </c>
      <c r="C10" s="15" t="s">
        <v>387</v>
      </c>
      <c r="D10" s="15" t="s">
        <v>41</v>
      </c>
      <c r="E10" s="64">
        <f>VLOOKUP(C10,'Census Population Data'!$B$6:$O$3147,13,FALSE)</f>
        <v>18039</v>
      </c>
      <c r="F10" s="16" t="str">
        <f>VLOOKUP(C10,'Census Population Data'!$B$6:$O$3147,14,FALSE)</f>
        <v>Inyo County, California</v>
      </c>
      <c r="G10" s="62">
        <v>5</v>
      </c>
      <c r="H10" s="62" t="s">
        <v>382</v>
      </c>
      <c r="I10" s="3" t="s">
        <v>3769</v>
      </c>
    </row>
    <row r="11" spans="1:9" x14ac:dyDescent="0.25">
      <c r="A11" s="62" t="s">
        <v>191</v>
      </c>
      <c r="B11" s="15" t="s">
        <v>193</v>
      </c>
      <c r="C11" s="15" t="s">
        <v>3633</v>
      </c>
      <c r="D11" s="15" t="s">
        <v>40</v>
      </c>
      <c r="E11" s="64">
        <f>VLOOKUP(C11,'Census Population Data'!$B$6:$O$3147,13,FALSE)</f>
        <v>27812</v>
      </c>
      <c r="F11" s="16" t="str">
        <f>VLOOKUP(C11,'Census Population Data'!$B$6:$O$3147,14,FALSE)</f>
        <v>Del Norte County, California</v>
      </c>
      <c r="G11" s="62">
        <v>4</v>
      </c>
      <c r="H11" s="62" t="s">
        <v>388</v>
      </c>
      <c r="I11" s="3" t="s">
        <v>3769</v>
      </c>
    </row>
    <row r="12" spans="1:9" x14ac:dyDescent="0.25">
      <c r="A12" s="62" t="s">
        <v>191</v>
      </c>
      <c r="B12" s="15" t="s">
        <v>194</v>
      </c>
      <c r="C12" s="15" t="s">
        <v>194</v>
      </c>
      <c r="D12" s="15" t="s">
        <v>38</v>
      </c>
      <c r="E12" s="64">
        <f>VLOOKUP(C12,'Census Population Data'!$B$6:$O$3147,13,FALSE)</f>
        <v>181215</v>
      </c>
      <c r="F12" s="16" t="str">
        <f>VLOOKUP(C12,'Census Population Data'!$B$6:$O$3147,14,FALSE)</f>
        <v>Imperial County, California</v>
      </c>
      <c r="G12" s="62">
        <v>2</v>
      </c>
      <c r="H12" s="62" t="s">
        <v>384</v>
      </c>
      <c r="I12" s="3" t="s">
        <v>3769</v>
      </c>
    </row>
    <row r="13" spans="1:9" x14ac:dyDescent="0.25">
      <c r="A13" s="62" t="s">
        <v>191</v>
      </c>
      <c r="B13" s="15" t="s">
        <v>389</v>
      </c>
      <c r="C13" s="15" t="s">
        <v>3634</v>
      </c>
      <c r="D13" s="15" t="s">
        <v>39</v>
      </c>
      <c r="E13" s="64">
        <f>VLOOKUP(C13,'Census Population Data'!$B$6:$O$3147,13,FALSE)</f>
        <v>10039107</v>
      </c>
      <c r="F13" s="16" t="str">
        <f>VLOOKUP(C13,'Census Population Data'!$B$6:$O$3147,14,FALSE)</f>
        <v>Los Angeles County, California</v>
      </c>
      <c r="G13" s="62">
        <v>3</v>
      </c>
      <c r="H13" s="62" t="s">
        <v>388</v>
      </c>
      <c r="I13" s="3" t="s">
        <v>3769</v>
      </c>
    </row>
    <row r="14" spans="1:9" x14ac:dyDescent="0.25">
      <c r="A14" s="62" t="s">
        <v>191</v>
      </c>
      <c r="B14" s="15" t="s">
        <v>320</v>
      </c>
      <c r="C14" s="15" t="s">
        <v>320</v>
      </c>
      <c r="D14" s="15" t="s">
        <v>390</v>
      </c>
      <c r="E14" s="64">
        <f>VLOOKUP(C14,'Census Population Data'!$B$6:$O$3147,13,FALSE)</f>
        <v>1552058</v>
      </c>
      <c r="F14" s="16" t="str">
        <f>VLOOKUP(C14,'Census Population Data'!$B$6:$O$3147,14,FALSE)</f>
        <v>Sacramento County, California</v>
      </c>
      <c r="G14" s="62">
        <v>3</v>
      </c>
      <c r="H14" s="62" t="s">
        <v>384</v>
      </c>
      <c r="I14" s="3" t="s">
        <v>3769</v>
      </c>
    </row>
    <row r="15" spans="1:9" x14ac:dyDescent="0.25">
      <c r="A15" s="62" t="s">
        <v>191</v>
      </c>
      <c r="B15" s="15" t="s">
        <v>3714</v>
      </c>
      <c r="C15" s="15" t="s">
        <v>3715</v>
      </c>
      <c r="D15" t="s">
        <v>3705</v>
      </c>
      <c r="E15" s="64">
        <f>VLOOKUP(C15,'Census Population Data'!$B$6:$O$3147,13,FALSE)</f>
        <v>1927852</v>
      </c>
      <c r="F15" s="16" t="str">
        <f>VLOOKUP(C15,'Census Population Data'!$B$6:$O$3147,14,FALSE)</f>
        <v>Santa Clara County, California</v>
      </c>
      <c r="G15" s="62">
        <v>3</v>
      </c>
      <c r="H15" s="62" t="s">
        <v>388</v>
      </c>
      <c r="I15" s="3" t="s">
        <v>3769</v>
      </c>
    </row>
    <row r="16" spans="1:9" x14ac:dyDescent="0.25">
      <c r="A16" s="62" t="s">
        <v>195</v>
      </c>
      <c r="B16" s="15" t="s">
        <v>196</v>
      </c>
      <c r="C16" s="15" t="s">
        <v>196</v>
      </c>
      <c r="D16" s="15" t="s">
        <v>45</v>
      </c>
      <c r="E16" s="64">
        <f>VLOOKUP(C16,'Census Population Data'!$B$6:$O$3147,13,FALSE)</f>
        <v>16233</v>
      </c>
      <c r="F16" s="16" t="str">
        <f>VLOOKUP(C16,'Census Population Data'!$B$6:$O$3147,14,FALSE)</f>
        <v>Alamosa County, Colorado</v>
      </c>
      <c r="G16" s="62">
        <v>6</v>
      </c>
      <c r="H16" s="62" t="s">
        <v>382</v>
      </c>
      <c r="I16" s="3" t="s">
        <v>3770</v>
      </c>
    </row>
    <row r="17" spans="1:9" x14ac:dyDescent="0.25">
      <c r="A17" s="62" t="s">
        <v>195</v>
      </c>
      <c r="B17" s="15" t="s">
        <v>197</v>
      </c>
      <c r="C17" s="15" t="s">
        <v>391</v>
      </c>
      <c r="D17" s="15" t="s">
        <v>46</v>
      </c>
      <c r="E17" s="64">
        <f>VLOOKUP(C17,'Census Population Data'!$B$6:$O$3147,13,FALSE)</f>
        <v>17767</v>
      </c>
      <c r="F17" s="16" t="str">
        <f>VLOOKUP(C17,'Census Population Data'!$B$6:$O$3147,14,FALSE)</f>
        <v>Pitkin County, Colorado</v>
      </c>
      <c r="G17" s="62">
        <v>7</v>
      </c>
      <c r="H17" s="62" t="s">
        <v>392</v>
      </c>
      <c r="I17" s="3" t="s">
        <v>3770</v>
      </c>
    </row>
    <row r="18" spans="1:9" x14ac:dyDescent="0.25">
      <c r="A18" s="62" t="s">
        <v>195</v>
      </c>
      <c r="B18" s="15" t="s">
        <v>198</v>
      </c>
      <c r="C18" s="15" t="s">
        <v>198</v>
      </c>
      <c r="D18" s="15" t="s">
        <v>44</v>
      </c>
      <c r="E18" s="64">
        <f>VLOOKUP(C18,'Census Population Data'!$B$6:$O$3147,13,FALSE)</f>
        <v>727211</v>
      </c>
      <c r="F18" s="16" t="str">
        <f>VLOOKUP(C18,'Census Population Data'!$B$6:$O$3147,14,FALSE)</f>
        <v>Denver County, Colorado</v>
      </c>
      <c r="G18" s="62">
        <v>5</v>
      </c>
      <c r="H18" s="62" t="s">
        <v>382</v>
      </c>
      <c r="I18" s="3" t="s">
        <v>3770</v>
      </c>
    </row>
    <row r="19" spans="1:9" x14ac:dyDescent="0.25">
      <c r="A19" s="62" t="s">
        <v>195</v>
      </c>
      <c r="B19" s="15" t="s">
        <v>199</v>
      </c>
      <c r="C19" s="15" t="s">
        <v>3635</v>
      </c>
      <c r="D19" s="15" t="s">
        <v>43</v>
      </c>
      <c r="E19" s="64">
        <f>VLOOKUP(C19,'Census Population Data'!$B$6:$O$3147,13,FALSE)</f>
        <v>14506</v>
      </c>
      <c r="F19" s="16" t="str">
        <f>VLOOKUP(C19,'Census Population Data'!$B$6:$O$3147,14,FALSE)</f>
        <v>Las Animas County, Colorado</v>
      </c>
      <c r="G19" s="62">
        <v>4</v>
      </c>
      <c r="H19" s="62" t="s">
        <v>382</v>
      </c>
      <c r="I19" s="3" t="s">
        <v>3770</v>
      </c>
    </row>
    <row r="20" spans="1:9" x14ac:dyDescent="0.25">
      <c r="A20" s="62" t="s">
        <v>200</v>
      </c>
      <c r="B20" s="15" t="s">
        <v>201</v>
      </c>
      <c r="C20" s="15" t="s">
        <v>3636</v>
      </c>
      <c r="D20" s="15" t="s">
        <v>47</v>
      </c>
      <c r="E20" s="64">
        <f>VLOOKUP(C20,'Census Population Data'!$B$6:$O$3147,13,FALSE)</f>
        <v>943332</v>
      </c>
      <c r="F20" s="16" t="str">
        <f>VLOOKUP(C20,'Census Population Data'!$B$6:$O$3147,14,FALSE)</f>
        <v>Fairfield County, Connecticut</v>
      </c>
      <c r="G20" s="62">
        <v>5</v>
      </c>
      <c r="H20" s="62" t="s">
        <v>382</v>
      </c>
      <c r="I20" s="3" t="s">
        <v>3771</v>
      </c>
    </row>
    <row r="21" spans="1:9" x14ac:dyDescent="0.25">
      <c r="A21" s="62" t="s">
        <v>202</v>
      </c>
      <c r="B21" s="15" t="s">
        <v>203</v>
      </c>
      <c r="C21" s="15" t="s">
        <v>3637</v>
      </c>
      <c r="D21" s="15" t="s">
        <v>48</v>
      </c>
      <c r="E21" s="64">
        <f>VLOOKUP(C21,'Census Population Data'!$B$6:$O$3147,13,FALSE)</f>
        <v>558753</v>
      </c>
      <c r="F21" s="16" t="str">
        <f>VLOOKUP(C21,'Census Population Data'!$B$6:$O$3147,14,FALSE)</f>
        <v>New Castle County, Delaware</v>
      </c>
      <c r="G21" s="62">
        <v>4</v>
      </c>
      <c r="H21" s="62" t="s">
        <v>377</v>
      </c>
      <c r="I21" s="3" t="s">
        <v>3767</v>
      </c>
    </row>
    <row r="22" spans="1:9" x14ac:dyDescent="0.25">
      <c r="A22" s="62" t="s">
        <v>204</v>
      </c>
      <c r="B22" s="15" t="s">
        <v>205</v>
      </c>
      <c r="C22" s="15" t="s">
        <v>393</v>
      </c>
      <c r="D22" s="15" t="s">
        <v>50</v>
      </c>
      <c r="E22" s="64">
        <f>VLOOKUP(C22,'Census Population Data'!$B$6:$O$3147,13,FALSE)</f>
        <v>957755</v>
      </c>
      <c r="F22" s="16" t="str">
        <f>VLOOKUP(C22,'Census Population Data'!$B$6:$O$3147,14,FALSE)</f>
        <v>Duval County, Florida</v>
      </c>
      <c r="G22" s="62">
        <v>2</v>
      </c>
      <c r="H22" s="62" t="s">
        <v>378</v>
      </c>
      <c r="I22" s="3" t="s">
        <v>3767</v>
      </c>
    </row>
    <row r="23" spans="1:9" x14ac:dyDescent="0.25">
      <c r="A23" s="62" t="s">
        <v>204</v>
      </c>
      <c r="B23" s="15" t="s">
        <v>206</v>
      </c>
      <c r="C23" s="15" t="s">
        <v>394</v>
      </c>
      <c r="D23" s="15" t="s">
        <v>49</v>
      </c>
      <c r="E23" s="64">
        <f>VLOOKUP(C23,'Census Population Data'!$B$6:$O$3147,13,FALSE)</f>
        <v>2716940</v>
      </c>
      <c r="F23" s="16" t="str">
        <f>VLOOKUP(C23,'Census Population Data'!$B$6:$O$3147,14,FALSE)</f>
        <v>Miami-Dade County, Florida</v>
      </c>
      <c r="G23" s="62">
        <v>1</v>
      </c>
      <c r="H23" s="62" t="s">
        <v>378</v>
      </c>
      <c r="I23" s="3" t="s">
        <v>3767</v>
      </c>
    </row>
    <row r="24" spans="1:9" x14ac:dyDescent="0.25">
      <c r="A24" s="62" t="s">
        <v>207</v>
      </c>
      <c r="B24" s="15" t="s">
        <v>208</v>
      </c>
      <c r="C24" s="15" t="s">
        <v>395</v>
      </c>
      <c r="D24" s="15" t="s">
        <v>52</v>
      </c>
      <c r="E24" s="64">
        <f>VLOOKUP(C24,'Census Population Data'!$B$200:$O$3147,13,FALSE)</f>
        <v>1063937</v>
      </c>
      <c r="F24" s="16" t="str">
        <f>VLOOKUP(C24,'Census Population Data'!$B$200:$O$3147,14,FALSE)</f>
        <v>Fulton County, Georgia</v>
      </c>
      <c r="G24" s="62">
        <v>3</v>
      </c>
      <c r="H24" s="62" t="s">
        <v>377</v>
      </c>
      <c r="I24" s="3" t="s">
        <v>3767</v>
      </c>
    </row>
    <row r="25" spans="1:9" x14ac:dyDescent="0.25">
      <c r="A25" s="62" t="s">
        <v>207</v>
      </c>
      <c r="B25" s="15" t="s">
        <v>209</v>
      </c>
      <c r="C25" s="15" t="s">
        <v>396</v>
      </c>
      <c r="D25" s="15" t="s">
        <v>53</v>
      </c>
      <c r="E25" s="64">
        <f>VLOOKUP(C25,'Census Population Data'!$B$6:$O$3147,13,FALSE)</f>
        <v>98498</v>
      </c>
      <c r="F25" s="16" t="str">
        <f>VLOOKUP(C25,'Census Population Data'!$B$6:$O$3147,14,FALSE)</f>
        <v>Floyd County, Georgia</v>
      </c>
      <c r="G25" s="62">
        <v>4</v>
      </c>
      <c r="H25" s="62" t="s">
        <v>377</v>
      </c>
      <c r="I25" s="3" t="s">
        <v>3767</v>
      </c>
    </row>
    <row r="26" spans="1:9" x14ac:dyDescent="0.25">
      <c r="A26" s="62" t="s">
        <v>207</v>
      </c>
      <c r="B26" s="15" t="s">
        <v>210</v>
      </c>
      <c r="C26" s="15" t="s">
        <v>397</v>
      </c>
      <c r="D26" s="15" t="s">
        <v>51</v>
      </c>
      <c r="E26" s="64">
        <f>VLOOKUP(C26,'Census Population Data'!$B$6:$O$3147,13,FALSE)</f>
        <v>289430</v>
      </c>
      <c r="F26" s="16" t="str">
        <f>VLOOKUP(C26,'Census Population Data'!$B$6:$O$3147,14,FALSE)</f>
        <v>Chatham County, Georgia</v>
      </c>
      <c r="G26" s="62">
        <v>2</v>
      </c>
      <c r="H26" s="62" t="s">
        <v>378</v>
      </c>
      <c r="I26" s="3" t="s">
        <v>3767</v>
      </c>
    </row>
    <row r="27" spans="1:9" x14ac:dyDescent="0.25">
      <c r="A27" s="62" t="s">
        <v>211</v>
      </c>
      <c r="B27" s="15" t="s">
        <v>212</v>
      </c>
      <c r="C27" s="15" t="s">
        <v>3638</v>
      </c>
      <c r="D27" s="15" t="s">
        <v>54</v>
      </c>
      <c r="E27" s="64">
        <f>VLOOKUP(C27,'Census Population Data'!$B$6:$O$3147,13,FALSE)</f>
        <v>38967</v>
      </c>
      <c r="F27" s="16" t="str">
        <f>VLOOKUP(C27,'Census Population Data'!$B$6:$O$3147,14,FALSE)</f>
        <v>Des Moines County, Iowa</v>
      </c>
      <c r="G27" s="62">
        <v>5</v>
      </c>
      <c r="H27" s="62" t="s">
        <v>382</v>
      </c>
      <c r="I27" s="3" t="s">
        <v>3772</v>
      </c>
    </row>
    <row r="28" spans="1:9" ht="15.75" customHeight="1" x14ac:dyDescent="0.25">
      <c r="A28" s="62" t="s">
        <v>211</v>
      </c>
      <c r="B28" s="15" t="s">
        <v>213</v>
      </c>
      <c r="C28" s="15" t="s">
        <v>3639</v>
      </c>
      <c r="D28" s="15" t="s">
        <v>55</v>
      </c>
      <c r="E28" s="64">
        <f>VLOOKUP(C28,'Census Population Data'!$B$6:$O$3147,13,FALSE)</f>
        <v>103107</v>
      </c>
      <c r="F28" s="16" t="str">
        <f>VLOOKUP(C28,'Census Population Data'!$B$6:$O$3147,14,FALSE)</f>
        <v>Woodbury County, Iowa</v>
      </c>
      <c r="G28" s="62">
        <v>6</v>
      </c>
      <c r="H28" s="62" t="s">
        <v>382</v>
      </c>
      <c r="I28" s="3" t="s">
        <v>3772</v>
      </c>
    </row>
    <row r="29" spans="1:9" x14ac:dyDescent="0.25">
      <c r="A29" s="62" t="s">
        <v>214</v>
      </c>
      <c r="B29" s="15" t="s">
        <v>215</v>
      </c>
      <c r="C29" s="15" t="s">
        <v>398</v>
      </c>
      <c r="D29" s="15" t="s">
        <v>56</v>
      </c>
      <c r="E29" s="64">
        <f>VLOOKUP(C29,'Census Population Data'!$B$6:$O$3147,13,FALSE)</f>
        <v>481587</v>
      </c>
      <c r="F29" s="16" t="str">
        <f>VLOOKUP(C29,'Census Population Data'!$B$6:$O$3147,14,FALSE)</f>
        <v>Ada County, Idaho</v>
      </c>
      <c r="G29" s="62">
        <v>5</v>
      </c>
      <c r="H29" s="62" t="s">
        <v>382</v>
      </c>
      <c r="I29" s="3" t="s">
        <v>3770</v>
      </c>
    </row>
    <row r="30" spans="1:9" x14ac:dyDescent="0.25">
      <c r="A30" s="62" t="s">
        <v>214</v>
      </c>
      <c r="B30" s="15" t="s">
        <v>216</v>
      </c>
      <c r="C30" s="15" t="s">
        <v>399</v>
      </c>
      <c r="D30" s="15" t="s">
        <v>57</v>
      </c>
      <c r="E30" s="64">
        <f>VLOOKUP(C30,'Census Population Data'!$B$6:$O$3147,13,FALSE)</f>
        <v>119062</v>
      </c>
      <c r="F30" s="16" t="str">
        <f>VLOOKUP(C30,'Census Population Data'!$B$6:$O$3147,14,FALSE)</f>
        <v>Bonneville County, Idaho</v>
      </c>
      <c r="G30" s="62">
        <v>6</v>
      </c>
      <c r="H30" s="62" t="s">
        <v>382</v>
      </c>
      <c r="I30" s="3" t="s">
        <v>3770</v>
      </c>
    </row>
    <row r="31" spans="1:9" x14ac:dyDescent="0.25">
      <c r="A31" s="62" t="s">
        <v>217</v>
      </c>
      <c r="B31" s="15" t="s">
        <v>218</v>
      </c>
      <c r="C31" s="15" t="s">
        <v>3640</v>
      </c>
      <c r="D31" s="15" t="s">
        <v>58</v>
      </c>
      <c r="E31" s="64">
        <f>VLOOKUP(C31,'Census Population Data'!$B$6:$O$3147,13,FALSE)</f>
        <v>89512</v>
      </c>
      <c r="F31" s="16" t="str">
        <f>VLOOKUP(C31,'Census Population Data'!$B$6:$O$3147,14,FALSE)</f>
        <v>St Clair County, Alabama</v>
      </c>
      <c r="G31" s="62">
        <v>4</v>
      </c>
      <c r="H31" s="62" t="s">
        <v>377</v>
      </c>
      <c r="I31" s="3" t="s">
        <v>3772</v>
      </c>
    </row>
    <row r="32" spans="1:9" x14ac:dyDescent="0.25">
      <c r="A32" s="62" t="s">
        <v>217</v>
      </c>
      <c r="B32" s="15" t="s">
        <v>219</v>
      </c>
      <c r="C32" s="15" t="s">
        <v>400</v>
      </c>
      <c r="D32" s="15" t="s">
        <v>59</v>
      </c>
      <c r="E32" s="64">
        <f>VLOOKUP(C32,'Census Population Data'!$B$500:$O$3147,13,FALSE)</f>
        <v>5150233</v>
      </c>
      <c r="F32" s="16" t="str">
        <f>VLOOKUP(C32,'Census Population Data'!$B$500:$O$3147,14,FALSE)</f>
        <v>Cook County, Illinois</v>
      </c>
      <c r="G32" s="62">
        <v>5</v>
      </c>
      <c r="H32" s="62" t="s">
        <v>382</v>
      </c>
      <c r="I32" s="3" t="s">
        <v>3772</v>
      </c>
    </row>
    <row r="33" spans="1:9" x14ac:dyDescent="0.25">
      <c r="A33" s="62" t="s">
        <v>220</v>
      </c>
      <c r="B33" s="15" t="s">
        <v>221</v>
      </c>
      <c r="C33" s="15" t="s">
        <v>401</v>
      </c>
      <c r="D33" s="15" t="s">
        <v>60</v>
      </c>
      <c r="E33" s="64">
        <f>VLOOKUP(C33,'Census Population Data'!$B$6:$O$3147,13,FALSE)</f>
        <v>181451</v>
      </c>
      <c r="F33" s="16" t="str">
        <f>VLOOKUP(C33,'Census Population Data'!$B$6:$O$3147,14,FALSE)</f>
        <v>Vanderburgh County, Indiana</v>
      </c>
      <c r="G33" s="62">
        <v>4</v>
      </c>
      <c r="H33" s="62" t="s">
        <v>377</v>
      </c>
      <c r="I33" s="3" t="s">
        <v>3772</v>
      </c>
    </row>
    <row r="34" spans="1:9" x14ac:dyDescent="0.25">
      <c r="A34" s="62" t="s">
        <v>220</v>
      </c>
      <c r="B34" s="15" t="s">
        <v>222</v>
      </c>
      <c r="C34" s="15" t="s">
        <v>402</v>
      </c>
      <c r="D34" s="15" t="s">
        <v>61</v>
      </c>
      <c r="E34" s="64">
        <f>VLOOKUP(C34,'Census Population Data'!$B$700:$O$3147,13,FALSE)</f>
        <v>964582</v>
      </c>
      <c r="F34" s="16" t="str">
        <f>VLOOKUP(C34,'Census Population Data'!$B$700:$O$3147,14,FALSE)</f>
        <v>Marion County, Indiana</v>
      </c>
      <c r="G34" s="62">
        <v>5</v>
      </c>
      <c r="H34" s="62" t="s">
        <v>382</v>
      </c>
      <c r="I34" s="3" t="s">
        <v>3772</v>
      </c>
    </row>
    <row r="35" spans="1:9" x14ac:dyDescent="0.25">
      <c r="A35" s="62" t="s">
        <v>223</v>
      </c>
      <c r="B35" s="15" t="s">
        <v>224</v>
      </c>
      <c r="C35" s="15" t="s">
        <v>403</v>
      </c>
      <c r="D35" s="15" t="s">
        <v>63</v>
      </c>
      <c r="E35" s="64">
        <f>VLOOKUP(C35,'Census Population Data'!$B$6:$O$3147,13,FALSE)</f>
        <v>28553</v>
      </c>
      <c r="F35" s="16" t="str">
        <f>VLOOKUP(C35,'Census Population Data'!$B$6:$O$3147,14,FALSE)</f>
        <v>Ellis County, Kansas</v>
      </c>
      <c r="G35" s="62">
        <v>5</v>
      </c>
      <c r="H35" s="62" t="s">
        <v>382</v>
      </c>
      <c r="I35" s="3" t="s">
        <v>3772</v>
      </c>
    </row>
    <row r="36" spans="1:9" x14ac:dyDescent="0.25">
      <c r="A36" s="62" t="s">
        <v>223</v>
      </c>
      <c r="B36" s="15" t="s">
        <v>225</v>
      </c>
      <c r="C36" s="15" t="s">
        <v>404</v>
      </c>
      <c r="D36" s="15" t="s">
        <v>62</v>
      </c>
      <c r="E36" s="64">
        <f>VLOOKUP(C36,'Census Population Data'!$B$900:$O$3147,13,FALSE)</f>
        <v>516042</v>
      </c>
      <c r="F36" s="16" t="str">
        <f>VLOOKUP(C36,'Census Population Data'!$B$900:$O$3147,14,FALSE)</f>
        <v>Sedgwick County, Kansas</v>
      </c>
      <c r="G36" s="62">
        <v>4</v>
      </c>
      <c r="H36" s="62" t="s">
        <v>377</v>
      </c>
      <c r="I36" s="3" t="s">
        <v>3772</v>
      </c>
    </row>
    <row r="37" spans="1:9" x14ac:dyDescent="0.25">
      <c r="A37" s="62" t="s">
        <v>226</v>
      </c>
      <c r="B37" s="15" t="s">
        <v>227</v>
      </c>
      <c r="C37" s="15" t="s">
        <v>376</v>
      </c>
      <c r="D37" s="15" t="s">
        <v>64</v>
      </c>
      <c r="E37" s="64">
        <f>VLOOKUP(C37,'Census Population Data'!$B$1000:$O$3147,13,FALSE)</f>
        <v>766757</v>
      </c>
      <c r="F37" s="16" t="str">
        <f>VLOOKUP(C37,'Census Population Data'!$B$1000:$O$3147,14,FALSE)</f>
        <v>Jefferson County, Kentucky</v>
      </c>
      <c r="G37" s="62">
        <v>4</v>
      </c>
      <c r="H37" s="62" t="s">
        <v>377</v>
      </c>
      <c r="I37" s="3" t="s">
        <v>3767</v>
      </c>
    </row>
    <row r="38" spans="1:9" x14ac:dyDescent="0.25">
      <c r="A38" s="62" t="s">
        <v>228</v>
      </c>
      <c r="B38" s="15" t="s">
        <v>229</v>
      </c>
      <c r="C38" s="15" t="s">
        <v>3641</v>
      </c>
      <c r="D38" s="15" t="s">
        <v>65</v>
      </c>
      <c r="E38" s="64">
        <f>VLOOKUP(C38,'Census Population Data'!$B$6:$O$3147,13,FALSE)</f>
        <v>390144</v>
      </c>
      <c r="F38" s="16" t="str">
        <f>VLOOKUP(C38,'Census Population Data'!$B$6:$O$3147,14,FALSE)</f>
        <v>Orleans Parish, Louisiana</v>
      </c>
      <c r="G38" s="62">
        <v>2</v>
      </c>
      <c r="H38" s="62" t="s">
        <v>378</v>
      </c>
      <c r="I38" s="3" t="s">
        <v>3767</v>
      </c>
    </row>
    <row r="39" spans="1:9" x14ac:dyDescent="0.25">
      <c r="A39" s="62" t="s">
        <v>228</v>
      </c>
      <c r="B39" s="15" t="s">
        <v>230</v>
      </c>
      <c r="C39" s="15" t="s">
        <v>3642</v>
      </c>
      <c r="D39" s="15" t="s">
        <v>66</v>
      </c>
      <c r="E39" s="64">
        <f>VLOOKUP(C39,'Census Population Data'!$B$6:$O$3147,13,FALSE)</f>
        <v>127039</v>
      </c>
      <c r="F39" s="16" t="str">
        <f>VLOOKUP(C39,'Census Population Data'!$B$6:$O$3147,14,FALSE)</f>
        <v>Bossier Parish, Louisiana</v>
      </c>
      <c r="G39" s="62">
        <v>3</v>
      </c>
      <c r="H39" s="62" t="s">
        <v>378</v>
      </c>
      <c r="I39" s="3" t="s">
        <v>3767</v>
      </c>
    </row>
    <row r="40" spans="1:9" x14ac:dyDescent="0.25">
      <c r="A40" s="62" t="s">
        <v>231</v>
      </c>
      <c r="B40" s="15" t="s">
        <v>232</v>
      </c>
      <c r="C40" s="15" t="s">
        <v>405</v>
      </c>
      <c r="D40" s="15" t="s">
        <v>67</v>
      </c>
      <c r="E40" s="64">
        <f>VLOOKUP(C40,'Census Population Data'!$B$6:$O$3147,13,FALSE)</f>
        <v>803907</v>
      </c>
      <c r="F40" s="16" t="str">
        <f>VLOOKUP(C40,'Census Population Data'!$B$6:$O$3147,14,FALSE)</f>
        <v>Suffolk County, Massachusetts</v>
      </c>
      <c r="G40" s="62">
        <v>5</v>
      </c>
      <c r="H40" s="62" t="s">
        <v>382</v>
      </c>
      <c r="I40" s="3" t="s">
        <v>3771</v>
      </c>
    </row>
    <row r="41" spans="1:9" x14ac:dyDescent="0.25">
      <c r="A41" s="62" t="s">
        <v>233</v>
      </c>
      <c r="B41" s="15" t="s">
        <v>234</v>
      </c>
      <c r="C41" s="15" t="s">
        <v>234</v>
      </c>
      <c r="D41" s="15" t="s">
        <v>68</v>
      </c>
      <c r="E41" s="64">
        <f>VLOOKUP(C41,'Census Population Data'!$B$6:$O$3147,13,FALSE)</f>
        <v>827370</v>
      </c>
      <c r="F41" s="16" t="str">
        <f>VLOOKUP(C41,'Census Population Data'!$B$6:$O$3147,14,FALSE)</f>
        <v>Baltimore County, Maryland</v>
      </c>
      <c r="G41" s="62">
        <v>4</v>
      </c>
      <c r="H41" s="62" t="s">
        <v>377</v>
      </c>
      <c r="I41" s="3" t="s">
        <v>3767</v>
      </c>
    </row>
    <row r="42" spans="1:9" x14ac:dyDescent="0.25">
      <c r="A42" s="62" t="s">
        <v>235</v>
      </c>
      <c r="B42" s="15" t="s">
        <v>236</v>
      </c>
      <c r="C42" s="15" t="s">
        <v>406</v>
      </c>
      <c r="D42" s="15" t="s">
        <v>69</v>
      </c>
      <c r="E42" s="64">
        <f>VLOOKUP(C42,'Census Population Data'!$B$1100:$O$3147,13,FALSE)</f>
        <v>295003</v>
      </c>
      <c r="F42" s="16" t="str">
        <f>VLOOKUP(C42,'Census Population Data'!$B$1100:$O$3147,14,FALSE)</f>
        <v>Cumberland County, Maine</v>
      </c>
      <c r="G42" s="62">
        <v>6</v>
      </c>
      <c r="H42" s="62" t="s">
        <v>382</v>
      </c>
      <c r="I42" s="3" t="s">
        <v>3771</v>
      </c>
    </row>
    <row r="43" spans="1:9" x14ac:dyDescent="0.25">
      <c r="A43" s="62" t="s">
        <v>235</v>
      </c>
      <c r="B43" s="15" t="s">
        <v>237</v>
      </c>
      <c r="C43" s="15" t="s">
        <v>407</v>
      </c>
      <c r="D43" s="15" t="s">
        <v>70</v>
      </c>
      <c r="E43" s="64">
        <f>VLOOKUP(C43,'Census Population Data'!$B$6:$O$3147,13,FALSE)</f>
        <v>67055</v>
      </c>
      <c r="F43" s="16" t="str">
        <f>VLOOKUP(C43,'Census Population Data'!$B$6:$O$3147,14,FALSE)</f>
        <v>Aroostook County, Maine</v>
      </c>
      <c r="G43" s="62">
        <v>7</v>
      </c>
      <c r="H43" s="62" t="s">
        <v>392</v>
      </c>
      <c r="I43" s="3" t="s">
        <v>3771</v>
      </c>
    </row>
    <row r="44" spans="1:9" x14ac:dyDescent="0.25">
      <c r="A44" s="62" t="s">
        <v>238</v>
      </c>
      <c r="B44" s="15" t="s">
        <v>239</v>
      </c>
      <c r="C44" s="15" t="s">
        <v>408</v>
      </c>
      <c r="D44" s="15" t="s">
        <v>71</v>
      </c>
      <c r="E44" s="64">
        <f>VLOOKUP(C44,'Census Population Data'!$B$1200:$O$3147,13,FALSE)</f>
        <v>1749343</v>
      </c>
      <c r="F44" s="16" t="str">
        <f>VLOOKUP(C44,'Census Population Data'!$B$1200:$O$3147,14,FALSE)</f>
        <v>Wayne County, Michigan</v>
      </c>
      <c r="G44" s="62">
        <v>5</v>
      </c>
      <c r="H44" s="62" t="s">
        <v>382</v>
      </c>
      <c r="I44" s="3" t="s">
        <v>3772</v>
      </c>
    </row>
    <row r="45" spans="1:9" x14ac:dyDescent="0.25">
      <c r="A45" s="62" t="s">
        <v>238</v>
      </c>
      <c r="B45" s="15" t="s">
        <v>240</v>
      </c>
      <c r="C45" s="15" t="s">
        <v>409</v>
      </c>
      <c r="D45" s="15" t="s">
        <v>73</v>
      </c>
      <c r="E45" s="64">
        <f>VLOOKUP(C45,'Census Population Data'!$B$6:$O$3147,13,FALSE)</f>
        <v>24019</v>
      </c>
      <c r="F45" s="16" t="str">
        <f>VLOOKUP(C45,'Census Population Data'!$B$6:$O$3147,14,FALSE)</f>
        <v>Roscommon County, Michigan</v>
      </c>
      <c r="G45" s="62">
        <v>7</v>
      </c>
      <c r="H45" s="62" t="s">
        <v>392</v>
      </c>
      <c r="I45" s="3" t="s">
        <v>3772</v>
      </c>
    </row>
    <row r="46" spans="1:9" x14ac:dyDescent="0.25">
      <c r="A46" s="62" t="s">
        <v>238</v>
      </c>
      <c r="B46" s="15" t="s">
        <v>241</v>
      </c>
      <c r="C46" s="15" t="s">
        <v>3644</v>
      </c>
      <c r="D46" s="15" t="s">
        <v>72</v>
      </c>
      <c r="E46" s="64">
        <f>VLOOKUP(C46,'Census Population Data'!$B$6:$O$3147,13,FALSE)</f>
        <v>93088</v>
      </c>
      <c r="F46" s="16" t="str">
        <f>VLOOKUP(C46,'Census Population Data'!$B$6:$O$3147,14,FALSE)</f>
        <v>Grand Traverse County, Michigan</v>
      </c>
      <c r="G46" s="62">
        <v>6</v>
      </c>
      <c r="H46" s="62" t="s">
        <v>382</v>
      </c>
      <c r="I46" s="3" t="s">
        <v>3772</v>
      </c>
    </row>
    <row r="47" spans="1:9" x14ac:dyDescent="0.25">
      <c r="A47" s="62" t="s">
        <v>242</v>
      </c>
      <c r="B47" s="15" t="s">
        <v>243</v>
      </c>
      <c r="C47" s="15" t="s">
        <v>3643</v>
      </c>
      <c r="D47" s="15" t="s">
        <v>75</v>
      </c>
      <c r="E47" s="64">
        <f>VLOOKUP(C47,'Census Population Data'!$B$6:$O$3147,13,FALSE)</f>
        <v>199070</v>
      </c>
      <c r="F47" s="16" t="str">
        <f>VLOOKUP(C47,'Census Population Data'!$B$6:$O$3147,14,FALSE)</f>
        <v>St Louis County, Minnesota</v>
      </c>
      <c r="G47" s="62">
        <v>7</v>
      </c>
      <c r="H47" s="62" t="s">
        <v>392</v>
      </c>
      <c r="I47" s="3" t="s">
        <v>3772</v>
      </c>
    </row>
    <row r="48" spans="1:9" x14ac:dyDescent="0.25">
      <c r="A48" s="62" t="s">
        <v>242</v>
      </c>
      <c r="B48" s="15" t="s">
        <v>244</v>
      </c>
      <c r="C48" s="15" t="s">
        <v>410</v>
      </c>
      <c r="D48" s="15" t="s">
        <v>74</v>
      </c>
      <c r="E48" s="64">
        <f>VLOOKUP(C48,'Census Population Data'!$B$1200:$O$3147,13,FALSE)</f>
        <v>1265843</v>
      </c>
      <c r="F48" s="16" t="str">
        <f>VLOOKUP(C48,'Census Population Data'!$B$1200:$O$3147,14,FALSE)</f>
        <v>Hennepin County, Minnesota</v>
      </c>
      <c r="G48" s="62">
        <v>6</v>
      </c>
      <c r="H48" s="62" t="s">
        <v>382</v>
      </c>
      <c r="I48" s="3" t="s">
        <v>3772</v>
      </c>
    </row>
    <row r="49" spans="1:9" x14ac:dyDescent="0.25">
      <c r="A49" s="62" t="s">
        <v>245</v>
      </c>
      <c r="B49" s="15" t="s">
        <v>246</v>
      </c>
      <c r="C49" s="15" t="s">
        <v>250</v>
      </c>
      <c r="D49" s="15" t="s">
        <v>76</v>
      </c>
      <c r="E49" s="64">
        <f>VLOOKUP(C49,'Census Population Data'!$B$1500:$O$3147,13,FALSE)</f>
        <v>703011</v>
      </c>
      <c r="F49" s="16" t="str">
        <f>VLOOKUP(C49,'Census Population Data'!$B$1500:$O$3147,14,FALSE)</f>
        <v>Jackson County, Missouri</v>
      </c>
      <c r="G49" s="62">
        <v>4</v>
      </c>
      <c r="H49" s="62" t="s">
        <v>377</v>
      </c>
      <c r="I49" s="3" t="s">
        <v>3770</v>
      </c>
    </row>
    <row r="50" spans="1:9" x14ac:dyDescent="0.25">
      <c r="A50" s="62" t="s">
        <v>245</v>
      </c>
      <c r="B50" s="15" t="s">
        <v>247</v>
      </c>
      <c r="C50" s="15" t="s">
        <v>411</v>
      </c>
      <c r="D50" s="15" t="s">
        <v>77</v>
      </c>
      <c r="E50" s="64">
        <f>VLOOKUP(C50,'Census Population Data'!$B$1200:$O$3147,13,FALSE)</f>
        <v>87364</v>
      </c>
      <c r="F50" s="16" t="str">
        <f>VLOOKUP(C50,'Census Population Data'!$B$1200:$O$3147,14,FALSE)</f>
        <v>Buchanan County, Missouri</v>
      </c>
      <c r="G50" s="62">
        <v>5</v>
      </c>
      <c r="H50" s="62" t="s">
        <v>382</v>
      </c>
      <c r="I50" s="3" t="s">
        <v>3770</v>
      </c>
    </row>
    <row r="51" spans="1:9" x14ac:dyDescent="0.25">
      <c r="A51" s="62" t="s">
        <v>248</v>
      </c>
      <c r="B51" s="15" t="s">
        <v>249</v>
      </c>
      <c r="C51" s="15" t="s">
        <v>412</v>
      </c>
      <c r="D51" s="15" t="s">
        <v>78</v>
      </c>
      <c r="E51" s="64">
        <f>VLOOKUP(C51,'Census Population Data'!$B$1200:$O$3147,13,FALSE)</f>
        <v>208080</v>
      </c>
      <c r="F51" s="16" t="str">
        <f>VLOOKUP(C51,'Census Population Data'!$B$1200:$O$3147,14,FALSE)</f>
        <v>Harrison County, Mississippi</v>
      </c>
      <c r="G51" s="62">
        <v>2</v>
      </c>
      <c r="H51" s="62" t="s">
        <v>378</v>
      </c>
      <c r="I51" s="3" t="s">
        <v>3767</v>
      </c>
    </row>
    <row r="52" spans="1:9" x14ac:dyDescent="0.25">
      <c r="A52" s="62" t="s">
        <v>248</v>
      </c>
      <c r="B52" s="15" t="s">
        <v>250</v>
      </c>
      <c r="C52" s="15" t="s">
        <v>413</v>
      </c>
      <c r="D52" s="15" t="s">
        <v>79</v>
      </c>
      <c r="E52" s="64">
        <f>VLOOKUP(C52,'Census Population Data'!$B$1200:$O$3147,13,FALSE)</f>
        <v>231840</v>
      </c>
      <c r="F52" s="16" t="str">
        <f>VLOOKUP(C52,'Census Population Data'!$B$1200:$O$3147,14,FALSE)</f>
        <v>Hinds County, Mississippi</v>
      </c>
      <c r="G52" s="62">
        <v>3</v>
      </c>
      <c r="H52" s="62" t="s">
        <v>378</v>
      </c>
      <c r="I52" s="3" t="s">
        <v>3767</v>
      </c>
    </row>
    <row r="53" spans="1:9" x14ac:dyDescent="0.25">
      <c r="A53" s="62" t="s">
        <v>251</v>
      </c>
      <c r="B53" s="15" t="s">
        <v>252</v>
      </c>
      <c r="C53" s="15" t="s">
        <v>414</v>
      </c>
      <c r="D53" s="15" t="s">
        <v>80</v>
      </c>
      <c r="E53" s="64">
        <f>VLOOKUP(C53,'Census Population Data'!$B$1200:$O$3147,13,FALSE)</f>
        <v>161300</v>
      </c>
      <c r="F53" s="16" t="str">
        <f>VLOOKUP(C53,'Census Population Data'!$B$1200:$O$3147,14,FALSE)</f>
        <v>Yellowstone County, Montana</v>
      </c>
      <c r="G53" s="62">
        <v>6</v>
      </c>
      <c r="H53" s="62" t="s">
        <v>382</v>
      </c>
      <c r="I53" s="3" t="s">
        <v>3770</v>
      </c>
    </row>
    <row r="54" spans="1:9" x14ac:dyDescent="0.25">
      <c r="A54" s="62" t="s">
        <v>253</v>
      </c>
      <c r="B54" s="15" t="s">
        <v>254</v>
      </c>
      <c r="C54" s="15" t="s">
        <v>415</v>
      </c>
      <c r="D54" s="15" t="s">
        <v>81</v>
      </c>
      <c r="E54" s="64">
        <f>VLOOKUP(C54,'Census Population Data'!$B$1200:$O$3147,13,FALSE)</f>
        <v>1110356</v>
      </c>
      <c r="F54" s="16" t="str">
        <f>VLOOKUP(C54,'Census Population Data'!$B$1200:$O$3147,14,FALSE)</f>
        <v>Mecklenburg County, North Carolina</v>
      </c>
      <c r="G54" s="62">
        <v>3</v>
      </c>
      <c r="H54" s="62" t="s">
        <v>377</v>
      </c>
      <c r="I54" s="3" t="s">
        <v>3767</v>
      </c>
    </row>
    <row r="55" spans="1:9" x14ac:dyDescent="0.25">
      <c r="A55" s="62" t="s">
        <v>253</v>
      </c>
      <c r="B55" s="15" t="s">
        <v>255</v>
      </c>
      <c r="C55" s="15" t="s">
        <v>416</v>
      </c>
      <c r="D55" s="15" t="s">
        <v>82</v>
      </c>
      <c r="E55" s="64">
        <f>VLOOKUP(C55,'Census Population Data'!$B$1200:$O$3147,13,FALSE)</f>
        <v>1111761</v>
      </c>
      <c r="F55" s="16" t="str">
        <f>VLOOKUP(C55,'Census Population Data'!$B$1200:$O$3147,14,FALSE)</f>
        <v>Wake County, North Carolina</v>
      </c>
      <c r="G55" s="62">
        <v>4</v>
      </c>
      <c r="H55" s="62" t="s">
        <v>377</v>
      </c>
      <c r="I55" s="3" t="s">
        <v>3767</v>
      </c>
    </row>
    <row r="56" spans="1:9" x14ac:dyDescent="0.25">
      <c r="A56" s="62" t="s">
        <v>256</v>
      </c>
      <c r="B56" s="15" t="s">
        <v>257</v>
      </c>
      <c r="C56" s="15" t="s">
        <v>417</v>
      </c>
      <c r="D56" s="15" t="s">
        <v>83</v>
      </c>
      <c r="E56" s="64">
        <f>VLOOKUP(C56,'Census Population Data'!$B$1200:$O$3147,13,FALSE)</f>
        <v>95626</v>
      </c>
      <c r="F56" s="16" t="str">
        <f>VLOOKUP(C56,'Census Population Data'!$B$1200:$O$3147,14,FALSE)</f>
        <v>Burleigh County, North Dakota</v>
      </c>
      <c r="G56" s="62">
        <v>6</v>
      </c>
      <c r="H56" s="62" t="s">
        <v>382</v>
      </c>
      <c r="I56" s="3" t="s">
        <v>3772</v>
      </c>
    </row>
    <row r="57" spans="1:9" x14ac:dyDescent="0.25">
      <c r="A57" s="62" t="s">
        <v>256</v>
      </c>
      <c r="B57" s="15" t="s">
        <v>258</v>
      </c>
      <c r="C57" s="15" t="s">
        <v>418</v>
      </c>
      <c r="D57" s="15" t="s">
        <v>84</v>
      </c>
      <c r="E57" s="64">
        <f>VLOOKUP(C57,'Census Population Data'!$B$2000:$O$3147,13,FALSE)</f>
        <v>181923</v>
      </c>
      <c r="F57" s="16" t="str">
        <f>VLOOKUP(C57,'Census Population Data'!$B$2000:$O$3147,14,FALSE)</f>
        <v>Cass County, North Dakota</v>
      </c>
      <c r="G57" s="62">
        <v>7</v>
      </c>
      <c r="H57" s="62" t="s">
        <v>392</v>
      </c>
      <c r="I57" s="3" t="s">
        <v>3772</v>
      </c>
    </row>
    <row r="58" spans="1:9" x14ac:dyDescent="0.25">
      <c r="A58" s="62" t="s">
        <v>259</v>
      </c>
      <c r="B58" s="15" t="s">
        <v>260</v>
      </c>
      <c r="C58" s="15" t="s">
        <v>419</v>
      </c>
      <c r="D58" s="15" t="s">
        <v>85</v>
      </c>
      <c r="E58" s="64">
        <f>VLOOKUP(C58,'Census Population Data'!$B$1600:$O$3147,13,FALSE)</f>
        <v>571327</v>
      </c>
      <c r="F58" s="16" t="str">
        <f>VLOOKUP(C58,'Census Population Data'!$B$1600:$O$3147,14,FALSE)</f>
        <v>Douglas County, Nebraska</v>
      </c>
      <c r="G58" s="62">
        <v>5</v>
      </c>
      <c r="H58" s="62" t="s">
        <v>382</v>
      </c>
      <c r="I58" s="3" t="s">
        <v>3772</v>
      </c>
    </row>
    <row r="59" spans="1:9" x14ac:dyDescent="0.25">
      <c r="A59" s="62" t="s">
        <v>261</v>
      </c>
      <c r="B59" s="15" t="s">
        <v>262</v>
      </c>
      <c r="C59" s="15" t="s">
        <v>420</v>
      </c>
      <c r="D59" s="15" t="s">
        <v>87</v>
      </c>
      <c r="E59" s="64">
        <f>VLOOKUP(C59,'Census Population Data'!$B$1600:$O$3147,13,FALSE)</f>
        <v>151391</v>
      </c>
      <c r="F59" s="16" t="str">
        <f>VLOOKUP(C59,'Census Population Data'!$B$1600:$O$3147,14,FALSE)</f>
        <v>Merrimack County, New Hampshire</v>
      </c>
      <c r="G59" s="62">
        <v>6</v>
      </c>
      <c r="H59" s="62" t="s">
        <v>382</v>
      </c>
      <c r="I59" s="3" t="s">
        <v>3771</v>
      </c>
    </row>
    <row r="60" spans="1:9" x14ac:dyDescent="0.25">
      <c r="A60" s="62" t="s">
        <v>261</v>
      </c>
      <c r="B60" s="15" t="s">
        <v>263</v>
      </c>
      <c r="C60" s="15" t="s">
        <v>421</v>
      </c>
      <c r="D60" s="15" t="s">
        <v>86</v>
      </c>
      <c r="E60" s="64">
        <f>VLOOKUP(C60,'Census Population Data'!$B$1600:$O$3147,13,FALSE)</f>
        <v>417025</v>
      </c>
      <c r="F60" s="16" t="str">
        <f>VLOOKUP(C60,'Census Population Data'!$B$1600:$O$3147,14,FALSE)</f>
        <v>Hillsborough County, New Hampshire</v>
      </c>
      <c r="G60" s="62">
        <v>5</v>
      </c>
      <c r="H60" s="62" t="s">
        <v>382</v>
      </c>
      <c r="I60" s="3" t="s">
        <v>3771</v>
      </c>
    </row>
    <row r="61" spans="1:9" x14ac:dyDescent="0.25">
      <c r="A61" s="62" t="s">
        <v>264</v>
      </c>
      <c r="B61" s="15" t="s">
        <v>265</v>
      </c>
      <c r="C61" s="15" t="s">
        <v>422</v>
      </c>
      <c r="D61" s="15" t="s">
        <v>88</v>
      </c>
      <c r="E61" s="64">
        <f>VLOOKUP(C61,'Census Population Data'!$B$1600:$O$3147,13,FALSE)</f>
        <v>798975</v>
      </c>
      <c r="F61" s="16" t="str">
        <f>VLOOKUP(C61,'Census Population Data'!$B$1600:$O$3147,14,FALSE)</f>
        <v>Essex County, New Jersey</v>
      </c>
      <c r="G61" s="62">
        <v>4</v>
      </c>
      <c r="H61" s="62" t="s">
        <v>377</v>
      </c>
      <c r="I61" s="3" t="s">
        <v>3771</v>
      </c>
    </row>
    <row r="62" spans="1:9" x14ac:dyDescent="0.25">
      <c r="A62" s="62" t="s">
        <v>264</v>
      </c>
      <c r="B62" s="15" t="s">
        <v>266</v>
      </c>
      <c r="C62" s="15" t="s">
        <v>423</v>
      </c>
      <c r="D62" s="15" t="s">
        <v>89</v>
      </c>
      <c r="E62" s="64">
        <f>VLOOKUP(C62,'Census Population Data'!$B$1600:$O$3147,13,FALSE)</f>
        <v>367430</v>
      </c>
      <c r="F62" s="16" t="str">
        <f>VLOOKUP(C62,'Census Population Data'!$B$1600:$O$3147,14,FALSE)</f>
        <v>Mercer County, New Jersey</v>
      </c>
      <c r="G62" s="62">
        <v>5</v>
      </c>
      <c r="H62" s="62" t="s">
        <v>382</v>
      </c>
      <c r="I62" s="3" t="s">
        <v>3771</v>
      </c>
    </row>
    <row r="63" spans="1:9" x14ac:dyDescent="0.25">
      <c r="A63" s="62" t="s">
        <v>267</v>
      </c>
      <c r="B63" s="15" t="s">
        <v>268</v>
      </c>
      <c r="C63" s="15" t="s">
        <v>424</v>
      </c>
      <c r="D63" s="15" t="s">
        <v>91</v>
      </c>
      <c r="E63" s="64">
        <f>VLOOKUP(C63,'Census Population Data'!$B$1600:$O$3147,13,FALSE)</f>
        <v>679121</v>
      </c>
      <c r="F63" s="16" t="str">
        <f>VLOOKUP(C63,'Census Population Data'!$B$1600:$O$3147,14,FALSE)</f>
        <v>Bernalillo County, New Mexico</v>
      </c>
      <c r="G63" s="62">
        <v>4</v>
      </c>
      <c r="H63" s="62" t="s">
        <v>386</v>
      </c>
      <c r="I63" s="3" t="s">
        <v>3768</v>
      </c>
    </row>
    <row r="64" spans="1:9" x14ac:dyDescent="0.25">
      <c r="A64" s="62" t="s">
        <v>267</v>
      </c>
      <c r="B64" s="15" t="s">
        <v>269</v>
      </c>
      <c r="C64" s="15" t="s">
        <v>3645</v>
      </c>
      <c r="D64" s="15" t="s">
        <v>90</v>
      </c>
      <c r="E64" s="64">
        <f>VLOOKUP(C64,'Census Population Data'!$B$1600:$O$3147,13,FALSE)</f>
        <v>218195</v>
      </c>
      <c r="F64" s="16" t="str">
        <f>VLOOKUP(C64,'Census Population Data'!$B$1600:$O$3147,14,FALSE)</f>
        <v>Doña Ana County, New Mexico</v>
      </c>
      <c r="G64" s="62">
        <v>3</v>
      </c>
      <c r="H64" s="62" t="s">
        <v>384</v>
      </c>
      <c r="I64" s="3" t="s">
        <v>3768</v>
      </c>
    </row>
    <row r="65" spans="1:9" x14ac:dyDescent="0.25">
      <c r="A65" s="62" t="s">
        <v>267</v>
      </c>
      <c r="B65" s="15" t="s">
        <v>270</v>
      </c>
      <c r="C65" s="15" t="s">
        <v>3646</v>
      </c>
      <c r="D65" s="15" t="s">
        <v>92</v>
      </c>
      <c r="E65" s="64">
        <f>VLOOKUP(C65,'Census Population Data'!$B$1600:$O$3147,13,FALSE)</f>
        <v>150358</v>
      </c>
      <c r="F65" s="16" t="str">
        <f>VLOOKUP(C65,'Census Population Data'!$B$1600:$O$3147,14,FALSE)</f>
        <v>Santa Fe County, New Mexico</v>
      </c>
      <c r="G65" s="62">
        <v>5</v>
      </c>
      <c r="H65" s="62" t="s">
        <v>382</v>
      </c>
      <c r="I65" s="3" t="s">
        <v>3768</v>
      </c>
    </row>
    <row r="66" spans="1:9" x14ac:dyDescent="0.25">
      <c r="A66" s="62" t="s">
        <v>271</v>
      </c>
      <c r="B66" s="15" t="s">
        <v>272</v>
      </c>
      <c r="C66" s="15" t="s">
        <v>425</v>
      </c>
      <c r="D66" s="15" t="s">
        <v>93</v>
      </c>
      <c r="E66" s="64">
        <f>VLOOKUP(C66,'Census Population Data'!$B$1600:$O$3147,13,FALSE)</f>
        <v>2266715</v>
      </c>
      <c r="F66" s="16" t="str">
        <f>VLOOKUP(C66,'Census Population Data'!$B$1600:$O$3147,14,FALSE)</f>
        <v>Clark County, Nevada</v>
      </c>
      <c r="G66" s="62">
        <v>3</v>
      </c>
      <c r="H66" s="62" t="s">
        <v>384</v>
      </c>
      <c r="I66" s="3" t="s">
        <v>3770</v>
      </c>
    </row>
    <row r="67" spans="1:9" x14ac:dyDescent="0.25">
      <c r="A67" s="62" t="s">
        <v>271</v>
      </c>
      <c r="B67" s="15" t="s">
        <v>273</v>
      </c>
      <c r="C67" s="15" t="s">
        <v>426</v>
      </c>
      <c r="D67" s="15" t="s">
        <v>94</v>
      </c>
      <c r="E67" s="64">
        <f>VLOOKUP(C67,'Census Population Data'!$B$1600:$O$3147,13,FALSE)</f>
        <v>471519</v>
      </c>
      <c r="F67" s="16" t="str">
        <f>VLOOKUP(C67,'Census Population Data'!$B$1600:$O$3147,14,FALSE)</f>
        <v>Washoe County, Nevada</v>
      </c>
      <c r="G67" s="62">
        <v>5</v>
      </c>
      <c r="H67" s="62" t="s">
        <v>382</v>
      </c>
      <c r="I67" s="3" t="s">
        <v>3770</v>
      </c>
    </row>
    <row r="68" spans="1:9" x14ac:dyDescent="0.25">
      <c r="A68" s="62" t="s">
        <v>274</v>
      </c>
      <c r="B68" s="15" t="s">
        <v>275</v>
      </c>
      <c r="C68" s="15" t="s">
        <v>427</v>
      </c>
      <c r="D68" s="15" t="s">
        <v>96</v>
      </c>
      <c r="E68" s="64">
        <f>VLOOKUP(C68,'Census Population Data'!$B$1600:$O$3147,13,FALSE)</f>
        <v>918702</v>
      </c>
      <c r="F68" s="16" t="str">
        <f>VLOOKUP(C68,'Census Population Data'!$B$1600:$O$3147,14,FALSE)</f>
        <v>Erie County, New York</v>
      </c>
      <c r="G68" s="62">
        <v>5</v>
      </c>
      <c r="H68" s="62" t="s">
        <v>382</v>
      </c>
      <c r="I68" s="3" t="s">
        <v>3771</v>
      </c>
    </row>
    <row r="69" spans="1:9" x14ac:dyDescent="0.25">
      <c r="A69" s="62" t="s">
        <v>274</v>
      </c>
      <c r="B69" s="15" t="s">
        <v>276</v>
      </c>
      <c r="C69" s="15" t="s">
        <v>467</v>
      </c>
      <c r="D69" s="15" t="s">
        <v>95</v>
      </c>
      <c r="E69" s="64">
        <f>VLOOKUP(C69,'Census Population Data'!$B$1600:$O$3147,13,FALSE)</f>
        <v>1628706</v>
      </c>
      <c r="F69" s="16" t="str">
        <f>VLOOKUP(C69,'Census Population Data'!$B$1600:$O$3147,14,FALSE)</f>
        <v>New York County, New York</v>
      </c>
      <c r="G69" s="62">
        <v>4</v>
      </c>
      <c r="H69" s="62" t="s">
        <v>377</v>
      </c>
      <c r="I69" s="3" t="s">
        <v>3771</v>
      </c>
    </row>
    <row r="70" spans="1:9" x14ac:dyDescent="0.25">
      <c r="A70" s="62" t="s">
        <v>274</v>
      </c>
      <c r="B70" s="15" t="s">
        <v>277</v>
      </c>
      <c r="C70" s="15" t="s">
        <v>428</v>
      </c>
      <c r="D70" s="15" t="s">
        <v>97</v>
      </c>
      <c r="E70" s="64">
        <f>VLOOKUP(C70,'Census Population Data'!$B$1600:$O$3147,13,FALSE)</f>
        <v>228671</v>
      </c>
      <c r="F70" s="16" t="str">
        <f>VLOOKUP(C70,'Census Population Data'!$B$1600:$O$3147,14,FALSE)</f>
        <v>Oneida County, New York</v>
      </c>
      <c r="G70" s="62">
        <v>6</v>
      </c>
      <c r="H70" s="62" t="s">
        <v>382</v>
      </c>
      <c r="I70" s="3" t="s">
        <v>3771</v>
      </c>
    </row>
    <row r="71" spans="1:9" x14ac:dyDescent="0.25">
      <c r="A71" s="62" t="s">
        <v>278</v>
      </c>
      <c r="B71" s="15" t="s">
        <v>279</v>
      </c>
      <c r="C71" s="15" t="s">
        <v>429</v>
      </c>
      <c r="D71" s="15" t="s">
        <v>98</v>
      </c>
      <c r="E71" s="64">
        <f>VLOOKUP(C71,'Census Population Data'!$B$2000:$O$3147,13,FALSE)</f>
        <v>817473</v>
      </c>
      <c r="F71" s="16" t="str">
        <f>VLOOKUP(C71,'Census Population Data'!$B$2000:$O$3147,14,FALSE)</f>
        <v>Hamilton County, Ohio</v>
      </c>
      <c r="G71" s="62">
        <v>4</v>
      </c>
      <c r="H71" s="62" t="s">
        <v>377</v>
      </c>
      <c r="I71" s="3" t="s">
        <v>3772</v>
      </c>
    </row>
    <row r="72" spans="1:9" x14ac:dyDescent="0.25">
      <c r="A72" s="62" t="s">
        <v>278</v>
      </c>
      <c r="B72" s="15" t="s">
        <v>280</v>
      </c>
      <c r="C72" s="15" t="s">
        <v>430</v>
      </c>
      <c r="D72" s="15" t="s">
        <v>99</v>
      </c>
      <c r="E72" s="64">
        <f>VLOOKUP(C72,'Census Population Data'!$B$2000:$O$3147,13,FALSE)</f>
        <v>1316756</v>
      </c>
      <c r="F72" s="16" t="str">
        <f>VLOOKUP(C72,'Census Population Data'!$B$2000:$O$3147,14,FALSE)</f>
        <v>Franklin County, Ohio</v>
      </c>
      <c r="G72" s="62">
        <v>5</v>
      </c>
      <c r="H72" s="62" t="s">
        <v>382</v>
      </c>
      <c r="I72" s="3" t="s">
        <v>3772</v>
      </c>
    </row>
    <row r="73" spans="1:9" x14ac:dyDescent="0.25">
      <c r="A73" s="62" t="s">
        <v>281</v>
      </c>
      <c r="B73" s="15" t="s">
        <v>282</v>
      </c>
      <c r="C73" s="15" t="s">
        <v>431</v>
      </c>
      <c r="D73" s="15" t="s">
        <v>100</v>
      </c>
      <c r="E73" s="64">
        <f>VLOOKUP(C73,'Census Population Data'!$B$2000:$O$3147,13,FALSE)</f>
        <v>797434</v>
      </c>
      <c r="F73" s="16" t="str">
        <f>VLOOKUP(C73,'Census Population Data'!$B$2000:$O$3147,14,FALSE)</f>
        <v>Oklahoma County, Oklahoma</v>
      </c>
      <c r="G73" s="62">
        <v>3</v>
      </c>
      <c r="H73" s="62" t="s">
        <v>377</v>
      </c>
      <c r="I73" s="3" t="s">
        <v>3768</v>
      </c>
    </row>
    <row r="74" spans="1:9" x14ac:dyDescent="0.25">
      <c r="A74" s="62" t="s">
        <v>283</v>
      </c>
      <c r="B74" s="15" t="s">
        <v>236</v>
      </c>
      <c r="C74" s="15" t="s">
        <v>3647</v>
      </c>
      <c r="D74" s="15" t="s">
        <v>101</v>
      </c>
      <c r="E74" s="64">
        <f>VLOOKUP(C74,'Census Population Data'!$B$2000:$O$3147,13,FALSE)</f>
        <v>812855</v>
      </c>
      <c r="F74" s="16" t="str">
        <f>VLOOKUP(C74,'Census Population Data'!$B$2000:$O$3147,14,FALSE)</f>
        <v>Multnomah County, Oregon</v>
      </c>
      <c r="G74" s="62">
        <v>4</v>
      </c>
      <c r="H74" s="62" t="s">
        <v>388</v>
      </c>
      <c r="I74" s="3" t="s">
        <v>3769</v>
      </c>
    </row>
    <row r="75" spans="1:9" x14ac:dyDescent="0.25">
      <c r="A75" s="62" t="s">
        <v>283</v>
      </c>
      <c r="B75" s="15" t="s">
        <v>284</v>
      </c>
      <c r="C75" s="15" t="s">
        <v>432</v>
      </c>
      <c r="D75" s="15" t="s">
        <v>102</v>
      </c>
      <c r="E75" s="64">
        <f>VLOOKUP(C75,'Census Population Data'!$B$2000:$O$3147,13,FALSE)</f>
        <v>197692</v>
      </c>
      <c r="F75" s="16" t="str">
        <f>VLOOKUP(C75,'Census Population Data'!$B$2000:$O$3147,14,FALSE)</f>
        <v>Deschutes County, Oregon</v>
      </c>
      <c r="G75" s="62">
        <v>5</v>
      </c>
      <c r="H75" s="62" t="s">
        <v>382</v>
      </c>
      <c r="I75" s="3" t="s">
        <v>3769</v>
      </c>
    </row>
    <row r="76" spans="1:9" x14ac:dyDescent="0.25">
      <c r="A76" s="62" t="s">
        <v>285</v>
      </c>
      <c r="B76" s="15" t="s">
        <v>286</v>
      </c>
      <c r="C76" s="15" t="s">
        <v>433</v>
      </c>
      <c r="D76" s="15" t="s">
        <v>105</v>
      </c>
      <c r="E76" s="64">
        <f>VLOOKUP(C76,'Census Population Data'!$B$2000:$O$3147,13,FALSE)</f>
        <v>40625</v>
      </c>
      <c r="F76" s="16" t="str">
        <f>VLOOKUP(C76,'Census Population Data'!$B$2000:$O$3147,14,FALSE)</f>
        <v>McKean County, Pennsylvania</v>
      </c>
      <c r="G76" s="62">
        <v>6</v>
      </c>
      <c r="H76" s="62" t="s">
        <v>382</v>
      </c>
      <c r="I76" s="3" t="s">
        <v>3771</v>
      </c>
    </row>
    <row r="77" spans="1:9" x14ac:dyDescent="0.25">
      <c r="A77" s="62" t="s">
        <v>285</v>
      </c>
      <c r="B77" s="15" t="s">
        <v>287</v>
      </c>
      <c r="C77" s="15" t="s">
        <v>287</v>
      </c>
      <c r="D77" s="15" t="s">
        <v>103</v>
      </c>
      <c r="E77" s="64">
        <f>VLOOKUP(C77,'Census Population Data'!$B$2000:$O$3147,13,FALSE)</f>
        <v>1584064</v>
      </c>
      <c r="F77" s="16" t="str">
        <f>VLOOKUP(C77,'Census Population Data'!$B$2000:$O$3147,14,FALSE)</f>
        <v>Philadelphia County, Pennsylvania</v>
      </c>
      <c r="G77" s="62">
        <v>4</v>
      </c>
      <c r="H77" s="62" t="s">
        <v>377</v>
      </c>
      <c r="I77" s="3" t="s">
        <v>3771</v>
      </c>
    </row>
    <row r="78" spans="1:9" x14ac:dyDescent="0.25">
      <c r="A78" s="62" t="s">
        <v>285</v>
      </c>
      <c r="B78" s="15" t="s">
        <v>288</v>
      </c>
      <c r="C78" s="15" t="s">
        <v>434</v>
      </c>
      <c r="D78" s="15" t="s">
        <v>104</v>
      </c>
      <c r="E78" s="64">
        <f>VLOOKUP(C78,'Census Population Data'!$B$2000:$O$3147,13,FALSE)</f>
        <v>1216045</v>
      </c>
      <c r="F78" s="16" t="str">
        <f>VLOOKUP(C78,'Census Population Data'!$B$2000:$O$3147,14,FALSE)</f>
        <v>Allegheny County, Pennsylvania</v>
      </c>
      <c r="G78" s="62">
        <v>5</v>
      </c>
      <c r="H78" s="62" t="s">
        <v>382</v>
      </c>
      <c r="I78" s="3" t="s">
        <v>3771</v>
      </c>
    </row>
    <row r="79" spans="1:9" x14ac:dyDescent="0.25">
      <c r="A79" s="62" t="s">
        <v>289</v>
      </c>
      <c r="B79" s="15" t="s">
        <v>290</v>
      </c>
      <c r="C79" s="15" t="s">
        <v>290</v>
      </c>
      <c r="D79" s="15" t="s">
        <v>106</v>
      </c>
      <c r="E79" s="64">
        <f>VLOOKUP(C79,'Census Population Data'!$B$2000:$O$3147,13,FALSE)</f>
        <v>638931</v>
      </c>
      <c r="F79" s="16" t="str">
        <f>VLOOKUP(C79,'Census Population Data'!$B$2000:$O$3147,14,FALSE)</f>
        <v>Providence County, Rhode Island</v>
      </c>
      <c r="G79" s="62">
        <v>5</v>
      </c>
      <c r="H79" s="62" t="s">
        <v>382</v>
      </c>
      <c r="I79" s="3" t="s">
        <v>3771</v>
      </c>
    </row>
    <row r="80" spans="1:9" x14ac:dyDescent="0.25">
      <c r="A80" s="62" t="s">
        <v>291</v>
      </c>
      <c r="B80" s="15" t="s">
        <v>292</v>
      </c>
      <c r="C80" s="15" t="s">
        <v>292</v>
      </c>
      <c r="D80" s="15" t="s">
        <v>107</v>
      </c>
      <c r="E80" s="64">
        <f>VLOOKUP(C80,'Census Population Data'!$B$2000:$O$3147,13,FALSE)</f>
        <v>411406</v>
      </c>
      <c r="F80" s="16" t="str">
        <f>VLOOKUP(C80,'Census Population Data'!$B$2000:$O$3147,14,FALSE)</f>
        <v>Charleston County, South Carolina</v>
      </c>
      <c r="G80" s="62">
        <v>3</v>
      </c>
      <c r="H80" s="62" t="s">
        <v>378</v>
      </c>
      <c r="I80" s="3" t="s">
        <v>3767</v>
      </c>
    </row>
    <row r="81" spans="1:9" x14ac:dyDescent="0.25">
      <c r="A81" s="62" t="s">
        <v>293</v>
      </c>
      <c r="B81" s="15" t="s">
        <v>295</v>
      </c>
      <c r="C81" s="15" t="s">
        <v>295</v>
      </c>
      <c r="D81" s="15" t="s">
        <v>108</v>
      </c>
      <c r="E81" s="64">
        <f>VLOOKUP(C81,'Census Population Data'!$B$2000:$O$3147,13,FALSE)</f>
        <v>22814</v>
      </c>
      <c r="F81" s="16" t="str">
        <f>VLOOKUP(C81,'Census Population Data'!$B$2000:$O$3147,14,FALSE)</f>
        <v>Yankton County, South Dakota</v>
      </c>
      <c r="G81" s="62">
        <v>5</v>
      </c>
      <c r="H81" s="62" t="s">
        <v>382</v>
      </c>
      <c r="I81" s="3" t="s">
        <v>3772</v>
      </c>
    </row>
    <row r="82" spans="1:9" x14ac:dyDescent="0.25">
      <c r="A82" s="62" t="s">
        <v>293</v>
      </c>
      <c r="B82" s="15" t="s">
        <v>294</v>
      </c>
      <c r="C82" s="15" t="s">
        <v>435</v>
      </c>
      <c r="D82" s="15" t="s">
        <v>109</v>
      </c>
      <c r="E82" s="64">
        <f>VLOOKUP(C82,'Census Population Data'!$B$2000:$O$3147,13,FALSE)</f>
        <v>193134</v>
      </c>
      <c r="F82" s="16" t="str">
        <f>VLOOKUP(C82,'Census Population Data'!$B$2000:$O$3147,14,FALSE)</f>
        <v>Minnehaha County, South Dakota</v>
      </c>
      <c r="G82" s="62">
        <v>6</v>
      </c>
      <c r="H82" s="62" t="s">
        <v>382</v>
      </c>
      <c r="I82" s="3" t="s">
        <v>3772</v>
      </c>
    </row>
    <row r="83" spans="1:9" x14ac:dyDescent="0.25">
      <c r="A83" s="62" t="s">
        <v>296</v>
      </c>
      <c r="B83" s="15" t="s">
        <v>297</v>
      </c>
      <c r="C83" s="15" t="s">
        <v>436</v>
      </c>
      <c r="D83" s="15" t="s">
        <v>110</v>
      </c>
      <c r="E83" s="64">
        <f>VLOOKUP(C83,'Census Population Data'!$B$2500:$O$3147,13,FALSE)</f>
        <v>937166</v>
      </c>
      <c r="F83" s="16" t="str">
        <f>VLOOKUP(C83,'Census Population Data'!$B$2500:$O$3147,14,FALSE)</f>
        <v>Shelby County, Tennessee</v>
      </c>
      <c r="G83" s="62">
        <v>3</v>
      </c>
      <c r="H83" s="62" t="s">
        <v>378</v>
      </c>
      <c r="I83" s="3" t="s">
        <v>3767</v>
      </c>
    </row>
    <row r="84" spans="1:9" x14ac:dyDescent="0.25">
      <c r="A84" s="62" t="s">
        <v>296</v>
      </c>
      <c r="B84" s="15" t="s">
        <v>298</v>
      </c>
      <c r="C84" s="15" t="s">
        <v>437</v>
      </c>
      <c r="D84" s="15" t="s">
        <v>111</v>
      </c>
      <c r="E84" s="64">
        <f>VLOOKUP(C84,'Census Population Data'!$B$2400:$O$3147,13,FALSE)</f>
        <v>694144</v>
      </c>
      <c r="F84" s="16" t="str">
        <f>VLOOKUP(C84,'Census Population Data'!$B$2400:$O$3147,14,FALSE)</f>
        <v>Davidson County, Tennessee</v>
      </c>
      <c r="G84" s="62">
        <v>4</v>
      </c>
      <c r="H84" s="62" t="s">
        <v>378</v>
      </c>
      <c r="I84" s="3" t="s">
        <v>3767</v>
      </c>
    </row>
    <row r="85" spans="1:9" x14ac:dyDescent="0.25">
      <c r="A85" s="62" t="s">
        <v>299</v>
      </c>
      <c r="B85" s="15" t="s">
        <v>300</v>
      </c>
      <c r="C85" s="15" t="s">
        <v>300</v>
      </c>
      <c r="D85" s="15" t="s">
        <v>113</v>
      </c>
      <c r="E85" s="64">
        <f>VLOOKUP(C85,'Census Population Data'!$B$2500:$O$3147,13,FALSE)</f>
        <v>2635516</v>
      </c>
      <c r="F85" s="16" t="str">
        <f>VLOOKUP(C85,'Census Population Data'!$B$2500:$O$3147,14,FALSE)</f>
        <v>Dallas County, Texas</v>
      </c>
      <c r="G85" s="62">
        <v>3</v>
      </c>
      <c r="H85" s="62" t="s">
        <v>378</v>
      </c>
      <c r="I85" s="3" t="s">
        <v>3768</v>
      </c>
    </row>
    <row r="86" spans="1:9" x14ac:dyDescent="0.25">
      <c r="A86" s="62" t="s">
        <v>299</v>
      </c>
      <c r="B86" s="15" t="s">
        <v>301</v>
      </c>
      <c r="C86" s="15" t="s">
        <v>438</v>
      </c>
      <c r="D86" s="15" t="s">
        <v>112</v>
      </c>
      <c r="E86" s="64">
        <f>VLOOKUP(C86,'Census Population Data'!$B$2500:$O$3147,13,FALSE)</f>
        <v>4713325</v>
      </c>
      <c r="F86" s="16" t="str">
        <f>VLOOKUP(C86,'Census Population Data'!$B$2500:$O$3147,14,FALSE)</f>
        <v>Harris County, Texas</v>
      </c>
      <c r="G86" s="62">
        <v>2</v>
      </c>
      <c r="H86" s="62" t="s">
        <v>378</v>
      </c>
      <c r="I86" s="3" t="s">
        <v>3768</v>
      </c>
    </row>
    <row r="87" spans="1:9" x14ac:dyDescent="0.25">
      <c r="A87" s="62" t="s">
        <v>299</v>
      </c>
      <c r="B87" s="15" t="s">
        <v>302</v>
      </c>
      <c r="C87" s="15" t="s">
        <v>302</v>
      </c>
      <c r="D87" s="15" t="s">
        <v>114</v>
      </c>
      <c r="E87" s="64">
        <f>VLOOKUP(C87,'Census Population Data'!$B$2500:$O$3147,13,FALSE)</f>
        <v>310569</v>
      </c>
      <c r="F87" s="16" t="str">
        <f>VLOOKUP(C87,'Census Population Data'!$B$2500:$O$3147,14,FALSE)</f>
        <v>Lubbock County, Texas</v>
      </c>
      <c r="G87" s="62">
        <v>4</v>
      </c>
      <c r="H87" s="62" t="s">
        <v>384</v>
      </c>
      <c r="I87" s="3" t="s">
        <v>3768</v>
      </c>
    </row>
    <row r="88" spans="1:9" x14ac:dyDescent="0.25">
      <c r="A88" s="62" t="s">
        <v>303</v>
      </c>
      <c r="B88" s="15" t="s">
        <v>304</v>
      </c>
      <c r="C88" s="15" t="s">
        <v>3648</v>
      </c>
      <c r="D88" s="15" t="s">
        <v>116</v>
      </c>
      <c r="E88" s="64">
        <f>VLOOKUP(C88,'Census Population Data'!$B$2500:$O$3147,13,FALSE)</f>
        <v>1160437</v>
      </c>
      <c r="F88" s="16" t="str">
        <f>VLOOKUP(C88,'Census Population Data'!$B$2500:$O$3147,14,FALSE)</f>
        <v>Salt Lake County, Utah</v>
      </c>
      <c r="G88" s="62">
        <v>5</v>
      </c>
      <c r="H88" s="62" t="s">
        <v>382</v>
      </c>
      <c r="I88" s="3" t="s">
        <v>3770</v>
      </c>
    </row>
    <row r="89" spans="1:9" x14ac:dyDescent="0.25">
      <c r="A89" s="62" t="s">
        <v>303</v>
      </c>
      <c r="B89" s="15" t="s">
        <v>305</v>
      </c>
      <c r="C89" s="15" t="s">
        <v>379</v>
      </c>
      <c r="D89" s="15" t="s">
        <v>115</v>
      </c>
      <c r="E89" s="64">
        <f>VLOOKUP(C89,'Census Population Data'!$B$2500:$O$3147,13,FALSE)</f>
        <v>129375</v>
      </c>
      <c r="F89" s="16" t="str">
        <f>VLOOKUP(C89,'Census Population Data'!$B$2500:$O$3147,14,FALSE)</f>
        <v>Washington County, Tennessee</v>
      </c>
      <c r="G89" s="62">
        <v>3</v>
      </c>
      <c r="H89" s="62" t="s">
        <v>384</v>
      </c>
      <c r="I89" s="3" t="s">
        <v>3770</v>
      </c>
    </row>
    <row r="90" spans="1:9" x14ac:dyDescent="0.25">
      <c r="A90" s="62" t="s">
        <v>303</v>
      </c>
      <c r="B90" s="15" t="s">
        <v>306</v>
      </c>
      <c r="C90" s="15" t="s">
        <v>439</v>
      </c>
      <c r="D90" s="15" t="s">
        <v>117</v>
      </c>
      <c r="E90" s="64">
        <f>VLOOKUP(C90,'Census Population Data'!$B$2500:$O$3147,13,FALSE)</f>
        <v>35734</v>
      </c>
      <c r="F90" s="16" t="str">
        <f>VLOOKUP(C90,'Census Population Data'!$B$2500:$O$3147,14,FALSE)</f>
        <v>Uintah County, Utah</v>
      </c>
      <c r="G90" s="62">
        <v>6</v>
      </c>
      <c r="H90" s="62" t="s">
        <v>382</v>
      </c>
      <c r="I90" s="3" t="s">
        <v>3770</v>
      </c>
    </row>
    <row r="91" spans="1:9" x14ac:dyDescent="0.25">
      <c r="A91" s="62" t="s">
        <v>307</v>
      </c>
      <c r="B91" s="15" t="s">
        <v>308</v>
      </c>
      <c r="C91" s="15" t="s">
        <v>3650</v>
      </c>
      <c r="D91" s="15" t="s">
        <v>118</v>
      </c>
      <c r="E91" s="64">
        <f>VLOOKUP(C91,'Census Population Data'!$B$2500:$O$3147,13,FALSE)</f>
        <v>449974</v>
      </c>
      <c r="F91" s="16" t="str">
        <f>VLOOKUP(C91,'Census Population Data'!$B$2500:$O$3147,14,FALSE)</f>
        <v>Virginia Beach city, Virginia</v>
      </c>
      <c r="G91" s="62">
        <v>4</v>
      </c>
      <c r="H91" s="62" t="s">
        <v>377</v>
      </c>
      <c r="I91" s="3" t="s">
        <v>3767</v>
      </c>
    </row>
    <row r="92" spans="1:9" x14ac:dyDescent="0.25">
      <c r="A92" s="62" t="s">
        <v>309</v>
      </c>
      <c r="B92" s="15" t="s">
        <v>310</v>
      </c>
      <c r="C92" s="15" t="s">
        <v>440</v>
      </c>
      <c r="D92" s="15" t="s">
        <v>119</v>
      </c>
      <c r="E92" s="64">
        <f>VLOOKUP(C92,'Census Population Data'!$B$2500:$O$3147,13,FALSE)</f>
        <v>163774</v>
      </c>
      <c r="F92" s="16" t="str">
        <f>VLOOKUP(C92,'Census Population Data'!$B$2500:$O$3147,14,FALSE)</f>
        <v>Chittenden County, Vermont</v>
      </c>
      <c r="G92" s="62">
        <v>6</v>
      </c>
      <c r="H92" s="62" t="s">
        <v>382</v>
      </c>
      <c r="I92" s="3" t="s">
        <v>3771</v>
      </c>
    </row>
    <row r="93" spans="1:9" x14ac:dyDescent="0.25">
      <c r="A93" s="62" t="s">
        <v>311</v>
      </c>
      <c r="B93" s="15" t="s">
        <v>312</v>
      </c>
      <c r="C93" s="15" t="s">
        <v>441</v>
      </c>
      <c r="D93" s="15" t="s">
        <v>120</v>
      </c>
      <c r="E93" s="64">
        <f>VLOOKUP(C93,'Census Population Data'!$B$2900:$O$3147,13,FALSE)</f>
        <v>2252782</v>
      </c>
      <c r="F93" s="16" t="str">
        <f>VLOOKUP(C93,'Census Population Data'!$B$2900:$O$3147,14,FALSE)</f>
        <v>King County, Washington</v>
      </c>
      <c r="G93" s="62">
        <v>4</v>
      </c>
      <c r="H93" s="62" t="s">
        <v>388</v>
      </c>
      <c r="I93" s="3" t="s">
        <v>3769</v>
      </c>
    </row>
    <row r="94" spans="1:9" x14ac:dyDescent="0.25">
      <c r="A94" s="62" t="s">
        <v>311</v>
      </c>
      <c r="B94" s="15" t="s">
        <v>313</v>
      </c>
      <c r="C94" s="15" t="s">
        <v>313</v>
      </c>
      <c r="D94" s="15" t="s">
        <v>121</v>
      </c>
      <c r="E94" s="64">
        <f>VLOOKUP(C94,'Census Population Data'!$B$2900:$O$3147,13,FALSE)</f>
        <v>522798</v>
      </c>
      <c r="F94" s="16" t="str">
        <f>VLOOKUP(C94,'Census Population Data'!$B$2900:$O$3147,14,FALSE)</f>
        <v>Spokane County, Washington</v>
      </c>
      <c r="G94" s="62">
        <v>5</v>
      </c>
      <c r="H94" s="62" t="s">
        <v>382</v>
      </c>
      <c r="I94" s="3" t="s">
        <v>3769</v>
      </c>
    </row>
    <row r="95" spans="1:9" x14ac:dyDescent="0.25">
      <c r="A95" s="62" t="s">
        <v>314</v>
      </c>
      <c r="B95" s="15" t="s">
        <v>442</v>
      </c>
      <c r="C95" s="15" t="s">
        <v>442</v>
      </c>
      <c r="D95" s="15" t="s">
        <v>122</v>
      </c>
      <c r="E95" s="64">
        <f>VLOOKUP(C95,'Census Population Data'!$B$2900:$O$3147,13,FALSE)</f>
        <v>945726</v>
      </c>
      <c r="F95" s="16" t="str">
        <f>VLOOKUP(C95,'Census Population Data'!$B$2900:$O$3147,14,FALSE)</f>
        <v>Milwaukee County, Wisconsin</v>
      </c>
      <c r="G95" s="62">
        <v>6</v>
      </c>
      <c r="H95" s="62" t="s">
        <v>382</v>
      </c>
      <c r="I95" s="3" t="s">
        <v>3772</v>
      </c>
    </row>
    <row r="96" spans="1:9" x14ac:dyDescent="0.25">
      <c r="A96" s="62" t="s">
        <v>314</v>
      </c>
      <c r="B96" s="15" t="s">
        <v>315</v>
      </c>
      <c r="C96" s="15" t="s">
        <v>428</v>
      </c>
      <c r="D96" s="15" t="s">
        <v>123</v>
      </c>
      <c r="E96" s="64">
        <f>VLOOKUP(C96,'Census Population Data'!$B$2900:$O$3147,13,FALSE)</f>
        <v>35595</v>
      </c>
      <c r="F96" s="16" t="str">
        <f>VLOOKUP(C96,'Census Population Data'!$B$2900:$O$3147,14,FALSE)</f>
        <v>Oneida County, Wisconsin</v>
      </c>
      <c r="G96" s="62">
        <v>7</v>
      </c>
      <c r="H96" s="62" t="s">
        <v>392</v>
      </c>
      <c r="I96" s="3" t="s">
        <v>3772</v>
      </c>
    </row>
    <row r="97" spans="1:9" x14ac:dyDescent="0.25">
      <c r="A97" s="62" t="s">
        <v>316</v>
      </c>
      <c r="B97" s="15" t="s">
        <v>292</v>
      </c>
      <c r="C97" s="15" t="s">
        <v>443</v>
      </c>
      <c r="D97" s="15" t="s">
        <v>124</v>
      </c>
      <c r="E97" s="64">
        <f>VLOOKUP(C97,'Census Population Data'!$B$2900:$O$3147,13,FALSE)</f>
        <v>178124</v>
      </c>
      <c r="F97" s="16" t="str">
        <f>VLOOKUP(C97,'Census Population Data'!$B$2900:$O$3147,14,FALSE)</f>
        <v>Kanawha County, West Virginia</v>
      </c>
      <c r="G97" s="62">
        <v>4</v>
      </c>
      <c r="H97" s="62" t="s">
        <v>377</v>
      </c>
      <c r="I97" s="3" t="s">
        <v>3767</v>
      </c>
    </row>
    <row r="98" spans="1:9" x14ac:dyDescent="0.25">
      <c r="A98" s="62" t="s">
        <v>316</v>
      </c>
      <c r="B98" s="15" t="s">
        <v>317</v>
      </c>
      <c r="C98" s="15" t="s">
        <v>444</v>
      </c>
      <c r="D98" s="15" t="s">
        <v>125</v>
      </c>
      <c r="E98" s="64">
        <f>VLOOKUP(C98,'Census Population Data'!$B$2900:$O$3147,13,FALSE)</f>
        <v>105612</v>
      </c>
      <c r="F98" s="16" t="str">
        <f>VLOOKUP(C98,'Census Population Data'!$B$2900:$O$3147,14,FALSE)</f>
        <v>Monongalia County, West Virginia</v>
      </c>
      <c r="G98" s="62">
        <v>5</v>
      </c>
      <c r="H98" s="62" t="s">
        <v>382</v>
      </c>
      <c r="I98" s="3" t="s">
        <v>3767</v>
      </c>
    </row>
    <row r="99" spans="1:9" x14ac:dyDescent="0.25">
      <c r="A99" s="62" t="s">
        <v>318</v>
      </c>
      <c r="B99" s="15" t="s">
        <v>319</v>
      </c>
      <c r="C99" s="15" t="s">
        <v>3649</v>
      </c>
      <c r="D99" s="15" t="s">
        <v>126</v>
      </c>
      <c r="E99" s="64">
        <f>VLOOKUP(C99,'Census Population Data'!$B$2900:$O$3147,13,FALSE)</f>
        <v>99500</v>
      </c>
      <c r="F99" s="16" t="str">
        <f>VLOOKUP(C99,'Census Population Data'!$B$2900:$O$3147,14,FALSE)</f>
        <v>Laramie County, Wyoming</v>
      </c>
      <c r="G99" s="62">
        <v>6</v>
      </c>
      <c r="H99" s="62" t="s">
        <v>382</v>
      </c>
      <c r="I99" s="3" t="s">
        <v>3770</v>
      </c>
    </row>
    <row r="100" spans="1:9" x14ac:dyDescent="0.25">
      <c r="A100" s="62" t="s">
        <v>318</v>
      </c>
      <c r="B100" s="15" t="s">
        <v>250</v>
      </c>
      <c r="C100" s="15" t="s">
        <v>445</v>
      </c>
      <c r="D100" s="15" t="s">
        <v>127</v>
      </c>
      <c r="E100" s="64">
        <f>VLOOKUP(C100,'Census Population Data'!$B$2900:$O$3147,13,FALSE)</f>
        <v>23464</v>
      </c>
      <c r="F100" s="16" t="str">
        <f>VLOOKUP(C100,'Census Population Data'!$B$2900:$O$3147,14,FALSE)</f>
        <v>Teton County, Wyoming</v>
      </c>
      <c r="G100" s="62">
        <v>7</v>
      </c>
      <c r="H100" s="62" t="s">
        <v>392</v>
      </c>
      <c r="I100" s="3" t="s">
        <v>3770</v>
      </c>
    </row>
  </sheetData>
  <sortState xmlns:xlrd2="http://schemas.microsoft.com/office/spreadsheetml/2017/richdata2" ref="A2:H100">
    <sortCondition ref="D2:D10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333D-D978-4968-9369-0A7805EBA0B4}">
  <dimension ref="A1:O3153"/>
  <sheetViews>
    <sheetView workbookViewId="0">
      <selection sqref="A1:N1"/>
    </sheetView>
  </sheetViews>
  <sheetFormatPr defaultColWidth="9.140625" defaultRowHeight="15" x14ac:dyDescent="0.25"/>
  <cols>
    <col min="1" max="1" width="38.28515625" style="37" customWidth="1"/>
    <col min="2" max="2" width="38.28515625" style="24" customWidth="1"/>
    <col min="3" max="14" width="12.28515625" style="24" customWidth="1"/>
    <col min="15" max="16384" width="9.140625" style="24"/>
  </cols>
  <sheetData>
    <row r="1" spans="1:15" ht="2.25" customHeight="1" x14ac:dyDescent="0.25">
      <c r="A1" s="102" t="s">
        <v>468</v>
      </c>
      <c r="B1" s="102"/>
      <c r="C1" s="102"/>
      <c r="D1" s="102"/>
      <c r="E1" s="102"/>
      <c r="F1" s="102"/>
      <c r="G1" s="102"/>
      <c r="H1" s="102"/>
      <c r="I1" s="102"/>
      <c r="J1" s="102"/>
      <c r="K1" s="102"/>
      <c r="L1" s="102"/>
      <c r="M1" s="102"/>
      <c r="N1" s="102"/>
    </row>
    <row r="2" spans="1:15" ht="25.5" customHeight="1" x14ac:dyDescent="0.25">
      <c r="A2" s="103" t="s">
        <v>469</v>
      </c>
      <c r="B2" s="103"/>
      <c r="C2" s="104"/>
      <c r="D2" s="104"/>
      <c r="E2" s="104"/>
      <c r="F2" s="104"/>
      <c r="G2" s="104"/>
      <c r="H2" s="104"/>
      <c r="I2" s="104"/>
      <c r="J2" s="104"/>
      <c r="K2" s="104"/>
      <c r="L2" s="104"/>
      <c r="M2" s="104"/>
      <c r="N2" s="104"/>
    </row>
    <row r="3" spans="1:15" s="25" customFormat="1" x14ac:dyDescent="0.25">
      <c r="A3" s="105" t="s">
        <v>470</v>
      </c>
      <c r="B3" s="32"/>
      <c r="C3" s="107">
        <v>40269</v>
      </c>
      <c r="D3" s="108"/>
      <c r="E3" s="109" t="s">
        <v>471</v>
      </c>
      <c r="F3" s="108"/>
      <c r="G3" s="108"/>
      <c r="H3" s="108"/>
      <c r="I3" s="108"/>
      <c r="J3" s="108"/>
      <c r="K3" s="108"/>
      <c r="L3" s="108"/>
      <c r="M3" s="108"/>
      <c r="N3" s="108"/>
    </row>
    <row r="4" spans="1:15" s="27" customFormat="1" ht="27.75" customHeight="1" x14ac:dyDescent="0.25">
      <c r="A4" s="106"/>
      <c r="B4" s="33"/>
      <c r="C4" s="26" t="s">
        <v>472</v>
      </c>
      <c r="D4" s="26" t="s">
        <v>473</v>
      </c>
      <c r="E4" s="26">
        <v>2010</v>
      </c>
      <c r="F4" s="26">
        <v>2011</v>
      </c>
      <c r="G4" s="26">
        <v>2012</v>
      </c>
      <c r="H4" s="26">
        <v>2013</v>
      </c>
      <c r="I4" s="26">
        <v>2014</v>
      </c>
      <c r="J4" s="26">
        <v>2015</v>
      </c>
      <c r="K4" s="26">
        <v>2016</v>
      </c>
      <c r="L4" s="26">
        <v>2017</v>
      </c>
      <c r="M4" s="26">
        <v>2018</v>
      </c>
      <c r="N4" s="26">
        <v>2019</v>
      </c>
    </row>
    <row r="5" spans="1:15" x14ac:dyDescent="0.25">
      <c r="A5" s="34" t="s">
        <v>474</v>
      </c>
      <c r="B5" s="28"/>
      <c r="C5" s="29">
        <v>308745538</v>
      </c>
      <c r="D5" s="29">
        <v>308758105</v>
      </c>
      <c r="E5" s="29">
        <v>309321666</v>
      </c>
      <c r="F5" s="29">
        <v>311556874</v>
      </c>
      <c r="G5" s="29">
        <v>313830990</v>
      </c>
      <c r="H5" s="29">
        <v>315993715</v>
      </c>
      <c r="I5" s="29">
        <v>318301008</v>
      </c>
      <c r="J5" s="29">
        <v>320635163</v>
      </c>
      <c r="K5" s="29">
        <v>322941311</v>
      </c>
      <c r="L5" s="29">
        <v>324985539</v>
      </c>
      <c r="M5" s="29">
        <v>326687501</v>
      </c>
      <c r="N5" s="29">
        <v>328239523</v>
      </c>
    </row>
    <row r="6" spans="1:15" x14ac:dyDescent="0.25">
      <c r="A6" s="35" t="s">
        <v>482</v>
      </c>
      <c r="B6" s="28" t="str">
        <f>LEFT(A6,FIND("County",A6,1)-2)</f>
        <v>Autauga</v>
      </c>
      <c r="C6" s="30">
        <v>54571</v>
      </c>
      <c r="D6" s="30">
        <v>54597</v>
      </c>
      <c r="E6" s="30">
        <v>54773</v>
      </c>
      <c r="F6" s="30">
        <v>55227</v>
      </c>
      <c r="G6" s="30">
        <v>54954</v>
      </c>
      <c r="H6" s="30">
        <v>54727</v>
      </c>
      <c r="I6" s="30">
        <v>54893</v>
      </c>
      <c r="J6" s="30">
        <v>54864</v>
      </c>
      <c r="K6" s="30">
        <v>55243</v>
      </c>
      <c r="L6" s="30">
        <v>55390</v>
      </c>
      <c r="M6" s="30">
        <v>55533</v>
      </c>
      <c r="N6" s="30">
        <v>55869</v>
      </c>
      <c r="O6" s="24" t="str">
        <f>A6</f>
        <v>Autauga County, Alabama</v>
      </c>
    </row>
    <row r="7" spans="1:15" x14ac:dyDescent="0.25">
      <c r="A7" s="35" t="s">
        <v>483</v>
      </c>
      <c r="B7" s="28" t="str">
        <f t="shared" ref="B7:B70" si="0">LEFT(A7,FIND("County",A7,1)-2)</f>
        <v>Baldwin</v>
      </c>
      <c r="C7" s="30">
        <v>182265</v>
      </c>
      <c r="D7" s="30">
        <v>182265</v>
      </c>
      <c r="E7" s="30">
        <v>183112</v>
      </c>
      <c r="F7" s="30">
        <v>186558</v>
      </c>
      <c r="G7" s="30">
        <v>190145</v>
      </c>
      <c r="H7" s="30">
        <v>194885</v>
      </c>
      <c r="I7" s="30">
        <v>199183</v>
      </c>
      <c r="J7" s="30">
        <v>202939</v>
      </c>
      <c r="K7" s="30">
        <v>207601</v>
      </c>
      <c r="L7" s="30">
        <v>212521</v>
      </c>
      <c r="M7" s="30">
        <v>217855</v>
      </c>
      <c r="N7" s="30">
        <v>223234</v>
      </c>
      <c r="O7" s="24" t="str">
        <f t="shared" ref="O7:O70" si="1">A7</f>
        <v>Baldwin County, Alabama</v>
      </c>
    </row>
    <row r="8" spans="1:15" x14ac:dyDescent="0.25">
      <c r="A8" s="35" t="s">
        <v>484</v>
      </c>
      <c r="B8" s="28" t="str">
        <f t="shared" si="0"/>
        <v>Barbour</v>
      </c>
      <c r="C8" s="30">
        <v>27457</v>
      </c>
      <c r="D8" s="30">
        <v>27455</v>
      </c>
      <c r="E8" s="30">
        <v>27327</v>
      </c>
      <c r="F8" s="30">
        <v>27341</v>
      </c>
      <c r="G8" s="30">
        <v>27169</v>
      </c>
      <c r="H8" s="30">
        <v>26937</v>
      </c>
      <c r="I8" s="30">
        <v>26755</v>
      </c>
      <c r="J8" s="30">
        <v>26283</v>
      </c>
      <c r="K8" s="30">
        <v>25806</v>
      </c>
      <c r="L8" s="30">
        <v>25157</v>
      </c>
      <c r="M8" s="30">
        <v>24872</v>
      </c>
      <c r="N8" s="30">
        <v>24686</v>
      </c>
      <c r="O8" s="24" t="str">
        <f t="shared" si="1"/>
        <v>Barbour County, Alabama</v>
      </c>
    </row>
    <row r="9" spans="1:15" x14ac:dyDescent="0.25">
      <c r="A9" s="35" t="s">
        <v>485</v>
      </c>
      <c r="B9" s="28" t="str">
        <f t="shared" si="0"/>
        <v>Bibb</v>
      </c>
      <c r="C9" s="30">
        <v>22915</v>
      </c>
      <c r="D9" s="30">
        <v>22915</v>
      </c>
      <c r="E9" s="30">
        <v>22870</v>
      </c>
      <c r="F9" s="30">
        <v>22745</v>
      </c>
      <c r="G9" s="30">
        <v>22667</v>
      </c>
      <c r="H9" s="30">
        <v>22521</v>
      </c>
      <c r="I9" s="30">
        <v>22553</v>
      </c>
      <c r="J9" s="30">
        <v>22566</v>
      </c>
      <c r="K9" s="30">
        <v>22586</v>
      </c>
      <c r="L9" s="30">
        <v>22550</v>
      </c>
      <c r="M9" s="30">
        <v>22367</v>
      </c>
      <c r="N9" s="30">
        <v>22394</v>
      </c>
      <c r="O9" s="24" t="str">
        <f t="shared" si="1"/>
        <v>Bibb County, Alabama</v>
      </c>
    </row>
    <row r="10" spans="1:15" x14ac:dyDescent="0.25">
      <c r="A10" s="35" t="s">
        <v>486</v>
      </c>
      <c r="B10" s="28" t="str">
        <f t="shared" si="0"/>
        <v>Blount</v>
      </c>
      <c r="C10" s="30">
        <v>57322</v>
      </c>
      <c r="D10" s="30">
        <v>57322</v>
      </c>
      <c r="E10" s="30">
        <v>57376</v>
      </c>
      <c r="F10" s="30">
        <v>57560</v>
      </c>
      <c r="G10" s="30">
        <v>57580</v>
      </c>
      <c r="H10" s="30">
        <v>57619</v>
      </c>
      <c r="I10" s="30">
        <v>57526</v>
      </c>
      <c r="J10" s="30">
        <v>57526</v>
      </c>
      <c r="K10" s="30">
        <v>57494</v>
      </c>
      <c r="L10" s="30">
        <v>57787</v>
      </c>
      <c r="M10" s="30">
        <v>57771</v>
      </c>
      <c r="N10" s="30">
        <v>57826</v>
      </c>
      <c r="O10" s="24" t="str">
        <f t="shared" si="1"/>
        <v>Blount County, Alabama</v>
      </c>
    </row>
    <row r="11" spans="1:15" x14ac:dyDescent="0.25">
      <c r="A11" s="35" t="s">
        <v>487</v>
      </c>
      <c r="B11" s="28" t="str">
        <f t="shared" si="0"/>
        <v>Bullock</v>
      </c>
      <c r="C11" s="30">
        <v>10914</v>
      </c>
      <c r="D11" s="30">
        <v>10911</v>
      </c>
      <c r="E11" s="30">
        <v>10876</v>
      </c>
      <c r="F11" s="30">
        <v>10675</v>
      </c>
      <c r="G11" s="30">
        <v>10606</v>
      </c>
      <c r="H11" s="30">
        <v>10549</v>
      </c>
      <c r="I11" s="30">
        <v>10663</v>
      </c>
      <c r="J11" s="30">
        <v>10400</v>
      </c>
      <c r="K11" s="30">
        <v>10389</v>
      </c>
      <c r="L11" s="30">
        <v>10176</v>
      </c>
      <c r="M11" s="30">
        <v>10174</v>
      </c>
      <c r="N11" s="30">
        <v>10101</v>
      </c>
      <c r="O11" s="24" t="str">
        <f t="shared" si="1"/>
        <v>Bullock County, Alabama</v>
      </c>
    </row>
    <row r="12" spans="1:15" x14ac:dyDescent="0.25">
      <c r="A12" s="35" t="s">
        <v>488</v>
      </c>
      <c r="B12" s="28" t="str">
        <f t="shared" si="0"/>
        <v>Butler</v>
      </c>
      <c r="C12" s="30">
        <v>20947</v>
      </c>
      <c r="D12" s="30">
        <v>20940</v>
      </c>
      <c r="E12" s="30">
        <v>20932</v>
      </c>
      <c r="F12" s="30">
        <v>20866</v>
      </c>
      <c r="G12" s="30">
        <v>20670</v>
      </c>
      <c r="H12" s="30">
        <v>20356</v>
      </c>
      <c r="I12" s="30">
        <v>20327</v>
      </c>
      <c r="J12" s="30">
        <v>20162</v>
      </c>
      <c r="K12" s="30">
        <v>20012</v>
      </c>
      <c r="L12" s="30">
        <v>19888</v>
      </c>
      <c r="M12" s="30">
        <v>19631</v>
      </c>
      <c r="N12" s="30">
        <v>19448</v>
      </c>
      <c r="O12" s="24" t="str">
        <f t="shared" si="1"/>
        <v>Butler County, Alabama</v>
      </c>
    </row>
    <row r="13" spans="1:15" x14ac:dyDescent="0.25">
      <c r="A13" s="35" t="s">
        <v>489</v>
      </c>
      <c r="B13" s="28" t="str">
        <f t="shared" si="0"/>
        <v>Calhoun</v>
      </c>
      <c r="C13" s="30">
        <v>118572</v>
      </c>
      <c r="D13" s="30">
        <v>118526</v>
      </c>
      <c r="E13" s="30">
        <v>118408</v>
      </c>
      <c r="F13" s="30">
        <v>117744</v>
      </c>
      <c r="G13" s="30">
        <v>117190</v>
      </c>
      <c r="H13" s="30">
        <v>116471</v>
      </c>
      <c r="I13" s="30">
        <v>115917</v>
      </c>
      <c r="J13" s="30">
        <v>115469</v>
      </c>
      <c r="K13" s="30">
        <v>114973</v>
      </c>
      <c r="L13" s="30">
        <v>114710</v>
      </c>
      <c r="M13" s="30">
        <v>114331</v>
      </c>
      <c r="N13" s="30">
        <v>113605</v>
      </c>
      <c r="O13" s="24" t="str">
        <f t="shared" si="1"/>
        <v>Calhoun County, Alabama</v>
      </c>
    </row>
    <row r="14" spans="1:15" x14ac:dyDescent="0.25">
      <c r="A14" s="35" t="s">
        <v>490</v>
      </c>
      <c r="B14" s="28" t="str">
        <f t="shared" si="0"/>
        <v>Chambers</v>
      </c>
      <c r="C14" s="30">
        <v>34215</v>
      </c>
      <c r="D14" s="30">
        <v>34169</v>
      </c>
      <c r="E14" s="30">
        <v>34122</v>
      </c>
      <c r="F14" s="30">
        <v>34033</v>
      </c>
      <c r="G14" s="30">
        <v>34104</v>
      </c>
      <c r="H14" s="30">
        <v>34139</v>
      </c>
      <c r="I14" s="30">
        <v>33977</v>
      </c>
      <c r="J14" s="30">
        <v>33996</v>
      </c>
      <c r="K14" s="30">
        <v>33745</v>
      </c>
      <c r="L14" s="30">
        <v>33707</v>
      </c>
      <c r="M14" s="30">
        <v>33600</v>
      </c>
      <c r="N14" s="30">
        <v>33254</v>
      </c>
      <c r="O14" s="24" t="str">
        <f t="shared" si="1"/>
        <v>Chambers County, Alabama</v>
      </c>
    </row>
    <row r="15" spans="1:15" x14ac:dyDescent="0.25">
      <c r="A15" s="35" t="s">
        <v>491</v>
      </c>
      <c r="B15" s="28" t="str">
        <f t="shared" si="0"/>
        <v>Cherokee</v>
      </c>
      <c r="C15" s="30">
        <v>25989</v>
      </c>
      <c r="D15" s="30">
        <v>25979</v>
      </c>
      <c r="E15" s="30">
        <v>25963</v>
      </c>
      <c r="F15" s="30">
        <v>25989</v>
      </c>
      <c r="G15" s="30">
        <v>25958</v>
      </c>
      <c r="H15" s="30">
        <v>26017</v>
      </c>
      <c r="I15" s="30">
        <v>25895</v>
      </c>
      <c r="J15" s="30">
        <v>25732</v>
      </c>
      <c r="K15" s="30">
        <v>25768</v>
      </c>
      <c r="L15" s="30">
        <v>25805</v>
      </c>
      <c r="M15" s="30">
        <v>26014</v>
      </c>
      <c r="N15" s="30">
        <v>26196</v>
      </c>
      <c r="O15" s="24" t="str">
        <f t="shared" si="1"/>
        <v>Cherokee County, Alabama</v>
      </c>
    </row>
    <row r="16" spans="1:15" x14ac:dyDescent="0.25">
      <c r="A16" s="35" t="s">
        <v>492</v>
      </c>
      <c r="B16" s="28" t="str">
        <f t="shared" si="0"/>
        <v>Chilton</v>
      </c>
      <c r="C16" s="30">
        <v>43643</v>
      </c>
      <c r="D16" s="30">
        <v>43632</v>
      </c>
      <c r="E16" s="30">
        <v>43653</v>
      </c>
      <c r="F16" s="30">
        <v>43689</v>
      </c>
      <c r="G16" s="30">
        <v>43582</v>
      </c>
      <c r="H16" s="30">
        <v>43628</v>
      </c>
      <c r="I16" s="30">
        <v>43760</v>
      </c>
      <c r="J16" s="30">
        <v>43700</v>
      </c>
      <c r="K16" s="30">
        <v>43866</v>
      </c>
      <c r="L16" s="30">
        <v>44120</v>
      </c>
      <c r="M16" s="30">
        <v>44163</v>
      </c>
      <c r="N16" s="30">
        <v>44428</v>
      </c>
      <c r="O16" s="24" t="str">
        <f t="shared" si="1"/>
        <v>Chilton County, Alabama</v>
      </c>
    </row>
    <row r="17" spans="1:15" x14ac:dyDescent="0.25">
      <c r="A17" s="35" t="s">
        <v>493</v>
      </c>
      <c r="B17" s="28" t="str">
        <f t="shared" si="0"/>
        <v>Choctaw</v>
      </c>
      <c r="C17" s="30">
        <v>13859</v>
      </c>
      <c r="D17" s="30">
        <v>13858</v>
      </c>
      <c r="E17" s="30">
        <v>13849</v>
      </c>
      <c r="F17" s="30">
        <v>13609</v>
      </c>
      <c r="G17" s="30">
        <v>13563</v>
      </c>
      <c r="H17" s="30">
        <v>13397</v>
      </c>
      <c r="I17" s="30">
        <v>13317</v>
      </c>
      <c r="J17" s="30">
        <v>13231</v>
      </c>
      <c r="K17" s="30">
        <v>13045</v>
      </c>
      <c r="L17" s="30">
        <v>12925</v>
      </c>
      <c r="M17" s="30">
        <v>12833</v>
      </c>
      <c r="N17" s="30">
        <v>12589</v>
      </c>
      <c r="O17" s="24" t="str">
        <f t="shared" si="1"/>
        <v>Choctaw County, Alabama</v>
      </c>
    </row>
    <row r="18" spans="1:15" x14ac:dyDescent="0.25">
      <c r="A18" s="35" t="s">
        <v>494</v>
      </c>
      <c r="B18" s="28" t="str">
        <f t="shared" si="0"/>
        <v>Clarke</v>
      </c>
      <c r="C18" s="30">
        <v>25833</v>
      </c>
      <c r="D18" s="30">
        <v>25833</v>
      </c>
      <c r="E18" s="30">
        <v>25766</v>
      </c>
      <c r="F18" s="30">
        <v>25587</v>
      </c>
      <c r="G18" s="30">
        <v>25155</v>
      </c>
      <c r="H18" s="30">
        <v>25123</v>
      </c>
      <c r="I18" s="30">
        <v>24864</v>
      </c>
      <c r="J18" s="30">
        <v>24698</v>
      </c>
      <c r="K18" s="30">
        <v>24340</v>
      </c>
      <c r="L18" s="30">
        <v>24063</v>
      </c>
      <c r="M18" s="30">
        <v>23918</v>
      </c>
      <c r="N18" s="30">
        <v>23622</v>
      </c>
      <c r="O18" s="24" t="str">
        <f t="shared" si="1"/>
        <v>Clarke County, Alabama</v>
      </c>
    </row>
    <row r="19" spans="1:15" x14ac:dyDescent="0.25">
      <c r="A19" s="35" t="s">
        <v>495</v>
      </c>
      <c r="B19" s="28" t="str">
        <f t="shared" si="0"/>
        <v>Clay</v>
      </c>
      <c r="C19" s="30">
        <v>13932</v>
      </c>
      <c r="D19" s="30">
        <v>13930</v>
      </c>
      <c r="E19" s="30">
        <v>13898</v>
      </c>
      <c r="F19" s="30">
        <v>13687</v>
      </c>
      <c r="G19" s="30">
        <v>13434</v>
      </c>
      <c r="H19" s="30">
        <v>13404</v>
      </c>
      <c r="I19" s="30">
        <v>13441</v>
      </c>
      <c r="J19" s="30">
        <v>13415</v>
      </c>
      <c r="K19" s="30">
        <v>13393</v>
      </c>
      <c r="L19" s="30">
        <v>13350</v>
      </c>
      <c r="M19" s="30">
        <v>13294</v>
      </c>
      <c r="N19" s="30">
        <v>13235</v>
      </c>
      <c r="O19" s="24" t="str">
        <f t="shared" si="1"/>
        <v>Clay County, Alabama</v>
      </c>
    </row>
    <row r="20" spans="1:15" x14ac:dyDescent="0.25">
      <c r="A20" s="35" t="s">
        <v>496</v>
      </c>
      <c r="B20" s="28" t="str">
        <f t="shared" si="0"/>
        <v>Cleburne</v>
      </c>
      <c r="C20" s="30">
        <v>14972</v>
      </c>
      <c r="D20" s="30">
        <v>14972</v>
      </c>
      <c r="E20" s="30">
        <v>15004</v>
      </c>
      <c r="F20" s="30">
        <v>14928</v>
      </c>
      <c r="G20" s="30">
        <v>14889</v>
      </c>
      <c r="H20" s="30">
        <v>14976</v>
      </c>
      <c r="I20" s="30">
        <v>15026</v>
      </c>
      <c r="J20" s="30">
        <v>14914</v>
      </c>
      <c r="K20" s="30">
        <v>14848</v>
      </c>
      <c r="L20" s="30">
        <v>14899</v>
      </c>
      <c r="M20" s="30">
        <v>15010</v>
      </c>
      <c r="N20" s="30">
        <v>14910</v>
      </c>
      <c r="O20" s="24" t="str">
        <f t="shared" si="1"/>
        <v>Cleburne County, Alabama</v>
      </c>
    </row>
    <row r="21" spans="1:15" x14ac:dyDescent="0.25">
      <c r="A21" s="35" t="s">
        <v>497</v>
      </c>
      <c r="B21" s="28" t="str">
        <f t="shared" si="0"/>
        <v>Coffee</v>
      </c>
      <c r="C21" s="30">
        <v>49948</v>
      </c>
      <c r="D21" s="30">
        <v>49955</v>
      </c>
      <c r="E21" s="30">
        <v>50208</v>
      </c>
      <c r="F21" s="30">
        <v>50444</v>
      </c>
      <c r="G21" s="30">
        <v>51141</v>
      </c>
      <c r="H21" s="30">
        <v>50681</v>
      </c>
      <c r="I21" s="30">
        <v>50657</v>
      </c>
      <c r="J21" s="30">
        <v>50963</v>
      </c>
      <c r="K21" s="30">
        <v>51202</v>
      </c>
      <c r="L21" s="30">
        <v>51853</v>
      </c>
      <c r="M21" s="30">
        <v>51950</v>
      </c>
      <c r="N21" s="30">
        <v>52342</v>
      </c>
      <c r="O21" s="24" t="str">
        <f t="shared" si="1"/>
        <v>Coffee County, Alabama</v>
      </c>
    </row>
    <row r="22" spans="1:15" x14ac:dyDescent="0.25">
      <c r="A22" s="35" t="s">
        <v>498</v>
      </c>
      <c r="B22" s="28" t="str">
        <f t="shared" si="0"/>
        <v>Colbert</v>
      </c>
      <c r="C22" s="30">
        <v>54428</v>
      </c>
      <c r="D22" s="30">
        <v>54428</v>
      </c>
      <c r="E22" s="30">
        <v>54524</v>
      </c>
      <c r="F22" s="30">
        <v>54539</v>
      </c>
      <c r="G22" s="30">
        <v>54570</v>
      </c>
      <c r="H22" s="30">
        <v>54529</v>
      </c>
      <c r="I22" s="30">
        <v>54462</v>
      </c>
      <c r="J22" s="30">
        <v>54417</v>
      </c>
      <c r="K22" s="30">
        <v>54497</v>
      </c>
      <c r="L22" s="30">
        <v>54695</v>
      </c>
      <c r="M22" s="30">
        <v>55004</v>
      </c>
      <c r="N22" s="30">
        <v>55241</v>
      </c>
      <c r="O22" s="24" t="str">
        <f t="shared" si="1"/>
        <v>Colbert County, Alabama</v>
      </c>
    </row>
    <row r="23" spans="1:15" x14ac:dyDescent="0.25">
      <c r="A23" s="35" t="s">
        <v>499</v>
      </c>
      <c r="B23" s="28" t="str">
        <f t="shared" si="0"/>
        <v>Conecuh</v>
      </c>
      <c r="C23" s="30">
        <v>13228</v>
      </c>
      <c r="D23" s="30">
        <v>13236</v>
      </c>
      <c r="E23" s="30">
        <v>13236</v>
      </c>
      <c r="F23" s="30">
        <v>13195</v>
      </c>
      <c r="G23" s="30">
        <v>13046</v>
      </c>
      <c r="H23" s="30">
        <v>12912</v>
      </c>
      <c r="I23" s="30">
        <v>12677</v>
      </c>
      <c r="J23" s="30">
        <v>12678</v>
      </c>
      <c r="K23" s="30">
        <v>12500</v>
      </c>
      <c r="L23" s="30">
        <v>12431</v>
      </c>
      <c r="M23" s="30">
        <v>12292</v>
      </c>
      <c r="N23" s="30">
        <v>12067</v>
      </c>
      <c r="O23" s="24" t="str">
        <f t="shared" si="1"/>
        <v>Conecuh County, Alabama</v>
      </c>
    </row>
    <row r="24" spans="1:15" x14ac:dyDescent="0.25">
      <c r="A24" s="35" t="s">
        <v>500</v>
      </c>
      <c r="B24" s="28" t="str">
        <f t="shared" si="0"/>
        <v>Coosa</v>
      </c>
      <c r="C24" s="30">
        <v>11539</v>
      </c>
      <c r="D24" s="30">
        <v>11756</v>
      </c>
      <c r="E24" s="30">
        <v>11780</v>
      </c>
      <c r="F24" s="30">
        <v>11486</v>
      </c>
      <c r="G24" s="30">
        <v>11346</v>
      </c>
      <c r="H24" s="30">
        <v>11254</v>
      </c>
      <c r="I24" s="30">
        <v>11037</v>
      </c>
      <c r="J24" s="30">
        <v>10934</v>
      </c>
      <c r="K24" s="30">
        <v>10819</v>
      </c>
      <c r="L24" s="30">
        <v>10724</v>
      </c>
      <c r="M24" s="30">
        <v>10643</v>
      </c>
      <c r="N24" s="30">
        <v>10663</v>
      </c>
      <c r="O24" s="24" t="str">
        <f t="shared" si="1"/>
        <v>Coosa County, Alabama</v>
      </c>
    </row>
    <row r="25" spans="1:15" x14ac:dyDescent="0.25">
      <c r="A25" s="35" t="s">
        <v>501</v>
      </c>
      <c r="B25" s="28" t="str">
        <f t="shared" si="0"/>
        <v>Covington</v>
      </c>
      <c r="C25" s="30">
        <v>37765</v>
      </c>
      <c r="D25" s="30">
        <v>37762</v>
      </c>
      <c r="E25" s="30">
        <v>37809</v>
      </c>
      <c r="F25" s="30">
        <v>38020</v>
      </c>
      <c r="G25" s="30">
        <v>37805</v>
      </c>
      <c r="H25" s="30">
        <v>37814</v>
      </c>
      <c r="I25" s="30">
        <v>37760</v>
      </c>
      <c r="J25" s="30">
        <v>37556</v>
      </c>
      <c r="K25" s="30">
        <v>37382</v>
      </c>
      <c r="L25" s="30">
        <v>37062</v>
      </c>
      <c r="M25" s="30">
        <v>36953</v>
      </c>
      <c r="N25" s="30">
        <v>37049</v>
      </c>
      <c r="O25" s="24" t="str">
        <f t="shared" si="1"/>
        <v>Covington County, Alabama</v>
      </c>
    </row>
    <row r="26" spans="1:15" x14ac:dyDescent="0.25">
      <c r="A26" s="35" t="s">
        <v>502</v>
      </c>
      <c r="B26" s="28" t="str">
        <f t="shared" si="0"/>
        <v>Crenshaw</v>
      </c>
      <c r="C26" s="30">
        <v>13906</v>
      </c>
      <c r="D26" s="30">
        <v>13893</v>
      </c>
      <c r="E26" s="30">
        <v>13869</v>
      </c>
      <c r="F26" s="30">
        <v>13894</v>
      </c>
      <c r="G26" s="30">
        <v>13915</v>
      </c>
      <c r="H26" s="30">
        <v>13847</v>
      </c>
      <c r="I26" s="30">
        <v>13851</v>
      </c>
      <c r="J26" s="30">
        <v>13850</v>
      </c>
      <c r="K26" s="30">
        <v>13916</v>
      </c>
      <c r="L26" s="30">
        <v>13858</v>
      </c>
      <c r="M26" s="30">
        <v>13825</v>
      </c>
      <c r="N26" s="30">
        <v>13772</v>
      </c>
      <c r="O26" s="24" t="str">
        <f t="shared" si="1"/>
        <v>Crenshaw County, Alabama</v>
      </c>
    </row>
    <row r="27" spans="1:15" x14ac:dyDescent="0.25">
      <c r="A27" s="35" t="s">
        <v>503</v>
      </c>
      <c r="B27" s="28" t="str">
        <f t="shared" si="0"/>
        <v>Cullman</v>
      </c>
      <c r="C27" s="30">
        <v>80406</v>
      </c>
      <c r="D27" s="30">
        <v>80406</v>
      </c>
      <c r="E27" s="30">
        <v>80456</v>
      </c>
      <c r="F27" s="30">
        <v>80410</v>
      </c>
      <c r="G27" s="30">
        <v>80279</v>
      </c>
      <c r="H27" s="30">
        <v>80690</v>
      </c>
      <c r="I27" s="30">
        <v>81068</v>
      </c>
      <c r="J27" s="30">
        <v>81761</v>
      </c>
      <c r="K27" s="30">
        <v>82450</v>
      </c>
      <c r="L27" s="30">
        <v>82867</v>
      </c>
      <c r="M27" s="30">
        <v>83418</v>
      </c>
      <c r="N27" s="30">
        <v>83768</v>
      </c>
      <c r="O27" s="24" t="str">
        <f t="shared" si="1"/>
        <v>Cullman County, Alabama</v>
      </c>
    </row>
    <row r="28" spans="1:15" x14ac:dyDescent="0.25">
      <c r="A28" s="35" t="s">
        <v>504</v>
      </c>
      <c r="B28" s="28" t="str">
        <f t="shared" si="0"/>
        <v>Dale</v>
      </c>
      <c r="C28" s="30">
        <v>50251</v>
      </c>
      <c r="D28" s="30">
        <v>50251</v>
      </c>
      <c r="E28" s="30">
        <v>50394</v>
      </c>
      <c r="F28" s="30">
        <v>50122</v>
      </c>
      <c r="G28" s="30">
        <v>50289</v>
      </c>
      <c r="H28" s="30">
        <v>49771</v>
      </c>
      <c r="I28" s="30">
        <v>49414</v>
      </c>
      <c r="J28" s="30">
        <v>49365</v>
      </c>
      <c r="K28" s="30">
        <v>49362</v>
      </c>
      <c r="L28" s="30">
        <v>49342</v>
      </c>
      <c r="M28" s="30">
        <v>49143</v>
      </c>
      <c r="N28" s="30">
        <v>49172</v>
      </c>
      <c r="O28" s="24" t="str">
        <f t="shared" si="1"/>
        <v>Dale County, Alabama</v>
      </c>
    </row>
    <row r="29" spans="1:15" x14ac:dyDescent="0.25">
      <c r="A29" s="35" t="s">
        <v>505</v>
      </c>
      <c r="B29" s="28" t="str">
        <f t="shared" si="0"/>
        <v>Dallas</v>
      </c>
      <c r="C29" s="30">
        <v>43820</v>
      </c>
      <c r="D29" s="30">
        <v>43813</v>
      </c>
      <c r="E29" s="30">
        <v>43854</v>
      </c>
      <c r="F29" s="30">
        <v>43251</v>
      </c>
      <c r="G29" s="30">
        <v>42789</v>
      </c>
      <c r="H29" s="30">
        <v>41976</v>
      </c>
      <c r="I29" s="30">
        <v>41554</v>
      </c>
      <c r="J29" s="30">
        <v>40936</v>
      </c>
      <c r="K29" s="30">
        <v>40080</v>
      </c>
      <c r="L29" s="30">
        <v>39238</v>
      </c>
      <c r="M29" s="30">
        <v>38294</v>
      </c>
      <c r="N29" s="30">
        <v>37196</v>
      </c>
      <c r="O29" s="24" t="str">
        <f t="shared" si="1"/>
        <v>Dallas County, Alabama</v>
      </c>
    </row>
    <row r="30" spans="1:15" x14ac:dyDescent="0.25">
      <c r="A30" s="35" t="s">
        <v>506</v>
      </c>
      <c r="B30" s="28" t="str">
        <f t="shared" si="0"/>
        <v>DeKalb</v>
      </c>
      <c r="C30" s="30">
        <v>71109</v>
      </c>
      <c r="D30" s="30">
        <v>71120</v>
      </c>
      <c r="E30" s="30">
        <v>71163</v>
      </c>
      <c r="F30" s="30">
        <v>71365</v>
      </c>
      <c r="G30" s="30">
        <v>70944</v>
      </c>
      <c r="H30" s="30">
        <v>70912</v>
      </c>
      <c r="I30" s="30">
        <v>70993</v>
      </c>
      <c r="J30" s="30">
        <v>71087</v>
      </c>
      <c r="K30" s="30">
        <v>71104</v>
      </c>
      <c r="L30" s="30">
        <v>71437</v>
      </c>
      <c r="M30" s="30">
        <v>71407</v>
      </c>
      <c r="N30" s="30">
        <v>71513</v>
      </c>
      <c r="O30" s="24" t="str">
        <f t="shared" si="1"/>
        <v>DeKalb County, Alabama</v>
      </c>
    </row>
    <row r="31" spans="1:15" x14ac:dyDescent="0.25">
      <c r="A31" s="35" t="s">
        <v>507</v>
      </c>
      <c r="B31" s="28" t="str">
        <f t="shared" si="0"/>
        <v>Elmore</v>
      </c>
      <c r="C31" s="30">
        <v>79303</v>
      </c>
      <c r="D31" s="30">
        <v>79272</v>
      </c>
      <c r="E31" s="30">
        <v>79552</v>
      </c>
      <c r="F31" s="30">
        <v>79993</v>
      </c>
      <c r="G31" s="30">
        <v>80193</v>
      </c>
      <c r="H31" s="30">
        <v>80536</v>
      </c>
      <c r="I31" s="30">
        <v>80538</v>
      </c>
      <c r="J31" s="30">
        <v>80872</v>
      </c>
      <c r="K31" s="30">
        <v>81204</v>
      </c>
      <c r="L31" s="30">
        <v>81422</v>
      </c>
      <c r="M31" s="30">
        <v>81011</v>
      </c>
      <c r="N31" s="30">
        <v>81209</v>
      </c>
      <c r="O31" s="24" t="str">
        <f t="shared" si="1"/>
        <v>Elmore County, Alabama</v>
      </c>
    </row>
    <row r="32" spans="1:15" x14ac:dyDescent="0.25">
      <c r="A32" s="35" t="s">
        <v>508</v>
      </c>
      <c r="B32" s="28" t="str">
        <f t="shared" si="0"/>
        <v>Escambia</v>
      </c>
      <c r="C32" s="30">
        <v>38319</v>
      </c>
      <c r="D32" s="30">
        <v>38320</v>
      </c>
      <c r="E32" s="30">
        <v>38345</v>
      </c>
      <c r="F32" s="30">
        <v>38204</v>
      </c>
      <c r="G32" s="30">
        <v>38023</v>
      </c>
      <c r="H32" s="30">
        <v>37765</v>
      </c>
      <c r="I32" s="30">
        <v>37735</v>
      </c>
      <c r="J32" s="30">
        <v>37661</v>
      </c>
      <c r="K32" s="30">
        <v>37475</v>
      </c>
      <c r="L32" s="30">
        <v>36993</v>
      </c>
      <c r="M32" s="30">
        <v>36524</v>
      </c>
      <c r="N32" s="30">
        <v>36633</v>
      </c>
      <c r="O32" s="24" t="str">
        <f t="shared" si="1"/>
        <v>Escambia County, Alabama</v>
      </c>
    </row>
    <row r="33" spans="1:15" x14ac:dyDescent="0.25">
      <c r="A33" s="35" t="s">
        <v>509</v>
      </c>
      <c r="B33" s="28" t="str">
        <f t="shared" si="0"/>
        <v>Etowah</v>
      </c>
      <c r="C33" s="30">
        <v>104430</v>
      </c>
      <c r="D33" s="30">
        <v>104429</v>
      </c>
      <c r="E33" s="30">
        <v>104459</v>
      </c>
      <c r="F33" s="30">
        <v>104369</v>
      </c>
      <c r="G33" s="30">
        <v>104278</v>
      </c>
      <c r="H33" s="30">
        <v>103884</v>
      </c>
      <c r="I33" s="30">
        <v>103399</v>
      </c>
      <c r="J33" s="30">
        <v>102998</v>
      </c>
      <c r="K33" s="30">
        <v>102855</v>
      </c>
      <c r="L33" s="30">
        <v>103007</v>
      </c>
      <c r="M33" s="30">
        <v>102611</v>
      </c>
      <c r="N33" s="30">
        <v>102268</v>
      </c>
      <c r="O33" s="24" t="str">
        <f t="shared" si="1"/>
        <v>Etowah County, Alabama</v>
      </c>
    </row>
    <row r="34" spans="1:15" x14ac:dyDescent="0.25">
      <c r="A34" s="35" t="s">
        <v>510</v>
      </c>
      <c r="B34" s="28" t="str">
        <f t="shared" si="0"/>
        <v>Fayette</v>
      </c>
      <c r="C34" s="30">
        <v>17241</v>
      </c>
      <c r="D34" s="30">
        <v>17235</v>
      </c>
      <c r="E34" s="30">
        <v>17229</v>
      </c>
      <c r="F34" s="30">
        <v>17052</v>
      </c>
      <c r="G34" s="30">
        <v>16945</v>
      </c>
      <c r="H34" s="30">
        <v>16824</v>
      </c>
      <c r="I34" s="30">
        <v>16772</v>
      </c>
      <c r="J34" s="30">
        <v>16696</v>
      </c>
      <c r="K34" s="30">
        <v>16563</v>
      </c>
      <c r="L34" s="30">
        <v>16466</v>
      </c>
      <c r="M34" s="30">
        <v>16445</v>
      </c>
      <c r="N34" s="30">
        <v>16302</v>
      </c>
      <c r="O34" s="24" t="str">
        <f t="shared" si="1"/>
        <v>Fayette County, Alabama</v>
      </c>
    </row>
    <row r="35" spans="1:15" x14ac:dyDescent="0.25">
      <c r="A35" s="35" t="s">
        <v>511</v>
      </c>
      <c r="B35" s="28" t="str">
        <f t="shared" si="0"/>
        <v>Franklin</v>
      </c>
      <c r="C35" s="30">
        <v>31704</v>
      </c>
      <c r="D35" s="30">
        <v>31709</v>
      </c>
      <c r="E35" s="30">
        <v>31746</v>
      </c>
      <c r="F35" s="30">
        <v>31776</v>
      </c>
      <c r="G35" s="30">
        <v>31690</v>
      </c>
      <c r="H35" s="30">
        <v>31553</v>
      </c>
      <c r="I35" s="30">
        <v>31559</v>
      </c>
      <c r="J35" s="30">
        <v>31515</v>
      </c>
      <c r="K35" s="30">
        <v>31611</v>
      </c>
      <c r="L35" s="30">
        <v>31542</v>
      </c>
      <c r="M35" s="30">
        <v>31298</v>
      </c>
      <c r="N35" s="30">
        <v>31362</v>
      </c>
      <c r="O35" s="24" t="str">
        <f t="shared" si="1"/>
        <v>Franklin County, Alabama</v>
      </c>
    </row>
    <row r="36" spans="1:15" x14ac:dyDescent="0.25">
      <c r="A36" s="35" t="s">
        <v>512</v>
      </c>
      <c r="B36" s="28" t="str">
        <f t="shared" si="0"/>
        <v>Geneva</v>
      </c>
      <c r="C36" s="30">
        <v>26790</v>
      </c>
      <c r="D36" s="30">
        <v>26781</v>
      </c>
      <c r="E36" s="30">
        <v>26777</v>
      </c>
      <c r="F36" s="30">
        <v>26756</v>
      </c>
      <c r="G36" s="30">
        <v>26924</v>
      </c>
      <c r="H36" s="30">
        <v>26677</v>
      </c>
      <c r="I36" s="30">
        <v>26593</v>
      </c>
      <c r="J36" s="30">
        <v>26631</v>
      </c>
      <c r="K36" s="30">
        <v>26494</v>
      </c>
      <c r="L36" s="30">
        <v>26385</v>
      </c>
      <c r="M36" s="30">
        <v>26306</v>
      </c>
      <c r="N36" s="30">
        <v>26271</v>
      </c>
      <c r="O36" s="24" t="str">
        <f t="shared" si="1"/>
        <v>Geneva County, Alabama</v>
      </c>
    </row>
    <row r="37" spans="1:15" x14ac:dyDescent="0.25">
      <c r="A37" s="35" t="s">
        <v>513</v>
      </c>
      <c r="B37" s="28" t="str">
        <f t="shared" si="0"/>
        <v>Greene</v>
      </c>
      <c r="C37" s="30">
        <v>9045</v>
      </c>
      <c r="D37" s="30">
        <v>9039</v>
      </c>
      <c r="E37" s="30">
        <v>8991</v>
      </c>
      <c r="F37" s="30">
        <v>8903</v>
      </c>
      <c r="G37" s="30">
        <v>8848</v>
      </c>
      <c r="H37" s="30">
        <v>8748</v>
      </c>
      <c r="I37" s="30">
        <v>8584</v>
      </c>
      <c r="J37" s="30">
        <v>8508</v>
      </c>
      <c r="K37" s="30">
        <v>8482</v>
      </c>
      <c r="L37" s="30">
        <v>8310</v>
      </c>
      <c r="M37" s="30">
        <v>8209</v>
      </c>
      <c r="N37" s="30">
        <v>8111</v>
      </c>
      <c r="O37" s="24" t="str">
        <f t="shared" si="1"/>
        <v>Greene County, Alabama</v>
      </c>
    </row>
    <row r="38" spans="1:15" x14ac:dyDescent="0.25">
      <c r="A38" s="35" t="s">
        <v>514</v>
      </c>
      <c r="B38" s="28" t="str">
        <f t="shared" si="0"/>
        <v>Hale</v>
      </c>
      <c r="C38" s="30">
        <v>15760</v>
      </c>
      <c r="D38" s="30">
        <v>15762</v>
      </c>
      <c r="E38" s="30">
        <v>15745</v>
      </c>
      <c r="F38" s="30">
        <v>15361</v>
      </c>
      <c r="G38" s="30">
        <v>15364</v>
      </c>
      <c r="H38" s="30">
        <v>15246</v>
      </c>
      <c r="I38" s="30">
        <v>15046</v>
      </c>
      <c r="J38" s="30">
        <v>15015</v>
      </c>
      <c r="K38" s="30">
        <v>14828</v>
      </c>
      <c r="L38" s="30">
        <v>14801</v>
      </c>
      <c r="M38" s="30">
        <v>14749</v>
      </c>
      <c r="N38" s="30">
        <v>14651</v>
      </c>
      <c r="O38" s="24" t="str">
        <f t="shared" si="1"/>
        <v>Hale County, Alabama</v>
      </c>
    </row>
    <row r="39" spans="1:15" x14ac:dyDescent="0.25">
      <c r="A39" s="35" t="s">
        <v>515</v>
      </c>
      <c r="B39" s="28" t="str">
        <f t="shared" si="0"/>
        <v>Henry</v>
      </c>
      <c r="C39" s="30">
        <v>17302</v>
      </c>
      <c r="D39" s="30">
        <v>17299</v>
      </c>
      <c r="E39" s="30">
        <v>17296</v>
      </c>
      <c r="F39" s="30">
        <v>17377</v>
      </c>
      <c r="G39" s="30">
        <v>17153</v>
      </c>
      <c r="H39" s="30">
        <v>17129</v>
      </c>
      <c r="I39" s="30">
        <v>17079</v>
      </c>
      <c r="J39" s="30">
        <v>17101</v>
      </c>
      <c r="K39" s="30">
        <v>17072</v>
      </c>
      <c r="L39" s="30">
        <v>17115</v>
      </c>
      <c r="M39" s="30">
        <v>17173</v>
      </c>
      <c r="N39" s="30">
        <v>17205</v>
      </c>
      <c r="O39" s="24" t="str">
        <f t="shared" si="1"/>
        <v>Henry County, Alabama</v>
      </c>
    </row>
    <row r="40" spans="1:15" x14ac:dyDescent="0.25">
      <c r="A40" s="35" t="s">
        <v>516</v>
      </c>
      <c r="B40" s="28" t="str">
        <f t="shared" si="0"/>
        <v>Houston</v>
      </c>
      <c r="C40" s="30">
        <v>101547</v>
      </c>
      <c r="D40" s="30">
        <v>101560</v>
      </c>
      <c r="E40" s="30">
        <v>101798</v>
      </c>
      <c r="F40" s="30">
        <v>102488</v>
      </c>
      <c r="G40" s="30">
        <v>103371</v>
      </c>
      <c r="H40" s="30">
        <v>103643</v>
      </c>
      <c r="I40" s="30">
        <v>104158</v>
      </c>
      <c r="J40" s="30">
        <v>104260</v>
      </c>
      <c r="K40" s="30">
        <v>104218</v>
      </c>
      <c r="L40" s="30">
        <v>104378</v>
      </c>
      <c r="M40" s="30">
        <v>104770</v>
      </c>
      <c r="N40" s="30">
        <v>105882</v>
      </c>
      <c r="O40" s="24" t="str">
        <f t="shared" si="1"/>
        <v>Houston County, Alabama</v>
      </c>
    </row>
    <row r="41" spans="1:15" x14ac:dyDescent="0.25">
      <c r="A41" s="35" t="s">
        <v>517</v>
      </c>
      <c r="B41" s="28" t="str">
        <f t="shared" si="0"/>
        <v>Jackson</v>
      </c>
      <c r="C41" s="30">
        <v>53227</v>
      </c>
      <c r="D41" s="30">
        <v>53223</v>
      </c>
      <c r="E41" s="30">
        <v>53184</v>
      </c>
      <c r="F41" s="30">
        <v>53214</v>
      </c>
      <c r="G41" s="30">
        <v>53079</v>
      </c>
      <c r="H41" s="30">
        <v>52957</v>
      </c>
      <c r="I41" s="30">
        <v>52562</v>
      </c>
      <c r="J41" s="30">
        <v>52195</v>
      </c>
      <c r="K41" s="30">
        <v>51988</v>
      </c>
      <c r="L41" s="30">
        <v>51828</v>
      </c>
      <c r="M41" s="30">
        <v>51621</v>
      </c>
      <c r="N41" s="30">
        <v>51626</v>
      </c>
      <c r="O41" s="24" t="str">
        <f t="shared" si="1"/>
        <v>Jackson County, Alabama</v>
      </c>
    </row>
    <row r="42" spans="1:15" x14ac:dyDescent="0.25">
      <c r="A42" s="35" t="s">
        <v>518</v>
      </c>
      <c r="B42" s="28" t="str">
        <f t="shared" si="0"/>
        <v>Jefferson</v>
      </c>
      <c r="C42" s="30">
        <v>658466</v>
      </c>
      <c r="D42" s="30">
        <v>658567</v>
      </c>
      <c r="E42" s="30">
        <v>658215</v>
      </c>
      <c r="F42" s="30">
        <v>658109</v>
      </c>
      <c r="G42" s="30">
        <v>658061</v>
      </c>
      <c r="H42" s="30">
        <v>659265</v>
      </c>
      <c r="I42" s="30">
        <v>659972</v>
      </c>
      <c r="J42" s="30">
        <v>660455</v>
      </c>
      <c r="K42" s="30">
        <v>660343</v>
      </c>
      <c r="L42" s="30">
        <v>659599</v>
      </c>
      <c r="M42" s="30">
        <v>659429</v>
      </c>
      <c r="N42" s="30">
        <v>658573</v>
      </c>
      <c r="O42" s="24" t="str">
        <f t="shared" si="1"/>
        <v>Jefferson County, Alabama</v>
      </c>
    </row>
    <row r="43" spans="1:15" x14ac:dyDescent="0.25">
      <c r="A43" s="35" t="s">
        <v>519</v>
      </c>
      <c r="B43" s="28" t="str">
        <f t="shared" si="0"/>
        <v>Lamar</v>
      </c>
      <c r="C43" s="30">
        <v>14564</v>
      </c>
      <c r="D43" s="30">
        <v>14564</v>
      </c>
      <c r="E43" s="30">
        <v>14496</v>
      </c>
      <c r="F43" s="30">
        <v>14291</v>
      </c>
      <c r="G43" s="30">
        <v>14248</v>
      </c>
      <c r="H43" s="30">
        <v>14212</v>
      </c>
      <c r="I43" s="30">
        <v>14067</v>
      </c>
      <c r="J43" s="30">
        <v>13927</v>
      </c>
      <c r="K43" s="30">
        <v>13928</v>
      </c>
      <c r="L43" s="30">
        <v>13882</v>
      </c>
      <c r="M43" s="30">
        <v>13882</v>
      </c>
      <c r="N43" s="30">
        <v>13805</v>
      </c>
      <c r="O43" s="24" t="str">
        <f t="shared" si="1"/>
        <v>Lamar County, Alabama</v>
      </c>
    </row>
    <row r="44" spans="1:15" x14ac:dyDescent="0.25">
      <c r="A44" s="35" t="s">
        <v>520</v>
      </c>
      <c r="B44" s="28" t="str">
        <f t="shared" si="0"/>
        <v>Lauderdale</v>
      </c>
      <c r="C44" s="30">
        <v>92709</v>
      </c>
      <c r="D44" s="30">
        <v>92709</v>
      </c>
      <c r="E44" s="30">
        <v>92737</v>
      </c>
      <c r="F44" s="30">
        <v>92607</v>
      </c>
      <c r="G44" s="30">
        <v>92662</v>
      </c>
      <c r="H44" s="30">
        <v>92701</v>
      </c>
      <c r="I44" s="30">
        <v>93000</v>
      </c>
      <c r="J44" s="30">
        <v>92459</v>
      </c>
      <c r="K44" s="30">
        <v>92425</v>
      </c>
      <c r="L44" s="30">
        <v>92564</v>
      </c>
      <c r="M44" s="30">
        <v>92604</v>
      </c>
      <c r="N44" s="30">
        <v>92729</v>
      </c>
      <c r="O44" s="24" t="str">
        <f t="shared" si="1"/>
        <v>Lauderdale County, Alabama</v>
      </c>
    </row>
    <row r="45" spans="1:15" x14ac:dyDescent="0.25">
      <c r="A45" s="35" t="s">
        <v>521</v>
      </c>
      <c r="B45" s="28" t="str">
        <f t="shared" si="0"/>
        <v>Lawrence</v>
      </c>
      <c r="C45" s="30">
        <v>34339</v>
      </c>
      <c r="D45" s="30">
        <v>34337</v>
      </c>
      <c r="E45" s="30">
        <v>34342</v>
      </c>
      <c r="F45" s="30">
        <v>34051</v>
      </c>
      <c r="G45" s="30">
        <v>33806</v>
      </c>
      <c r="H45" s="30">
        <v>33575</v>
      </c>
      <c r="I45" s="30">
        <v>33444</v>
      </c>
      <c r="J45" s="30">
        <v>33135</v>
      </c>
      <c r="K45" s="30">
        <v>33227</v>
      </c>
      <c r="L45" s="30">
        <v>33063</v>
      </c>
      <c r="M45" s="30">
        <v>32941</v>
      </c>
      <c r="N45" s="30">
        <v>32924</v>
      </c>
      <c r="O45" s="24" t="str">
        <f t="shared" si="1"/>
        <v>Lawrence County, Alabama</v>
      </c>
    </row>
    <row r="46" spans="1:15" x14ac:dyDescent="0.25">
      <c r="A46" s="35" t="s">
        <v>522</v>
      </c>
      <c r="B46" s="28" t="str">
        <f t="shared" si="0"/>
        <v>Lee</v>
      </c>
      <c r="C46" s="30">
        <v>140247</v>
      </c>
      <c r="D46" s="30">
        <v>140287</v>
      </c>
      <c r="E46" s="30">
        <v>140794</v>
      </c>
      <c r="F46" s="30">
        <v>144130</v>
      </c>
      <c r="G46" s="30">
        <v>148567</v>
      </c>
      <c r="H46" s="30">
        <v>151809</v>
      </c>
      <c r="I46" s="30">
        <v>154511</v>
      </c>
      <c r="J46" s="30">
        <v>156954</v>
      </c>
      <c r="K46" s="30">
        <v>159168</v>
      </c>
      <c r="L46" s="30">
        <v>161440</v>
      </c>
      <c r="M46" s="30">
        <v>163656</v>
      </c>
      <c r="N46" s="30">
        <v>164542</v>
      </c>
      <c r="O46" s="24" t="str">
        <f t="shared" si="1"/>
        <v>Lee County, Alabama</v>
      </c>
    </row>
    <row r="47" spans="1:15" x14ac:dyDescent="0.25">
      <c r="A47" s="35" t="s">
        <v>523</v>
      </c>
      <c r="B47" s="28" t="str">
        <f t="shared" si="0"/>
        <v>Limestone</v>
      </c>
      <c r="C47" s="30">
        <v>82782</v>
      </c>
      <c r="D47" s="30">
        <v>82786</v>
      </c>
      <c r="E47" s="30">
        <v>83181</v>
      </c>
      <c r="F47" s="30">
        <v>85557</v>
      </c>
      <c r="G47" s="30">
        <v>87326</v>
      </c>
      <c r="H47" s="30">
        <v>88916</v>
      </c>
      <c r="I47" s="30">
        <v>90599</v>
      </c>
      <c r="J47" s="30">
        <v>91565</v>
      </c>
      <c r="K47" s="30">
        <v>92847</v>
      </c>
      <c r="L47" s="30">
        <v>94130</v>
      </c>
      <c r="M47" s="30">
        <v>96177</v>
      </c>
      <c r="N47" s="30">
        <v>98915</v>
      </c>
      <c r="O47" s="24" t="str">
        <f t="shared" si="1"/>
        <v>Limestone County, Alabama</v>
      </c>
    </row>
    <row r="48" spans="1:15" x14ac:dyDescent="0.25">
      <c r="A48" s="35" t="s">
        <v>524</v>
      </c>
      <c r="B48" s="28" t="str">
        <f t="shared" si="0"/>
        <v>Lowndes</v>
      </c>
      <c r="C48" s="30">
        <v>11299</v>
      </c>
      <c r="D48" s="30">
        <v>11296</v>
      </c>
      <c r="E48" s="30">
        <v>11289</v>
      </c>
      <c r="F48" s="30">
        <v>11140</v>
      </c>
      <c r="G48" s="30">
        <v>10851</v>
      </c>
      <c r="H48" s="30">
        <v>10661</v>
      </c>
      <c r="I48" s="30">
        <v>10494</v>
      </c>
      <c r="J48" s="30">
        <v>10350</v>
      </c>
      <c r="K48" s="30">
        <v>10248</v>
      </c>
      <c r="L48" s="30">
        <v>10097</v>
      </c>
      <c r="M48" s="30">
        <v>9974</v>
      </c>
      <c r="N48" s="30">
        <v>9726</v>
      </c>
      <c r="O48" s="24" t="str">
        <f t="shared" si="1"/>
        <v>Lowndes County, Alabama</v>
      </c>
    </row>
    <row r="49" spans="1:15" x14ac:dyDescent="0.25">
      <c r="A49" s="35" t="s">
        <v>525</v>
      </c>
      <c r="B49" s="28" t="str">
        <f t="shared" si="0"/>
        <v>Macon</v>
      </c>
      <c r="C49" s="30">
        <v>21452</v>
      </c>
      <c r="D49" s="30">
        <v>21448</v>
      </c>
      <c r="E49" s="30">
        <v>21505</v>
      </c>
      <c r="F49" s="30">
        <v>21284</v>
      </c>
      <c r="G49" s="30">
        <v>20608</v>
      </c>
      <c r="H49" s="30">
        <v>20021</v>
      </c>
      <c r="I49" s="30">
        <v>19641</v>
      </c>
      <c r="J49" s="30">
        <v>19296</v>
      </c>
      <c r="K49" s="30">
        <v>19060</v>
      </c>
      <c r="L49" s="30">
        <v>18793</v>
      </c>
      <c r="M49" s="30">
        <v>18321</v>
      </c>
      <c r="N49" s="30">
        <v>18068</v>
      </c>
      <c r="O49" s="24" t="str">
        <f t="shared" si="1"/>
        <v>Macon County, Alabama</v>
      </c>
    </row>
    <row r="50" spans="1:15" x14ac:dyDescent="0.25">
      <c r="A50" s="35" t="s">
        <v>526</v>
      </c>
      <c r="B50" s="28" t="str">
        <f t="shared" si="0"/>
        <v>Madison</v>
      </c>
      <c r="C50" s="30">
        <v>334811</v>
      </c>
      <c r="D50" s="30">
        <v>334807</v>
      </c>
      <c r="E50" s="30">
        <v>336095</v>
      </c>
      <c r="F50" s="30">
        <v>339565</v>
      </c>
      <c r="G50" s="30">
        <v>342730</v>
      </c>
      <c r="H50" s="30">
        <v>346625</v>
      </c>
      <c r="I50" s="30">
        <v>349796</v>
      </c>
      <c r="J50" s="30">
        <v>352977</v>
      </c>
      <c r="K50" s="30">
        <v>356729</v>
      </c>
      <c r="L50" s="30">
        <v>361762</v>
      </c>
      <c r="M50" s="30">
        <v>367004</v>
      </c>
      <c r="N50" s="30">
        <v>372909</v>
      </c>
      <c r="O50" s="24" t="str">
        <f t="shared" si="1"/>
        <v>Madison County, Alabama</v>
      </c>
    </row>
    <row r="51" spans="1:15" x14ac:dyDescent="0.25">
      <c r="A51" s="35" t="s">
        <v>527</v>
      </c>
      <c r="B51" s="28" t="str">
        <f t="shared" si="0"/>
        <v>Marengo</v>
      </c>
      <c r="C51" s="30">
        <v>21027</v>
      </c>
      <c r="D51" s="30">
        <v>21048</v>
      </c>
      <c r="E51" s="30">
        <v>20956</v>
      </c>
      <c r="F51" s="30">
        <v>20661</v>
      </c>
      <c r="G51" s="30">
        <v>20375</v>
      </c>
      <c r="H51" s="30">
        <v>20119</v>
      </c>
      <c r="I51" s="30">
        <v>19986</v>
      </c>
      <c r="J51" s="30">
        <v>19766</v>
      </c>
      <c r="K51" s="30">
        <v>19525</v>
      </c>
      <c r="L51" s="30">
        <v>19396</v>
      </c>
      <c r="M51" s="30">
        <v>19056</v>
      </c>
      <c r="N51" s="30">
        <v>18863</v>
      </c>
      <c r="O51" s="24" t="str">
        <f t="shared" si="1"/>
        <v>Marengo County, Alabama</v>
      </c>
    </row>
    <row r="52" spans="1:15" x14ac:dyDescent="0.25">
      <c r="A52" s="35" t="s">
        <v>528</v>
      </c>
      <c r="B52" s="28" t="str">
        <f t="shared" si="0"/>
        <v>Marion</v>
      </c>
      <c r="C52" s="30">
        <v>30776</v>
      </c>
      <c r="D52" s="30">
        <v>30776</v>
      </c>
      <c r="E52" s="30">
        <v>30816</v>
      </c>
      <c r="F52" s="30">
        <v>30652</v>
      </c>
      <c r="G52" s="30">
        <v>30484</v>
      </c>
      <c r="H52" s="30">
        <v>30224</v>
      </c>
      <c r="I52" s="30">
        <v>30199</v>
      </c>
      <c r="J52" s="30">
        <v>30119</v>
      </c>
      <c r="K52" s="30">
        <v>29960</v>
      </c>
      <c r="L52" s="30">
        <v>29792</v>
      </c>
      <c r="M52" s="30">
        <v>29750</v>
      </c>
      <c r="N52" s="30">
        <v>29709</v>
      </c>
      <c r="O52" s="24" t="str">
        <f t="shared" si="1"/>
        <v>Marion County, Alabama</v>
      </c>
    </row>
    <row r="53" spans="1:15" x14ac:dyDescent="0.25">
      <c r="A53" s="35" t="s">
        <v>529</v>
      </c>
      <c r="B53" s="28" t="str">
        <f t="shared" si="0"/>
        <v>Marshall</v>
      </c>
      <c r="C53" s="30">
        <v>93019</v>
      </c>
      <c r="D53" s="30">
        <v>93019</v>
      </c>
      <c r="E53" s="30">
        <v>93122</v>
      </c>
      <c r="F53" s="30">
        <v>93895</v>
      </c>
      <c r="G53" s="30">
        <v>94260</v>
      </c>
      <c r="H53" s="30">
        <v>94356</v>
      </c>
      <c r="I53" s="30">
        <v>94257</v>
      </c>
      <c r="J53" s="30">
        <v>94585</v>
      </c>
      <c r="K53" s="30">
        <v>95113</v>
      </c>
      <c r="L53" s="30">
        <v>95572</v>
      </c>
      <c r="M53" s="30">
        <v>96170</v>
      </c>
      <c r="N53" s="30">
        <v>96774</v>
      </c>
      <c r="O53" s="24" t="str">
        <f t="shared" si="1"/>
        <v>Marshall County, Alabama</v>
      </c>
    </row>
    <row r="54" spans="1:15" x14ac:dyDescent="0.25">
      <c r="A54" s="35" t="s">
        <v>530</v>
      </c>
      <c r="B54" s="28" t="str">
        <f t="shared" si="0"/>
        <v>Mobile</v>
      </c>
      <c r="C54" s="30">
        <v>412992</v>
      </c>
      <c r="D54" s="30">
        <v>413139</v>
      </c>
      <c r="E54" s="30">
        <v>413315</v>
      </c>
      <c r="F54" s="30">
        <v>413068</v>
      </c>
      <c r="G54" s="30">
        <v>413816</v>
      </c>
      <c r="H54" s="30">
        <v>413918</v>
      </c>
      <c r="I54" s="30">
        <v>414149</v>
      </c>
      <c r="J54" s="30">
        <v>414462</v>
      </c>
      <c r="K54" s="30">
        <v>414945</v>
      </c>
      <c r="L54" s="30">
        <v>414045</v>
      </c>
      <c r="M54" s="30">
        <v>413908</v>
      </c>
      <c r="N54" s="30">
        <v>413210</v>
      </c>
      <c r="O54" s="24" t="str">
        <f t="shared" si="1"/>
        <v>Mobile County, Alabama</v>
      </c>
    </row>
    <row r="55" spans="1:15" x14ac:dyDescent="0.25">
      <c r="A55" s="35" t="s">
        <v>531</v>
      </c>
      <c r="B55" s="28" t="str">
        <f t="shared" si="0"/>
        <v>Monroe</v>
      </c>
      <c r="C55" s="30">
        <v>23068</v>
      </c>
      <c r="D55" s="30">
        <v>23067</v>
      </c>
      <c r="E55" s="30">
        <v>23005</v>
      </c>
      <c r="F55" s="30">
        <v>22796</v>
      </c>
      <c r="G55" s="30">
        <v>22581</v>
      </c>
      <c r="H55" s="30">
        <v>22170</v>
      </c>
      <c r="I55" s="30">
        <v>21926</v>
      </c>
      <c r="J55" s="30">
        <v>21717</v>
      </c>
      <c r="K55" s="30">
        <v>21548</v>
      </c>
      <c r="L55" s="30">
        <v>21290</v>
      </c>
      <c r="M55" s="30">
        <v>21062</v>
      </c>
      <c r="N55" s="30">
        <v>20733</v>
      </c>
      <c r="O55" s="24" t="str">
        <f t="shared" si="1"/>
        <v>Monroe County, Alabama</v>
      </c>
    </row>
    <row r="56" spans="1:15" x14ac:dyDescent="0.25">
      <c r="A56" s="35" t="s">
        <v>532</v>
      </c>
      <c r="B56" s="28" t="str">
        <f t="shared" si="0"/>
        <v>Montgomery</v>
      </c>
      <c r="C56" s="30">
        <v>229363</v>
      </c>
      <c r="D56" s="30">
        <v>229375</v>
      </c>
      <c r="E56" s="30">
        <v>229505</v>
      </c>
      <c r="F56" s="30">
        <v>229189</v>
      </c>
      <c r="G56" s="30">
        <v>228874</v>
      </c>
      <c r="H56" s="30">
        <v>228190</v>
      </c>
      <c r="I56" s="30">
        <v>227551</v>
      </c>
      <c r="J56" s="30">
        <v>227279</v>
      </c>
      <c r="K56" s="30">
        <v>227170</v>
      </c>
      <c r="L56" s="30">
        <v>227265</v>
      </c>
      <c r="M56" s="30">
        <v>226504</v>
      </c>
      <c r="N56" s="30">
        <v>226486</v>
      </c>
      <c r="O56" s="24" t="str">
        <f t="shared" si="1"/>
        <v>Montgomery County, Alabama</v>
      </c>
    </row>
    <row r="57" spans="1:15" x14ac:dyDescent="0.25">
      <c r="A57" s="35" t="s">
        <v>533</v>
      </c>
      <c r="B57" s="28" t="str">
        <f t="shared" si="0"/>
        <v>Morgan</v>
      </c>
      <c r="C57" s="30">
        <v>119490</v>
      </c>
      <c r="D57" s="30">
        <v>119490</v>
      </c>
      <c r="E57" s="30">
        <v>119608</v>
      </c>
      <c r="F57" s="30">
        <v>120024</v>
      </c>
      <c r="G57" s="30">
        <v>120102</v>
      </c>
      <c r="H57" s="30">
        <v>119571</v>
      </c>
      <c r="I57" s="30">
        <v>119444</v>
      </c>
      <c r="J57" s="30">
        <v>119257</v>
      </c>
      <c r="K57" s="30">
        <v>119006</v>
      </c>
      <c r="L57" s="30">
        <v>118918</v>
      </c>
      <c r="M57" s="30">
        <v>119203</v>
      </c>
      <c r="N57" s="30">
        <v>119679</v>
      </c>
      <c r="O57" s="24" t="str">
        <f t="shared" si="1"/>
        <v>Morgan County, Alabama</v>
      </c>
    </row>
    <row r="58" spans="1:15" x14ac:dyDescent="0.25">
      <c r="A58" s="35" t="s">
        <v>534</v>
      </c>
      <c r="B58" s="28" t="str">
        <f t="shared" si="0"/>
        <v>Perry</v>
      </c>
      <c r="C58" s="30">
        <v>10591</v>
      </c>
      <c r="D58" s="30">
        <v>10575</v>
      </c>
      <c r="E58" s="30">
        <v>10563</v>
      </c>
      <c r="F58" s="30">
        <v>10450</v>
      </c>
      <c r="G58" s="30">
        <v>10163</v>
      </c>
      <c r="H58" s="30">
        <v>9999</v>
      </c>
      <c r="I58" s="30">
        <v>9801</v>
      </c>
      <c r="J58" s="30">
        <v>9640</v>
      </c>
      <c r="K58" s="30">
        <v>9532</v>
      </c>
      <c r="L58" s="30">
        <v>9302</v>
      </c>
      <c r="M58" s="30">
        <v>9070</v>
      </c>
      <c r="N58" s="30">
        <v>8923</v>
      </c>
      <c r="O58" s="24" t="str">
        <f t="shared" si="1"/>
        <v>Perry County, Alabama</v>
      </c>
    </row>
    <row r="59" spans="1:15" x14ac:dyDescent="0.25">
      <c r="A59" s="35" t="s">
        <v>535</v>
      </c>
      <c r="B59" s="28" t="str">
        <f t="shared" si="0"/>
        <v>Pickens</v>
      </c>
      <c r="C59" s="30">
        <v>19746</v>
      </c>
      <c r="D59" s="30">
        <v>19746</v>
      </c>
      <c r="E59" s="30">
        <v>19749</v>
      </c>
      <c r="F59" s="30">
        <v>19354</v>
      </c>
      <c r="G59" s="30">
        <v>19309</v>
      </c>
      <c r="H59" s="30">
        <v>19300</v>
      </c>
      <c r="I59" s="30">
        <v>20272</v>
      </c>
      <c r="J59" s="30">
        <v>20776</v>
      </c>
      <c r="K59" s="30">
        <v>20325</v>
      </c>
      <c r="L59" s="30">
        <v>20204</v>
      </c>
      <c r="M59" s="30">
        <v>19980</v>
      </c>
      <c r="N59" s="30">
        <v>19930</v>
      </c>
      <c r="O59" s="24" t="str">
        <f t="shared" si="1"/>
        <v>Pickens County, Alabama</v>
      </c>
    </row>
    <row r="60" spans="1:15" x14ac:dyDescent="0.25">
      <c r="A60" s="35" t="s">
        <v>536</v>
      </c>
      <c r="B60" s="28" t="str">
        <f t="shared" si="0"/>
        <v>Pike</v>
      </c>
      <c r="C60" s="30">
        <v>32899</v>
      </c>
      <c r="D60" s="30">
        <v>32901</v>
      </c>
      <c r="E60" s="30">
        <v>32970</v>
      </c>
      <c r="F60" s="30">
        <v>33025</v>
      </c>
      <c r="G60" s="30">
        <v>33215</v>
      </c>
      <c r="H60" s="30">
        <v>33715</v>
      </c>
      <c r="I60" s="30">
        <v>33199</v>
      </c>
      <c r="J60" s="30">
        <v>33496</v>
      </c>
      <c r="K60" s="30">
        <v>33464</v>
      </c>
      <c r="L60" s="30">
        <v>33349</v>
      </c>
      <c r="M60" s="30">
        <v>33242</v>
      </c>
      <c r="N60" s="30">
        <v>33114</v>
      </c>
      <c r="O60" s="24" t="str">
        <f t="shared" si="1"/>
        <v>Pike County, Alabama</v>
      </c>
    </row>
    <row r="61" spans="1:15" x14ac:dyDescent="0.25">
      <c r="A61" s="35" t="s">
        <v>537</v>
      </c>
      <c r="B61" s="28" t="str">
        <f t="shared" si="0"/>
        <v>Randolph</v>
      </c>
      <c r="C61" s="30">
        <v>22913</v>
      </c>
      <c r="D61" s="30">
        <v>22916</v>
      </c>
      <c r="E61" s="30">
        <v>22937</v>
      </c>
      <c r="F61" s="30">
        <v>22745</v>
      </c>
      <c r="G61" s="30">
        <v>22533</v>
      </c>
      <c r="H61" s="30">
        <v>22547</v>
      </c>
      <c r="I61" s="30">
        <v>22353</v>
      </c>
      <c r="J61" s="30">
        <v>22594</v>
      </c>
      <c r="K61" s="30">
        <v>22504</v>
      </c>
      <c r="L61" s="30">
        <v>22687</v>
      </c>
      <c r="M61" s="30">
        <v>22727</v>
      </c>
      <c r="N61" s="30">
        <v>22722</v>
      </c>
      <c r="O61" s="24" t="str">
        <f t="shared" si="1"/>
        <v>Randolph County, Alabama</v>
      </c>
    </row>
    <row r="62" spans="1:15" x14ac:dyDescent="0.25">
      <c r="A62" s="35" t="s">
        <v>538</v>
      </c>
      <c r="B62" s="28" t="str">
        <f t="shared" si="0"/>
        <v>Russell</v>
      </c>
      <c r="C62" s="30">
        <v>52947</v>
      </c>
      <c r="D62" s="30">
        <v>52963</v>
      </c>
      <c r="E62" s="30">
        <v>53321</v>
      </c>
      <c r="F62" s="30">
        <v>54852</v>
      </c>
      <c r="G62" s="30">
        <v>57500</v>
      </c>
      <c r="H62" s="30">
        <v>59149</v>
      </c>
      <c r="I62" s="30">
        <v>59224</v>
      </c>
      <c r="J62" s="30">
        <v>58844</v>
      </c>
      <c r="K62" s="30">
        <v>58185</v>
      </c>
      <c r="L62" s="30">
        <v>56985</v>
      </c>
      <c r="M62" s="30">
        <v>57784</v>
      </c>
      <c r="N62" s="30">
        <v>57961</v>
      </c>
      <c r="O62" s="24" t="str">
        <f t="shared" si="1"/>
        <v>Russell County, Alabama</v>
      </c>
    </row>
    <row r="63" spans="1:15" x14ac:dyDescent="0.25">
      <c r="A63" s="35" t="s">
        <v>539</v>
      </c>
      <c r="B63" s="28" t="str">
        <f t="shared" si="0"/>
        <v>St Clair</v>
      </c>
      <c r="C63" s="30">
        <v>83593</v>
      </c>
      <c r="D63" s="30">
        <v>83350</v>
      </c>
      <c r="E63" s="30">
        <v>83571</v>
      </c>
      <c r="F63" s="30">
        <v>83975</v>
      </c>
      <c r="G63" s="30">
        <v>84761</v>
      </c>
      <c r="H63" s="30">
        <v>85810</v>
      </c>
      <c r="I63" s="30">
        <v>85996</v>
      </c>
      <c r="J63" s="30">
        <v>86546</v>
      </c>
      <c r="K63" s="30">
        <v>87306</v>
      </c>
      <c r="L63" s="30">
        <v>87926</v>
      </c>
      <c r="M63" s="30">
        <v>88654</v>
      </c>
      <c r="N63" s="30">
        <v>89512</v>
      </c>
      <c r="O63" s="24" t="str">
        <f t="shared" si="1"/>
        <v>St Clair County, Alabama</v>
      </c>
    </row>
    <row r="64" spans="1:15" x14ac:dyDescent="0.25">
      <c r="A64" s="35" t="s">
        <v>540</v>
      </c>
      <c r="B64" s="28" t="str">
        <f t="shared" si="0"/>
        <v>Shelby</v>
      </c>
      <c r="C64" s="30">
        <v>195085</v>
      </c>
      <c r="D64" s="30">
        <v>195253</v>
      </c>
      <c r="E64" s="30">
        <v>196032</v>
      </c>
      <c r="F64" s="30">
        <v>197952</v>
      </c>
      <c r="G64" s="30">
        <v>200912</v>
      </c>
      <c r="H64" s="30">
        <v>204039</v>
      </c>
      <c r="I64" s="30">
        <v>206280</v>
      </c>
      <c r="J64" s="30">
        <v>208959</v>
      </c>
      <c r="K64" s="30">
        <v>211282</v>
      </c>
      <c r="L64" s="30">
        <v>213633</v>
      </c>
      <c r="M64" s="30">
        <v>215583</v>
      </c>
      <c r="N64" s="30">
        <v>217702</v>
      </c>
      <c r="O64" s="24" t="str">
        <f t="shared" si="1"/>
        <v>Shelby County, Alabama</v>
      </c>
    </row>
    <row r="65" spans="1:15" x14ac:dyDescent="0.25">
      <c r="A65" s="35" t="s">
        <v>541</v>
      </c>
      <c r="B65" s="28" t="str">
        <f t="shared" si="0"/>
        <v>Sumter</v>
      </c>
      <c r="C65" s="30">
        <v>13763</v>
      </c>
      <c r="D65" s="30">
        <v>13763</v>
      </c>
      <c r="E65" s="30">
        <v>13730</v>
      </c>
      <c r="F65" s="30">
        <v>13490</v>
      </c>
      <c r="G65" s="30">
        <v>13440</v>
      </c>
      <c r="H65" s="30">
        <v>13394</v>
      </c>
      <c r="I65" s="30">
        <v>13270</v>
      </c>
      <c r="J65" s="30">
        <v>13206</v>
      </c>
      <c r="K65" s="30">
        <v>12967</v>
      </c>
      <c r="L65" s="30">
        <v>12749</v>
      </c>
      <c r="M65" s="30">
        <v>12634</v>
      </c>
      <c r="N65" s="30">
        <v>12427</v>
      </c>
      <c r="O65" s="24" t="str">
        <f t="shared" si="1"/>
        <v>Sumter County, Alabama</v>
      </c>
    </row>
    <row r="66" spans="1:15" x14ac:dyDescent="0.25">
      <c r="A66" s="35" t="s">
        <v>542</v>
      </c>
      <c r="B66" s="28" t="str">
        <f t="shared" si="0"/>
        <v>Talladega</v>
      </c>
      <c r="C66" s="30">
        <v>82291</v>
      </c>
      <c r="D66" s="30">
        <v>82353</v>
      </c>
      <c r="E66" s="30">
        <v>82172</v>
      </c>
      <c r="F66" s="30">
        <v>81863</v>
      </c>
      <c r="G66" s="30">
        <v>82146</v>
      </c>
      <c r="H66" s="30">
        <v>81578</v>
      </c>
      <c r="I66" s="30">
        <v>81512</v>
      </c>
      <c r="J66" s="30">
        <v>81128</v>
      </c>
      <c r="K66" s="30">
        <v>80552</v>
      </c>
      <c r="L66" s="30">
        <v>80142</v>
      </c>
      <c r="M66" s="30">
        <v>80137</v>
      </c>
      <c r="N66" s="30">
        <v>79978</v>
      </c>
      <c r="O66" s="24" t="str">
        <f t="shared" si="1"/>
        <v>Talladega County, Alabama</v>
      </c>
    </row>
    <row r="67" spans="1:15" x14ac:dyDescent="0.25">
      <c r="A67" s="35" t="s">
        <v>543</v>
      </c>
      <c r="B67" s="28" t="str">
        <f t="shared" si="0"/>
        <v>Tallapoosa</v>
      </c>
      <c r="C67" s="30">
        <v>41616</v>
      </c>
      <c r="D67" s="30">
        <v>41618</v>
      </c>
      <c r="E67" s="30">
        <v>41476</v>
      </c>
      <c r="F67" s="30">
        <v>41402</v>
      </c>
      <c r="G67" s="30">
        <v>41048</v>
      </c>
      <c r="H67" s="30">
        <v>41028</v>
      </c>
      <c r="I67" s="30">
        <v>40884</v>
      </c>
      <c r="J67" s="30">
        <v>40605</v>
      </c>
      <c r="K67" s="30">
        <v>40586</v>
      </c>
      <c r="L67" s="30">
        <v>40613</v>
      </c>
      <c r="M67" s="30">
        <v>40535</v>
      </c>
      <c r="N67" s="30">
        <v>40367</v>
      </c>
      <c r="O67" s="24" t="str">
        <f t="shared" si="1"/>
        <v>Tallapoosa County, Alabama</v>
      </c>
    </row>
    <row r="68" spans="1:15" x14ac:dyDescent="0.25">
      <c r="A68" s="35" t="s">
        <v>544</v>
      </c>
      <c r="B68" s="28" t="str">
        <f t="shared" si="0"/>
        <v>Tuscaloosa</v>
      </c>
      <c r="C68" s="30">
        <v>194656</v>
      </c>
      <c r="D68" s="30">
        <v>194667</v>
      </c>
      <c r="E68" s="30">
        <v>194996</v>
      </c>
      <c r="F68" s="30">
        <v>196745</v>
      </c>
      <c r="G68" s="30">
        <v>198807</v>
      </c>
      <c r="H68" s="30">
        <v>201084</v>
      </c>
      <c r="I68" s="30">
        <v>203086</v>
      </c>
      <c r="J68" s="30">
        <v>204767</v>
      </c>
      <c r="K68" s="30">
        <v>206464</v>
      </c>
      <c r="L68" s="30">
        <v>207618</v>
      </c>
      <c r="M68" s="30">
        <v>208319</v>
      </c>
      <c r="N68" s="30">
        <v>209355</v>
      </c>
      <c r="O68" s="24" t="str">
        <f t="shared" si="1"/>
        <v>Tuscaloosa County, Alabama</v>
      </c>
    </row>
    <row r="69" spans="1:15" x14ac:dyDescent="0.25">
      <c r="A69" s="35" t="s">
        <v>545</v>
      </c>
      <c r="B69" s="28" t="str">
        <f t="shared" si="0"/>
        <v>Walker</v>
      </c>
      <c r="C69" s="30">
        <v>67023</v>
      </c>
      <c r="D69" s="30">
        <v>67020</v>
      </c>
      <c r="E69" s="30">
        <v>66997</v>
      </c>
      <c r="F69" s="30">
        <v>66585</v>
      </c>
      <c r="G69" s="30">
        <v>66104</v>
      </c>
      <c r="H69" s="30">
        <v>65777</v>
      </c>
      <c r="I69" s="30">
        <v>65338</v>
      </c>
      <c r="J69" s="30">
        <v>64931</v>
      </c>
      <c r="K69" s="30">
        <v>64533</v>
      </c>
      <c r="L69" s="30">
        <v>63895</v>
      </c>
      <c r="M69" s="30">
        <v>63669</v>
      </c>
      <c r="N69" s="30">
        <v>63521</v>
      </c>
      <c r="O69" s="24" t="str">
        <f t="shared" si="1"/>
        <v>Walker County, Alabama</v>
      </c>
    </row>
    <row r="70" spans="1:15" x14ac:dyDescent="0.25">
      <c r="A70" s="35" t="s">
        <v>546</v>
      </c>
      <c r="B70" s="28" t="str">
        <f t="shared" si="0"/>
        <v>Washington</v>
      </c>
      <c r="C70" s="30">
        <v>17581</v>
      </c>
      <c r="D70" s="30">
        <v>17580</v>
      </c>
      <c r="E70" s="30">
        <v>17626</v>
      </c>
      <c r="F70" s="30">
        <v>17355</v>
      </c>
      <c r="G70" s="30">
        <v>17146</v>
      </c>
      <c r="H70" s="30">
        <v>16897</v>
      </c>
      <c r="I70" s="30">
        <v>16868</v>
      </c>
      <c r="J70" s="30">
        <v>16832</v>
      </c>
      <c r="K70" s="30">
        <v>16621</v>
      </c>
      <c r="L70" s="30">
        <v>16522</v>
      </c>
      <c r="M70" s="30">
        <v>16402</v>
      </c>
      <c r="N70" s="30">
        <v>16326</v>
      </c>
      <c r="O70" s="24" t="str">
        <f t="shared" si="1"/>
        <v>Washington County, Alabama</v>
      </c>
    </row>
    <row r="71" spans="1:15" x14ac:dyDescent="0.25">
      <c r="A71" s="35" t="s">
        <v>547</v>
      </c>
      <c r="B71" s="28" t="str">
        <f t="shared" ref="B71:B134" si="2">LEFT(A71,FIND("County",A71,1)-2)</f>
        <v>Wilcox</v>
      </c>
      <c r="C71" s="30">
        <v>11670</v>
      </c>
      <c r="D71" s="30">
        <v>11664</v>
      </c>
      <c r="E71" s="30">
        <v>11560</v>
      </c>
      <c r="F71" s="30">
        <v>11438</v>
      </c>
      <c r="G71" s="30">
        <v>11302</v>
      </c>
      <c r="H71" s="30">
        <v>11145</v>
      </c>
      <c r="I71" s="30">
        <v>10946</v>
      </c>
      <c r="J71" s="30">
        <v>10896</v>
      </c>
      <c r="K71" s="30">
        <v>10844</v>
      </c>
      <c r="L71" s="30">
        <v>10691</v>
      </c>
      <c r="M71" s="30">
        <v>10599</v>
      </c>
      <c r="N71" s="30">
        <v>10373</v>
      </c>
      <c r="O71" s="24" t="str">
        <f t="shared" ref="O71:O134" si="3">A71</f>
        <v>Wilcox County, Alabama</v>
      </c>
    </row>
    <row r="72" spans="1:15" x14ac:dyDescent="0.25">
      <c r="A72" s="35" t="s">
        <v>548</v>
      </c>
      <c r="B72" s="28" t="str">
        <f t="shared" si="2"/>
        <v>Winston</v>
      </c>
      <c r="C72" s="30">
        <v>24484</v>
      </c>
      <c r="D72" s="30">
        <v>24488</v>
      </c>
      <c r="E72" s="30">
        <v>24412</v>
      </c>
      <c r="F72" s="30">
        <v>24362</v>
      </c>
      <c r="G72" s="30">
        <v>24193</v>
      </c>
      <c r="H72" s="30">
        <v>24189</v>
      </c>
      <c r="I72" s="30">
        <v>24139</v>
      </c>
      <c r="J72" s="30">
        <v>23930</v>
      </c>
      <c r="K72" s="30">
        <v>23907</v>
      </c>
      <c r="L72" s="30">
        <v>23760</v>
      </c>
      <c r="M72" s="30">
        <v>23693</v>
      </c>
      <c r="N72" s="30">
        <v>23629</v>
      </c>
      <c r="O72" s="24" t="str">
        <f t="shared" si="3"/>
        <v>Winston County, Alabama</v>
      </c>
    </row>
    <row r="73" spans="1:15" x14ac:dyDescent="0.25">
      <c r="A73" s="35" t="s">
        <v>549</v>
      </c>
      <c r="B73" s="28" t="e">
        <f t="shared" si="2"/>
        <v>#VALUE!</v>
      </c>
      <c r="C73" s="30">
        <v>3141</v>
      </c>
      <c r="D73" s="30">
        <v>3141</v>
      </c>
      <c r="E73" s="30">
        <v>3166</v>
      </c>
      <c r="F73" s="30">
        <v>3259</v>
      </c>
      <c r="G73" s="30">
        <v>3294</v>
      </c>
      <c r="H73" s="30">
        <v>3343</v>
      </c>
      <c r="I73" s="30">
        <v>3346</v>
      </c>
      <c r="J73" s="30">
        <v>3373</v>
      </c>
      <c r="K73" s="30">
        <v>3363</v>
      </c>
      <c r="L73" s="30">
        <v>3455</v>
      </c>
      <c r="M73" s="30">
        <v>3395</v>
      </c>
      <c r="N73" s="30">
        <v>3337</v>
      </c>
      <c r="O73" s="24" t="str">
        <f t="shared" si="3"/>
        <v>Aleutians East Borough, Alaska</v>
      </c>
    </row>
    <row r="74" spans="1:15" x14ac:dyDescent="0.25">
      <c r="A74" s="35" t="s">
        <v>550</v>
      </c>
      <c r="B74" s="28" t="e">
        <f t="shared" si="2"/>
        <v>#VALUE!</v>
      </c>
      <c r="C74" s="30">
        <v>5561</v>
      </c>
      <c r="D74" s="30">
        <v>5561</v>
      </c>
      <c r="E74" s="30">
        <v>5559</v>
      </c>
      <c r="F74" s="30">
        <v>5582</v>
      </c>
      <c r="G74" s="30">
        <v>5676</v>
      </c>
      <c r="H74" s="30">
        <v>5777</v>
      </c>
      <c r="I74" s="30">
        <v>5822</v>
      </c>
      <c r="J74" s="30">
        <v>5781</v>
      </c>
      <c r="K74" s="30">
        <v>5705</v>
      </c>
      <c r="L74" s="30">
        <v>5729</v>
      </c>
      <c r="M74" s="30">
        <v>5640</v>
      </c>
      <c r="N74" s="30">
        <v>5634</v>
      </c>
      <c r="O74" s="24" t="str">
        <f t="shared" si="3"/>
        <v>Aleutians West Census Area, Alaska</v>
      </c>
    </row>
    <row r="75" spans="1:15" x14ac:dyDescent="0.25">
      <c r="A75" s="35" t="s">
        <v>551</v>
      </c>
      <c r="B75" s="28" t="e">
        <f t="shared" si="2"/>
        <v>#VALUE!</v>
      </c>
      <c r="C75" s="30">
        <v>291826</v>
      </c>
      <c r="D75" s="30">
        <v>291836</v>
      </c>
      <c r="E75" s="30">
        <v>293321</v>
      </c>
      <c r="F75" s="30">
        <v>296197</v>
      </c>
      <c r="G75" s="30">
        <v>298255</v>
      </c>
      <c r="H75" s="30">
        <v>301142</v>
      </c>
      <c r="I75" s="30">
        <v>299893</v>
      </c>
      <c r="J75" s="30">
        <v>297547</v>
      </c>
      <c r="K75" s="30">
        <v>297249</v>
      </c>
      <c r="L75" s="30">
        <v>294338</v>
      </c>
      <c r="M75" s="30">
        <v>290521</v>
      </c>
      <c r="N75" s="30">
        <v>288000</v>
      </c>
      <c r="O75" s="24" t="str">
        <f t="shared" si="3"/>
        <v>Anchorage Municipality, Alaska</v>
      </c>
    </row>
    <row r="76" spans="1:15" x14ac:dyDescent="0.25">
      <c r="A76" s="35" t="s">
        <v>552</v>
      </c>
      <c r="B76" s="28" t="e">
        <f t="shared" si="2"/>
        <v>#VALUE!</v>
      </c>
      <c r="C76" s="30">
        <v>17013</v>
      </c>
      <c r="D76" s="30">
        <v>17013</v>
      </c>
      <c r="E76" s="30">
        <v>17084</v>
      </c>
      <c r="F76" s="30">
        <v>17419</v>
      </c>
      <c r="G76" s="30">
        <v>17656</v>
      </c>
      <c r="H76" s="30">
        <v>17852</v>
      </c>
      <c r="I76" s="30">
        <v>17936</v>
      </c>
      <c r="J76" s="30">
        <v>17955</v>
      </c>
      <c r="K76" s="30">
        <v>18022</v>
      </c>
      <c r="L76" s="30">
        <v>18090</v>
      </c>
      <c r="M76" s="30">
        <v>18219</v>
      </c>
      <c r="N76" s="30">
        <v>18386</v>
      </c>
      <c r="O76" s="24" t="str">
        <f t="shared" si="3"/>
        <v>Bethel Census Area, Alaska</v>
      </c>
    </row>
    <row r="77" spans="1:15" x14ac:dyDescent="0.25">
      <c r="A77" s="35" t="s">
        <v>553</v>
      </c>
      <c r="B77" s="28" t="e">
        <f t="shared" si="2"/>
        <v>#VALUE!</v>
      </c>
      <c r="C77" s="30">
        <v>997</v>
      </c>
      <c r="D77" s="30">
        <v>997</v>
      </c>
      <c r="E77" s="30">
        <v>1002</v>
      </c>
      <c r="F77" s="30">
        <v>1030</v>
      </c>
      <c r="G77" s="30">
        <v>979</v>
      </c>
      <c r="H77" s="30">
        <v>951</v>
      </c>
      <c r="I77" s="30">
        <v>947</v>
      </c>
      <c r="J77" s="30">
        <v>904</v>
      </c>
      <c r="K77" s="30">
        <v>902</v>
      </c>
      <c r="L77" s="30">
        <v>869</v>
      </c>
      <c r="M77" s="30">
        <v>880</v>
      </c>
      <c r="N77" s="30">
        <v>836</v>
      </c>
      <c r="O77" s="24" t="str">
        <f t="shared" si="3"/>
        <v>Bristol Bay Borough, Alaska</v>
      </c>
    </row>
    <row r="78" spans="1:15" x14ac:dyDescent="0.25">
      <c r="A78" s="35" t="s">
        <v>554</v>
      </c>
      <c r="B78" s="28" t="e">
        <f t="shared" si="2"/>
        <v>#VALUE!</v>
      </c>
      <c r="C78" s="30">
        <v>1826</v>
      </c>
      <c r="D78" s="30">
        <v>1822</v>
      </c>
      <c r="E78" s="30">
        <v>1835</v>
      </c>
      <c r="F78" s="30">
        <v>1872</v>
      </c>
      <c r="G78" s="30">
        <v>1908</v>
      </c>
      <c r="H78" s="30">
        <v>1943</v>
      </c>
      <c r="I78" s="30">
        <v>1916</v>
      </c>
      <c r="J78" s="30">
        <v>1933</v>
      </c>
      <c r="K78" s="30">
        <v>2055</v>
      </c>
      <c r="L78" s="30">
        <v>2084</v>
      </c>
      <c r="M78" s="30">
        <v>2032</v>
      </c>
      <c r="N78" s="30">
        <v>2097</v>
      </c>
      <c r="O78" s="24" t="str">
        <f t="shared" si="3"/>
        <v>Denali Borough, Alaska</v>
      </c>
    </row>
    <row r="79" spans="1:15" x14ac:dyDescent="0.25">
      <c r="A79" s="35" t="s">
        <v>555</v>
      </c>
      <c r="B79" s="28" t="e">
        <f t="shared" si="2"/>
        <v>#VALUE!</v>
      </c>
      <c r="C79" s="30">
        <v>4847</v>
      </c>
      <c r="D79" s="30">
        <v>4847</v>
      </c>
      <c r="E79" s="30">
        <v>4850</v>
      </c>
      <c r="F79" s="30">
        <v>4947</v>
      </c>
      <c r="G79" s="30">
        <v>4949</v>
      </c>
      <c r="H79" s="30">
        <v>4978</v>
      </c>
      <c r="I79" s="30">
        <v>4983</v>
      </c>
      <c r="J79" s="30">
        <v>4988</v>
      </c>
      <c r="K79" s="30">
        <v>4970</v>
      </c>
      <c r="L79" s="30">
        <v>4940</v>
      </c>
      <c r="M79" s="30">
        <v>4991</v>
      </c>
      <c r="N79" s="30">
        <v>4916</v>
      </c>
      <c r="O79" s="24" t="str">
        <f t="shared" si="3"/>
        <v>Dillingham Census Area, Alaska</v>
      </c>
    </row>
    <row r="80" spans="1:15" x14ac:dyDescent="0.25">
      <c r="A80" s="35" t="s">
        <v>556</v>
      </c>
      <c r="B80" s="28" t="e">
        <f t="shared" si="2"/>
        <v>#VALUE!</v>
      </c>
      <c r="C80" s="30">
        <v>97581</v>
      </c>
      <c r="D80" s="30">
        <v>97585</v>
      </c>
      <c r="E80" s="30">
        <v>98264</v>
      </c>
      <c r="F80" s="30">
        <v>98120</v>
      </c>
      <c r="G80" s="30">
        <v>100311</v>
      </c>
      <c r="H80" s="30">
        <v>100933</v>
      </c>
      <c r="I80" s="30">
        <v>99254</v>
      </c>
      <c r="J80" s="30">
        <v>99636</v>
      </c>
      <c r="K80" s="30">
        <v>100633</v>
      </c>
      <c r="L80" s="30">
        <v>99675</v>
      </c>
      <c r="M80" s="30">
        <v>98565</v>
      </c>
      <c r="N80" s="30">
        <v>96849</v>
      </c>
      <c r="O80" s="24" t="str">
        <f t="shared" si="3"/>
        <v>Fairbanks North Star Borough, Alaska</v>
      </c>
    </row>
    <row r="81" spans="1:15" x14ac:dyDescent="0.25">
      <c r="A81" s="35" t="s">
        <v>557</v>
      </c>
      <c r="B81" s="28" t="e">
        <f t="shared" si="2"/>
        <v>#VALUE!</v>
      </c>
      <c r="C81" s="30">
        <v>2508</v>
      </c>
      <c r="D81" s="30">
        <v>2508</v>
      </c>
      <c r="E81" s="30">
        <v>2501</v>
      </c>
      <c r="F81" s="30">
        <v>2574</v>
      </c>
      <c r="G81" s="30">
        <v>2577</v>
      </c>
      <c r="H81" s="30">
        <v>2558</v>
      </c>
      <c r="I81" s="30">
        <v>2555</v>
      </c>
      <c r="J81" s="30">
        <v>2516</v>
      </c>
      <c r="K81" s="30">
        <v>2531</v>
      </c>
      <c r="L81" s="30">
        <v>2524</v>
      </c>
      <c r="M81" s="30">
        <v>2488</v>
      </c>
      <c r="N81" s="30">
        <v>2530</v>
      </c>
      <c r="O81" s="24" t="str">
        <f t="shared" si="3"/>
        <v>Haines Borough, Alaska</v>
      </c>
    </row>
    <row r="82" spans="1:15" x14ac:dyDescent="0.25">
      <c r="A82" s="35" t="s">
        <v>558</v>
      </c>
      <c r="B82" s="28" t="e">
        <f t="shared" si="2"/>
        <v>#VALUE!</v>
      </c>
      <c r="C82" s="30">
        <v>2150</v>
      </c>
      <c r="D82" s="30">
        <v>2103</v>
      </c>
      <c r="E82" s="30">
        <v>2107</v>
      </c>
      <c r="F82" s="30">
        <v>2085</v>
      </c>
      <c r="G82" s="30">
        <v>2114</v>
      </c>
      <c r="H82" s="30">
        <v>2116</v>
      </c>
      <c r="I82" s="30">
        <v>2098</v>
      </c>
      <c r="J82" s="30">
        <v>2132</v>
      </c>
      <c r="K82" s="30">
        <v>2121</v>
      </c>
      <c r="L82" s="30">
        <v>2139</v>
      </c>
      <c r="M82" s="30">
        <v>2155</v>
      </c>
      <c r="N82" s="30">
        <v>2148</v>
      </c>
      <c r="O82" s="24" t="str">
        <f t="shared" si="3"/>
        <v>Hoonah-Angoon Census Area, Alaska</v>
      </c>
    </row>
    <row r="83" spans="1:15" x14ac:dyDescent="0.25">
      <c r="A83" s="35" t="s">
        <v>559</v>
      </c>
      <c r="B83" s="28" t="e">
        <f t="shared" si="2"/>
        <v>#VALUE!</v>
      </c>
      <c r="C83" s="30">
        <v>31275</v>
      </c>
      <c r="D83" s="30">
        <v>31276</v>
      </c>
      <c r="E83" s="30">
        <v>31387</v>
      </c>
      <c r="F83" s="30">
        <v>32161</v>
      </c>
      <c r="G83" s="30">
        <v>32384</v>
      </c>
      <c r="H83" s="30">
        <v>32594</v>
      </c>
      <c r="I83" s="30">
        <v>32481</v>
      </c>
      <c r="J83" s="30">
        <v>32615</v>
      </c>
      <c r="K83" s="30">
        <v>32412</v>
      </c>
      <c r="L83" s="30">
        <v>32098</v>
      </c>
      <c r="M83" s="30">
        <v>32037</v>
      </c>
      <c r="N83" s="30">
        <v>31974</v>
      </c>
      <c r="O83" s="24" t="str">
        <f t="shared" si="3"/>
        <v>Juneau City and Borough, Alaska</v>
      </c>
    </row>
    <row r="84" spans="1:15" x14ac:dyDescent="0.25">
      <c r="A84" s="35" t="s">
        <v>560</v>
      </c>
      <c r="B84" s="28" t="e">
        <f t="shared" si="2"/>
        <v>#VALUE!</v>
      </c>
      <c r="C84" s="30">
        <v>55400</v>
      </c>
      <c r="D84" s="30">
        <v>55400</v>
      </c>
      <c r="E84" s="30">
        <v>55554</v>
      </c>
      <c r="F84" s="30">
        <v>56299</v>
      </c>
      <c r="G84" s="30">
        <v>56900</v>
      </c>
      <c r="H84" s="30">
        <v>57014</v>
      </c>
      <c r="I84" s="30">
        <v>57558</v>
      </c>
      <c r="J84" s="30">
        <v>58034</v>
      </c>
      <c r="K84" s="30">
        <v>58458</v>
      </c>
      <c r="L84" s="30">
        <v>58558</v>
      </c>
      <c r="M84" s="30">
        <v>58561</v>
      </c>
      <c r="N84" s="30">
        <v>58708</v>
      </c>
      <c r="O84" s="24" t="str">
        <f t="shared" si="3"/>
        <v>Kenai Peninsula Borough, Alaska</v>
      </c>
    </row>
    <row r="85" spans="1:15" x14ac:dyDescent="0.25">
      <c r="A85" s="35" t="s">
        <v>561</v>
      </c>
      <c r="B85" s="28" t="e">
        <f t="shared" si="2"/>
        <v>#VALUE!</v>
      </c>
      <c r="C85" s="30">
        <v>13477</v>
      </c>
      <c r="D85" s="30">
        <v>13526</v>
      </c>
      <c r="E85" s="30">
        <v>13573</v>
      </c>
      <c r="F85" s="30">
        <v>13674</v>
      </c>
      <c r="G85" s="30">
        <v>13729</v>
      </c>
      <c r="H85" s="30">
        <v>13722</v>
      </c>
      <c r="I85" s="30">
        <v>13802</v>
      </c>
      <c r="J85" s="30">
        <v>13702</v>
      </c>
      <c r="K85" s="30">
        <v>13707</v>
      </c>
      <c r="L85" s="30">
        <v>13834</v>
      </c>
      <c r="M85" s="30">
        <v>13856</v>
      </c>
      <c r="N85" s="30">
        <v>13901</v>
      </c>
      <c r="O85" s="24" t="str">
        <f t="shared" si="3"/>
        <v>Ketchikan Gateway Borough, Alaska</v>
      </c>
    </row>
    <row r="86" spans="1:15" x14ac:dyDescent="0.25">
      <c r="A86" s="35" t="s">
        <v>562</v>
      </c>
      <c r="B86" s="28" t="e">
        <f t="shared" si="2"/>
        <v>#VALUE!</v>
      </c>
      <c r="C86" s="30">
        <v>13592</v>
      </c>
      <c r="D86" s="30">
        <v>13606</v>
      </c>
      <c r="E86" s="30">
        <v>13646</v>
      </c>
      <c r="F86" s="30">
        <v>13806</v>
      </c>
      <c r="G86" s="30">
        <v>14037</v>
      </c>
      <c r="H86" s="30">
        <v>14093</v>
      </c>
      <c r="I86" s="30">
        <v>13907</v>
      </c>
      <c r="J86" s="30">
        <v>13767</v>
      </c>
      <c r="K86" s="30">
        <v>13728</v>
      </c>
      <c r="L86" s="30">
        <v>13512</v>
      </c>
      <c r="M86" s="30">
        <v>13250</v>
      </c>
      <c r="N86" s="30">
        <v>12998</v>
      </c>
      <c r="O86" s="24" t="str">
        <f t="shared" si="3"/>
        <v>Kodiak Island Borough, Alaska</v>
      </c>
    </row>
    <row r="87" spans="1:15" x14ac:dyDescent="0.25">
      <c r="A87" s="35" t="s">
        <v>563</v>
      </c>
      <c r="B87" s="28" t="e">
        <f t="shared" si="2"/>
        <v>#VALUE!</v>
      </c>
      <c r="C87" s="30">
        <v>7459</v>
      </c>
      <c r="D87" s="30">
        <v>7459</v>
      </c>
      <c r="E87" s="30">
        <v>7467</v>
      </c>
      <c r="F87" s="30">
        <v>7651</v>
      </c>
      <c r="G87" s="30">
        <v>7794</v>
      </c>
      <c r="H87" s="30">
        <v>7974</v>
      </c>
      <c r="I87" s="30">
        <v>8100</v>
      </c>
      <c r="J87" s="30">
        <v>8194</v>
      </c>
      <c r="K87" s="30">
        <v>8181</v>
      </c>
      <c r="L87" s="30">
        <v>8236</v>
      </c>
      <c r="M87" s="30">
        <v>8323</v>
      </c>
      <c r="N87" s="30">
        <v>8314</v>
      </c>
      <c r="O87" s="24" t="str">
        <f t="shared" si="3"/>
        <v>Kusilvak Census Area, Alaska</v>
      </c>
    </row>
    <row r="88" spans="1:15" x14ac:dyDescent="0.25">
      <c r="A88" s="35" t="s">
        <v>564</v>
      </c>
      <c r="B88" s="28" t="e">
        <f t="shared" si="2"/>
        <v>#VALUE!</v>
      </c>
      <c r="C88" s="30">
        <v>1631</v>
      </c>
      <c r="D88" s="30">
        <v>1635</v>
      </c>
      <c r="E88" s="30">
        <v>1639</v>
      </c>
      <c r="F88" s="30">
        <v>1649</v>
      </c>
      <c r="G88" s="30">
        <v>1649</v>
      </c>
      <c r="H88" s="30">
        <v>1667</v>
      </c>
      <c r="I88" s="30">
        <v>1647</v>
      </c>
      <c r="J88" s="30">
        <v>1595</v>
      </c>
      <c r="K88" s="30">
        <v>1600</v>
      </c>
      <c r="L88" s="30">
        <v>1612</v>
      </c>
      <c r="M88" s="30">
        <v>1596</v>
      </c>
      <c r="N88" s="30">
        <v>1592</v>
      </c>
      <c r="O88" s="24" t="str">
        <f t="shared" si="3"/>
        <v>Lake and Peninsula Borough, Alaska</v>
      </c>
    </row>
    <row r="89" spans="1:15" x14ac:dyDescent="0.25">
      <c r="A89" s="35" t="s">
        <v>565</v>
      </c>
      <c r="B89" s="28" t="e">
        <f t="shared" si="2"/>
        <v>#VALUE!</v>
      </c>
      <c r="C89" s="30">
        <v>88995</v>
      </c>
      <c r="D89" s="30">
        <v>88985</v>
      </c>
      <c r="E89" s="30">
        <v>89732</v>
      </c>
      <c r="F89" s="30">
        <v>91725</v>
      </c>
      <c r="G89" s="30">
        <v>93677</v>
      </c>
      <c r="H89" s="30">
        <v>95880</v>
      </c>
      <c r="I89" s="30">
        <v>98103</v>
      </c>
      <c r="J89" s="30">
        <v>101062</v>
      </c>
      <c r="K89" s="30">
        <v>104119</v>
      </c>
      <c r="L89" s="30">
        <v>106232</v>
      </c>
      <c r="M89" s="30">
        <v>107115</v>
      </c>
      <c r="N89" s="30">
        <v>108317</v>
      </c>
      <c r="O89" s="24" t="str">
        <f t="shared" si="3"/>
        <v>Matanuska-Susitna Borough, Alaska</v>
      </c>
    </row>
    <row r="90" spans="1:15" x14ac:dyDescent="0.25">
      <c r="A90" s="35" t="s">
        <v>566</v>
      </c>
      <c r="B90" s="28" t="e">
        <f t="shared" si="2"/>
        <v>#VALUE!</v>
      </c>
      <c r="C90" s="30">
        <v>9492</v>
      </c>
      <c r="D90" s="30">
        <v>9492</v>
      </c>
      <c r="E90" s="30">
        <v>9543</v>
      </c>
      <c r="F90" s="30">
        <v>9776</v>
      </c>
      <c r="G90" s="30">
        <v>9824</v>
      </c>
      <c r="H90" s="30">
        <v>9852</v>
      </c>
      <c r="I90" s="30">
        <v>9810</v>
      </c>
      <c r="J90" s="30">
        <v>9893</v>
      </c>
      <c r="K90" s="30">
        <v>9966</v>
      </c>
      <c r="L90" s="30">
        <v>10025</v>
      </c>
      <c r="M90" s="30">
        <v>10053</v>
      </c>
      <c r="N90" s="30">
        <v>10004</v>
      </c>
      <c r="O90" s="24" t="str">
        <f t="shared" si="3"/>
        <v>Nome Census Area, Alaska</v>
      </c>
    </row>
    <row r="91" spans="1:15" x14ac:dyDescent="0.25">
      <c r="A91" s="35" t="s">
        <v>567</v>
      </c>
      <c r="B91" s="28" t="e">
        <f t="shared" si="2"/>
        <v>#VALUE!</v>
      </c>
      <c r="C91" s="30">
        <v>9430</v>
      </c>
      <c r="D91" s="30">
        <v>9430</v>
      </c>
      <c r="E91" s="30">
        <v>9478</v>
      </c>
      <c r="F91" s="30">
        <v>9554</v>
      </c>
      <c r="G91" s="30">
        <v>9698</v>
      </c>
      <c r="H91" s="30">
        <v>9792</v>
      </c>
      <c r="I91" s="30">
        <v>9776</v>
      </c>
      <c r="J91" s="30">
        <v>9788</v>
      </c>
      <c r="K91" s="30">
        <v>9694</v>
      </c>
      <c r="L91" s="30">
        <v>9795</v>
      </c>
      <c r="M91" s="30">
        <v>9850</v>
      </c>
      <c r="N91" s="30">
        <v>9832</v>
      </c>
      <c r="O91" s="24" t="str">
        <f t="shared" si="3"/>
        <v>North Slope Borough, Alaska</v>
      </c>
    </row>
    <row r="92" spans="1:15" x14ac:dyDescent="0.25">
      <c r="A92" s="35" t="s">
        <v>568</v>
      </c>
      <c r="B92" s="28" t="e">
        <f t="shared" si="2"/>
        <v>#VALUE!</v>
      </c>
      <c r="C92" s="30">
        <v>7523</v>
      </c>
      <c r="D92" s="30">
        <v>7523</v>
      </c>
      <c r="E92" s="30">
        <v>7560</v>
      </c>
      <c r="F92" s="30">
        <v>7705</v>
      </c>
      <c r="G92" s="30">
        <v>7705</v>
      </c>
      <c r="H92" s="30">
        <v>7725</v>
      </c>
      <c r="I92" s="30">
        <v>7772</v>
      </c>
      <c r="J92" s="30">
        <v>7772</v>
      </c>
      <c r="K92" s="30">
        <v>7691</v>
      </c>
      <c r="L92" s="30">
        <v>7795</v>
      </c>
      <c r="M92" s="30">
        <v>7694</v>
      </c>
      <c r="N92" s="30">
        <v>7621</v>
      </c>
      <c r="O92" s="24" t="str">
        <f t="shared" si="3"/>
        <v>Northwest Arctic Borough, Alaska</v>
      </c>
    </row>
    <row r="93" spans="1:15" x14ac:dyDescent="0.25">
      <c r="A93" s="35" t="s">
        <v>569</v>
      </c>
      <c r="B93" s="28" t="e">
        <f t="shared" si="2"/>
        <v>#VALUE!</v>
      </c>
      <c r="C93" s="30">
        <v>3815</v>
      </c>
      <c r="D93" s="30">
        <v>3207</v>
      </c>
      <c r="E93" s="30">
        <v>3219</v>
      </c>
      <c r="F93" s="30">
        <v>3255</v>
      </c>
      <c r="G93" s="30">
        <v>3277</v>
      </c>
      <c r="H93" s="30">
        <v>3291</v>
      </c>
      <c r="I93" s="30">
        <v>3261</v>
      </c>
      <c r="J93" s="30">
        <v>3253</v>
      </c>
      <c r="K93" s="30">
        <v>3260</v>
      </c>
      <c r="L93" s="30">
        <v>3264</v>
      </c>
      <c r="M93" s="30">
        <v>3244</v>
      </c>
      <c r="N93" s="30">
        <v>3266</v>
      </c>
      <c r="O93" s="24" t="str">
        <f t="shared" si="3"/>
        <v>Petersburg Borough, Alaska</v>
      </c>
    </row>
    <row r="94" spans="1:15" x14ac:dyDescent="0.25">
      <c r="A94" s="35" t="s">
        <v>570</v>
      </c>
      <c r="B94" s="28" t="e">
        <f t="shared" si="2"/>
        <v>#VALUE!</v>
      </c>
      <c r="C94" s="30">
        <v>5559</v>
      </c>
      <c r="D94" s="30">
        <v>6168</v>
      </c>
      <c r="E94" s="30">
        <v>6211</v>
      </c>
      <c r="F94" s="30">
        <v>6373</v>
      </c>
      <c r="G94" s="30">
        <v>6423</v>
      </c>
      <c r="H94" s="30">
        <v>6446</v>
      </c>
      <c r="I94" s="30">
        <v>6463</v>
      </c>
      <c r="J94" s="30">
        <v>6508</v>
      </c>
      <c r="K94" s="30">
        <v>6519</v>
      </c>
      <c r="L94" s="30">
        <v>6444</v>
      </c>
      <c r="M94" s="30">
        <v>6360</v>
      </c>
      <c r="N94" s="30">
        <v>6203</v>
      </c>
      <c r="O94" s="24" t="str">
        <f t="shared" si="3"/>
        <v>Prince of Wales-Hyder Census Area, Alaska</v>
      </c>
    </row>
    <row r="95" spans="1:15" x14ac:dyDescent="0.25">
      <c r="A95" s="35" t="s">
        <v>571</v>
      </c>
      <c r="B95" s="28" t="e">
        <f t="shared" si="2"/>
        <v>#VALUE!</v>
      </c>
      <c r="C95" s="30">
        <v>8881</v>
      </c>
      <c r="D95" s="30">
        <v>8881</v>
      </c>
      <c r="E95" s="30">
        <v>8881</v>
      </c>
      <c r="F95" s="30">
        <v>8884</v>
      </c>
      <c r="G95" s="30">
        <v>9017</v>
      </c>
      <c r="H95" s="30">
        <v>8973</v>
      </c>
      <c r="I95" s="30">
        <v>8838</v>
      </c>
      <c r="J95" s="30">
        <v>8778</v>
      </c>
      <c r="K95" s="30">
        <v>8736</v>
      </c>
      <c r="L95" s="30">
        <v>8641</v>
      </c>
      <c r="M95" s="30">
        <v>8554</v>
      </c>
      <c r="N95" s="30">
        <v>8493</v>
      </c>
      <c r="O95" s="24" t="str">
        <f t="shared" si="3"/>
        <v>Sitka City and Borough, Alaska</v>
      </c>
    </row>
    <row r="96" spans="1:15" x14ac:dyDescent="0.25">
      <c r="A96" s="35" t="s">
        <v>572</v>
      </c>
      <c r="B96" s="28" t="e">
        <f t="shared" si="2"/>
        <v>#VALUE!</v>
      </c>
      <c r="C96" s="30">
        <v>968</v>
      </c>
      <c r="D96" s="30">
        <v>968</v>
      </c>
      <c r="E96" s="30">
        <v>968</v>
      </c>
      <c r="F96" s="30">
        <v>962</v>
      </c>
      <c r="G96" s="30">
        <v>998</v>
      </c>
      <c r="H96" s="30">
        <v>1026</v>
      </c>
      <c r="I96" s="30">
        <v>1054</v>
      </c>
      <c r="J96" s="30">
        <v>1088</v>
      </c>
      <c r="K96" s="30">
        <v>1132</v>
      </c>
      <c r="L96" s="30">
        <v>1167</v>
      </c>
      <c r="M96" s="30">
        <v>1169</v>
      </c>
      <c r="N96" s="30">
        <v>1183</v>
      </c>
      <c r="O96" s="24" t="str">
        <f t="shared" si="3"/>
        <v>Skagway Municipality, Alaska</v>
      </c>
    </row>
    <row r="97" spans="1:15" x14ac:dyDescent="0.25">
      <c r="A97" s="35" t="s">
        <v>573</v>
      </c>
      <c r="B97" s="28" t="e">
        <f t="shared" si="2"/>
        <v>#VALUE!</v>
      </c>
      <c r="C97" s="30">
        <v>7029</v>
      </c>
      <c r="D97" s="30">
        <v>7029</v>
      </c>
      <c r="E97" s="30">
        <v>7061</v>
      </c>
      <c r="F97" s="30">
        <v>7150</v>
      </c>
      <c r="G97" s="30">
        <v>7172</v>
      </c>
      <c r="H97" s="30">
        <v>6986</v>
      </c>
      <c r="I97" s="30">
        <v>6925</v>
      </c>
      <c r="J97" s="30">
        <v>6812</v>
      </c>
      <c r="K97" s="30">
        <v>6857</v>
      </c>
      <c r="L97" s="30">
        <v>6892</v>
      </c>
      <c r="M97" s="30">
        <v>6937</v>
      </c>
      <c r="N97" s="30">
        <v>6893</v>
      </c>
      <c r="O97" s="24" t="str">
        <f t="shared" si="3"/>
        <v>Southeast Fairbanks Census Area, Alaska</v>
      </c>
    </row>
    <row r="98" spans="1:15" x14ac:dyDescent="0.25">
      <c r="A98" s="35" t="s">
        <v>574</v>
      </c>
      <c r="B98" s="28" t="e">
        <f t="shared" si="2"/>
        <v>#VALUE!</v>
      </c>
      <c r="C98" s="30">
        <v>9636</v>
      </c>
      <c r="D98" s="30">
        <v>9636</v>
      </c>
      <c r="E98" s="30">
        <v>9657</v>
      </c>
      <c r="F98" s="30">
        <v>9740</v>
      </c>
      <c r="G98" s="30">
        <v>9734</v>
      </c>
      <c r="H98" s="30">
        <v>9781</v>
      </c>
      <c r="I98" s="30">
        <v>9478</v>
      </c>
      <c r="J98" s="30">
        <v>9319</v>
      </c>
      <c r="K98" s="30">
        <v>9314</v>
      </c>
      <c r="L98" s="30">
        <v>9220</v>
      </c>
      <c r="M98" s="30">
        <v>9161</v>
      </c>
      <c r="N98" s="30">
        <v>9202</v>
      </c>
      <c r="O98" s="24" t="str">
        <f t="shared" si="3"/>
        <v>Valdez-Cordova Census Area, Alaska</v>
      </c>
    </row>
    <row r="99" spans="1:15" x14ac:dyDescent="0.25">
      <c r="A99" s="35" t="s">
        <v>575</v>
      </c>
      <c r="B99" s="28" t="e">
        <f t="shared" si="2"/>
        <v>#VALUE!</v>
      </c>
      <c r="C99" s="30">
        <v>2369</v>
      </c>
      <c r="D99" s="30">
        <v>2365</v>
      </c>
      <c r="E99" s="30">
        <v>2371</v>
      </c>
      <c r="F99" s="30">
        <v>2394</v>
      </c>
      <c r="G99" s="30">
        <v>2420</v>
      </c>
      <c r="H99" s="30">
        <v>2448</v>
      </c>
      <c r="I99" s="30">
        <v>2441</v>
      </c>
      <c r="J99" s="30">
        <v>2453</v>
      </c>
      <c r="K99" s="30">
        <v>2496</v>
      </c>
      <c r="L99" s="30">
        <v>2521</v>
      </c>
      <c r="M99" s="30">
        <v>2538</v>
      </c>
      <c r="N99" s="30">
        <v>2502</v>
      </c>
      <c r="O99" s="24" t="str">
        <f t="shared" si="3"/>
        <v>Wrangell City and Borough, Alaska</v>
      </c>
    </row>
    <row r="100" spans="1:15" x14ac:dyDescent="0.25">
      <c r="A100" s="35" t="s">
        <v>576</v>
      </c>
      <c r="B100" s="28" t="e">
        <f t="shared" si="2"/>
        <v>#VALUE!</v>
      </c>
      <c r="C100" s="30">
        <v>662</v>
      </c>
      <c r="D100" s="30">
        <v>662</v>
      </c>
      <c r="E100" s="30">
        <v>662</v>
      </c>
      <c r="F100" s="30">
        <v>656</v>
      </c>
      <c r="G100" s="30">
        <v>664</v>
      </c>
      <c r="H100" s="30">
        <v>651</v>
      </c>
      <c r="I100" s="30">
        <v>655</v>
      </c>
      <c r="J100" s="30">
        <v>635</v>
      </c>
      <c r="K100" s="30">
        <v>612</v>
      </c>
      <c r="L100" s="30">
        <v>602</v>
      </c>
      <c r="M100" s="30">
        <v>596</v>
      </c>
      <c r="N100" s="30">
        <v>579</v>
      </c>
      <c r="O100" s="24" t="str">
        <f t="shared" si="3"/>
        <v>Yakutat City and Borough, Alaska</v>
      </c>
    </row>
    <row r="101" spans="1:15" x14ac:dyDescent="0.25">
      <c r="A101" s="35" t="s">
        <v>577</v>
      </c>
      <c r="B101" s="28" t="e">
        <f t="shared" si="2"/>
        <v>#VALUE!</v>
      </c>
      <c r="C101" s="30">
        <v>5588</v>
      </c>
      <c r="D101" s="30">
        <v>5588</v>
      </c>
      <c r="E101" s="30">
        <v>5612</v>
      </c>
      <c r="F101" s="30">
        <v>5629</v>
      </c>
      <c r="G101" s="30">
        <v>5622</v>
      </c>
      <c r="H101" s="30">
        <v>5560</v>
      </c>
      <c r="I101" s="30">
        <v>5462</v>
      </c>
      <c r="J101" s="30">
        <v>5465</v>
      </c>
      <c r="K101" s="30">
        <v>5423</v>
      </c>
      <c r="L101" s="30">
        <v>5409</v>
      </c>
      <c r="M101" s="30">
        <v>5359</v>
      </c>
      <c r="N101" s="30">
        <v>5230</v>
      </c>
      <c r="O101" s="24" t="str">
        <f t="shared" si="3"/>
        <v>Yukon-Koyukuk Census Area, Alaska</v>
      </c>
    </row>
    <row r="102" spans="1:15" x14ac:dyDescent="0.25">
      <c r="A102" s="35" t="s">
        <v>578</v>
      </c>
      <c r="B102" s="28" t="str">
        <f t="shared" si="2"/>
        <v>Apache</v>
      </c>
      <c r="C102" s="30">
        <v>71518</v>
      </c>
      <c r="D102" s="30">
        <v>71517</v>
      </c>
      <c r="E102" s="30">
        <v>71829</v>
      </c>
      <c r="F102" s="30">
        <v>72182</v>
      </c>
      <c r="G102" s="30">
        <v>72229</v>
      </c>
      <c r="H102" s="30">
        <v>72322</v>
      </c>
      <c r="I102" s="30">
        <v>71796</v>
      </c>
      <c r="J102" s="30">
        <v>71012</v>
      </c>
      <c r="K102" s="30">
        <v>71381</v>
      </c>
      <c r="L102" s="30">
        <v>71545</v>
      </c>
      <c r="M102" s="30">
        <v>71731</v>
      </c>
      <c r="N102" s="30">
        <v>71887</v>
      </c>
      <c r="O102" s="24" t="str">
        <f t="shared" si="3"/>
        <v>Apache County, Arizona</v>
      </c>
    </row>
    <row r="103" spans="1:15" x14ac:dyDescent="0.25">
      <c r="A103" s="35" t="s">
        <v>579</v>
      </c>
      <c r="B103" s="28" t="str">
        <f t="shared" si="2"/>
        <v>Cochise</v>
      </c>
      <c r="C103" s="30">
        <v>131346</v>
      </c>
      <c r="D103" s="30">
        <v>131359</v>
      </c>
      <c r="E103" s="30">
        <v>131822</v>
      </c>
      <c r="F103" s="30">
        <v>133097</v>
      </c>
      <c r="G103" s="30">
        <v>132017</v>
      </c>
      <c r="H103" s="30">
        <v>129578</v>
      </c>
      <c r="I103" s="30">
        <v>127314</v>
      </c>
      <c r="J103" s="30">
        <v>126454</v>
      </c>
      <c r="K103" s="30">
        <v>125686</v>
      </c>
      <c r="L103" s="30">
        <v>124864</v>
      </c>
      <c r="M103" s="30">
        <v>126411</v>
      </c>
      <c r="N103" s="30">
        <v>125922</v>
      </c>
      <c r="O103" s="24" t="str">
        <f t="shared" si="3"/>
        <v>Cochise County, Arizona</v>
      </c>
    </row>
    <row r="104" spans="1:15" x14ac:dyDescent="0.25">
      <c r="A104" s="35" t="s">
        <v>580</v>
      </c>
      <c r="B104" s="28" t="str">
        <f t="shared" si="2"/>
        <v>Coconino</v>
      </c>
      <c r="C104" s="30">
        <v>134421</v>
      </c>
      <c r="D104" s="30">
        <v>134426</v>
      </c>
      <c r="E104" s="30">
        <v>134612</v>
      </c>
      <c r="F104" s="30">
        <v>134275</v>
      </c>
      <c r="G104" s="30">
        <v>136146</v>
      </c>
      <c r="H104" s="30">
        <v>136699</v>
      </c>
      <c r="I104" s="30">
        <v>137566</v>
      </c>
      <c r="J104" s="30">
        <v>138962</v>
      </c>
      <c r="K104" s="30">
        <v>140407</v>
      </c>
      <c r="L104" s="30">
        <v>141001</v>
      </c>
      <c r="M104" s="30">
        <v>142523</v>
      </c>
      <c r="N104" s="30">
        <v>143476</v>
      </c>
      <c r="O104" s="24" t="str">
        <f t="shared" si="3"/>
        <v>Coconino County, Arizona</v>
      </c>
    </row>
    <row r="105" spans="1:15" x14ac:dyDescent="0.25">
      <c r="A105" s="35" t="s">
        <v>581</v>
      </c>
      <c r="B105" s="28" t="str">
        <f t="shared" si="2"/>
        <v>Gila</v>
      </c>
      <c r="C105" s="30">
        <v>53597</v>
      </c>
      <c r="D105" s="30">
        <v>53592</v>
      </c>
      <c r="E105" s="30">
        <v>53561</v>
      </c>
      <c r="F105" s="30">
        <v>53440</v>
      </c>
      <c r="G105" s="30">
        <v>52994</v>
      </c>
      <c r="H105" s="30">
        <v>53005</v>
      </c>
      <c r="I105" s="30">
        <v>53044</v>
      </c>
      <c r="J105" s="30">
        <v>52978</v>
      </c>
      <c r="K105" s="30">
        <v>53356</v>
      </c>
      <c r="L105" s="30">
        <v>53578</v>
      </c>
      <c r="M105" s="30">
        <v>53801</v>
      </c>
      <c r="N105" s="30">
        <v>54018</v>
      </c>
      <c r="O105" s="24" t="str">
        <f t="shared" si="3"/>
        <v>Gila County, Arizona</v>
      </c>
    </row>
    <row r="106" spans="1:15" x14ac:dyDescent="0.25">
      <c r="A106" s="35" t="s">
        <v>582</v>
      </c>
      <c r="B106" s="28" t="str">
        <f t="shared" si="2"/>
        <v>Graham</v>
      </c>
      <c r="C106" s="30">
        <v>37220</v>
      </c>
      <c r="D106" s="30">
        <v>37212</v>
      </c>
      <c r="E106" s="30">
        <v>37152</v>
      </c>
      <c r="F106" s="30">
        <v>37126</v>
      </c>
      <c r="G106" s="30">
        <v>37015</v>
      </c>
      <c r="H106" s="30">
        <v>37433</v>
      </c>
      <c r="I106" s="30">
        <v>38099</v>
      </c>
      <c r="J106" s="30">
        <v>37860</v>
      </c>
      <c r="K106" s="30">
        <v>37807</v>
      </c>
      <c r="L106" s="30">
        <v>37481</v>
      </c>
      <c r="M106" s="30">
        <v>37995</v>
      </c>
      <c r="N106" s="30">
        <v>38837</v>
      </c>
      <c r="O106" s="24" t="str">
        <f t="shared" si="3"/>
        <v>Graham County, Arizona</v>
      </c>
    </row>
    <row r="107" spans="1:15" x14ac:dyDescent="0.25">
      <c r="A107" s="35" t="s">
        <v>583</v>
      </c>
      <c r="B107" s="28" t="str">
        <f t="shared" si="2"/>
        <v>Greenlee</v>
      </c>
      <c r="C107" s="30">
        <v>8437</v>
      </c>
      <c r="D107" s="30">
        <v>8444</v>
      </c>
      <c r="E107" s="30">
        <v>8339</v>
      </c>
      <c r="F107" s="30">
        <v>8585</v>
      </c>
      <c r="G107" s="30">
        <v>8764</v>
      </c>
      <c r="H107" s="30">
        <v>8916</v>
      </c>
      <c r="I107" s="30">
        <v>9349</v>
      </c>
      <c r="J107" s="30">
        <v>9577</v>
      </c>
      <c r="K107" s="30">
        <v>9643</v>
      </c>
      <c r="L107" s="30">
        <v>9443</v>
      </c>
      <c r="M107" s="30">
        <v>9448</v>
      </c>
      <c r="N107" s="30">
        <v>9498</v>
      </c>
      <c r="O107" s="24" t="str">
        <f t="shared" si="3"/>
        <v>Greenlee County, Arizona</v>
      </c>
    </row>
    <row r="108" spans="1:15" x14ac:dyDescent="0.25">
      <c r="A108" s="35" t="s">
        <v>584</v>
      </c>
      <c r="B108" s="28" t="str">
        <f t="shared" si="2"/>
        <v>La Paz</v>
      </c>
      <c r="C108" s="30">
        <v>20489</v>
      </c>
      <c r="D108" s="30">
        <v>20489</v>
      </c>
      <c r="E108" s="30">
        <v>20497</v>
      </c>
      <c r="F108" s="30">
        <v>20604</v>
      </c>
      <c r="G108" s="30">
        <v>20521</v>
      </c>
      <c r="H108" s="30">
        <v>20522</v>
      </c>
      <c r="I108" s="30">
        <v>20516</v>
      </c>
      <c r="J108" s="30">
        <v>20466</v>
      </c>
      <c r="K108" s="30">
        <v>20648</v>
      </c>
      <c r="L108" s="30">
        <v>20706</v>
      </c>
      <c r="M108" s="30">
        <v>21039</v>
      </c>
      <c r="N108" s="30">
        <v>21108</v>
      </c>
      <c r="O108" s="24" t="str">
        <f t="shared" si="3"/>
        <v>La Paz County, Arizona</v>
      </c>
    </row>
    <row r="109" spans="1:15" x14ac:dyDescent="0.25">
      <c r="A109" s="35" t="s">
        <v>585</v>
      </c>
      <c r="B109" s="28" t="str">
        <f t="shared" si="2"/>
        <v>Maricopa</v>
      </c>
      <c r="C109" s="30">
        <v>3817117</v>
      </c>
      <c r="D109" s="30">
        <v>3817365</v>
      </c>
      <c r="E109" s="30">
        <v>3825110</v>
      </c>
      <c r="F109" s="30">
        <v>3874996</v>
      </c>
      <c r="G109" s="30">
        <v>3947505</v>
      </c>
      <c r="H109" s="30">
        <v>4017723</v>
      </c>
      <c r="I109" s="30">
        <v>4093648</v>
      </c>
      <c r="J109" s="30">
        <v>4172905</v>
      </c>
      <c r="K109" s="30">
        <v>4256143</v>
      </c>
      <c r="L109" s="30">
        <v>4327184</v>
      </c>
      <c r="M109" s="30">
        <v>4402403</v>
      </c>
      <c r="N109" s="30">
        <v>4485414</v>
      </c>
      <c r="O109" s="24" t="str">
        <f t="shared" si="3"/>
        <v>Maricopa County, Arizona</v>
      </c>
    </row>
    <row r="110" spans="1:15" x14ac:dyDescent="0.25">
      <c r="A110" s="35" t="s">
        <v>586</v>
      </c>
      <c r="B110" s="28" t="str">
        <f t="shared" si="2"/>
        <v>Mohave</v>
      </c>
      <c r="C110" s="30">
        <v>200186</v>
      </c>
      <c r="D110" s="30">
        <v>200182</v>
      </c>
      <c r="E110" s="30">
        <v>200314</v>
      </c>
      <c r="F110" s="30">
        <v>202812</v>
      </c>
      <c r="G110" s="30">
        <v>203347</v>
      </c>
      <c r="H110" s="30">
        <v>203126</v>
      </c>
      <c r="I110" s="30">
        <v>203423</v>
      </c>
      <c r="J110" s="30">
        <v>204574</v>
      </c>
      <c r="K110" s="30">
        <v>205412</v>
      </c>
      <c r="L110" s="30">
        <v>207017</v>
      </c>
      <c r="M110" s="30">
        <v>209292</v>
      </c>
      <c r="N110" s="30">
        <v>212181</v>
      </c>
      <c r="O110" s="24" t="str">
        <f t="shared" si="3"/>
        <v>Mohave County, Arizona</v>
      </c>
    </row>
    <row r="111" spans="1:15" x14ac:dyDescent="0.25">
      <c r="A111" s="35" t="s">
        <v>587</v>
      </c>
      <c r="B111" s="28" t="str">
        <f t="shared" si="2"/>
        <v>Navajo</v>
      </c>
      <c r="C111" s="30">
        <v>107449</v>
      </c>
      <c r="D111" s="30">
        <v>107488</v>
      </c>
      <c r="E111" s="30">
        <v>107697</v>
      </c>
      <c r="F111" s="30">
        <v>107552</v>
      </c>
      <c r="G111" s="30">
        <v>107313</v>
      </c>
      <c r="H111" s="30">
        <v>107135</v>
      </c>
      <c r="I111" s="30">
        <v>107701</v>
      </c>
      <c r="J111" s="30">
        <v>107638</v>
      </c>
      <c r="K111" s="30">
        <v>108467</v>
      </c>
      <c r="L111" s="30">
        <v>109079</v>
      </c>
      <c r="M111" s="30">
        <v>110242</v>
      </c>
      <c r="N111" s="30">
        <v>110924</v>
      </c>
      <c r="O111" s="24" t="str">
        <f t="shared" si="3"/>
        <v>Navajo County, Arizona</v>
      </c>
    </row>
    <row r="112" spans="1:15" x14ac:dyDescent="0.25">
      <c r="A112" s="35" t="s">
        <v>588</v>
      </c>
      <c r="B112" s="28" t="str">
        <f t="shared" si="2"/>
        <v>Pima</v>
      </c>
      <c r="C112" s="30">
        <v>980263</v>
      </c>
      <c r="D112" s="30">
        <v>980263</v>
      </c>
      <c r="E112" s="30">
        <v>981620</v>
      </c>
      <c r="F112" s="30">
        <v>988381</v>
      </c>
      <c r="G112" s="30">
        <v>993052</v>
      </c>
      <c r="H112" s="30">
        <v>997127</v>
      </c>
      <c r="I112" s="30">
        <v>1004229</v>
      </c>
      <c r="J112" s="30">
        <v>1009103</v>
      </c>
      <c r="K112" s="30">
        <v>1016707</v>
      </c>
      <c r="L112" s="30">
        <v>1026391</v>
      </c>
      <c r="M112" s="30">
        <v>1036554</v>
      </c>
      <c r="N112" s="30">
        <v>1047279</v>
      </c>
      <c r="O112" s="24" t="str">
        <f t="shared" si="3"/>
        <v>Pima County, Arizona</v>
      </c>
    </row>
    <row r="113" spans="1:15" x14ac:dyDescent="0.25">
      <c r="A113" s="35" t="s">
        <v>589</v>
      </c>
      <c r="B113" s="28" t="str">
        <f t="shared" si="2"/>
        <v>Pinal</v>
      </c>
      <c r="C113" s="30">
        <v>375770</v>
      </c>
      <c r="D113" s="30">
        <v>375764</v>
      </c>
      <c r="E113" s="30">
        <v>379094</v>
      </c>
      <c r="F113" s="30">
        <v>378041</v>
      </c>
      <c r="G113" s="30">
        <v>382251</v>
      </c>
      <c r="H113" s="30">
        <v>385398</v>
      </c>
      <c r="I113" s="30">
        <v>395322</v>
      </c>
      <c r="J113" s="30">
        <v>405614</v>
      </c>
      <c r="K113" s="30">
        <v>417193</v>
      </c>
      <c r="L113" s="30">
        <v>431564</v>
      </c>
      <c r="M113" s="30">
        <v>446806</v>
      </c>
      <c r="N113" s="30">
        <v>462789</v>
      </c>
      <c r="O113" s="24" t="str">
        <f t="shared" si="3"/>
        <v>Pinal County, Arizona</v>
      </c>
    </row>
    <row r="114" spans="1:15" x14ac:dyDescent="0.25">
      <c r="A114" s="35" t="s">
        <v>590</v>
      </c>
      <c r="B114" s="28" t="str">
        <f t="shared" si="2"/>
        <v>Santa Cruz</v>
      </c>
      <c r="C114" s="30">
        <v>47420</v>
      </c>
      <c r="D114" s="30">
        <v>47420</v>
      </c>
      <c r="E114" s="30">
        <v>47415</v>
      </c>
      <c r="F114" s="30">
        <v>47667</v>
      </c>
      <c r="G114" s="30">
        <v>47359</v>
      </c>
      <c r="H114" s="30">
        <v>46939</v>
      </c>
      <c r="I114" s="30">
        <v>46636</v>
      </c>
      <c r="J114" s="30">
        <v>46542</v>
      </c>
      <c r="K114" s="30">
        <v>46400</v>
      </c>
      <c r="L114" s="30">
        <v>46566</v>
      </c>
      <c r="M114" s="30">
        <v>46395</v>
      </c>
      <c r="N114" s="30">
        <v>46498</v>
      </c>
      <c r="O114" s="24" t="str">
        <f t="shared" si="3"/>
        <v>Santa Cruz County, Arizona</v>
      </c>
    </row>
    <row r="115" spans="1:15" x14ac:dyDescent="0.25">
      <c r="A115" s="35" t="s">
        <v>591</v>
      </c>
      <c r="B115" s="28" t="str">
        <f t="shared" si="2"/>
        <v>Yavapai</v>
      </c>
      <c r="C115" s="30">
        <v>211033</v>
      </c>
      <c r="D115" s="30">
        <v>211017</v>
      </c>
      <c r="E115" s="30">
        <v>210983</v>
      </c>
      <c r="F115" s="30">
        <v>211044</v>
      </c>
      <c r="G115" s="30">
        <v>211990</v>
      </c>
      <c r="H115" s="30">
        <v>214421</v>
      </c>
      <c r="I115" s="30">
        <v>217716</v>
      </c>
      <c r="J115" s="30">
        <v>220805</v>
      </c>
      <c r="K115" s="30">
        <v>224575</v>
      </c>
      <c r="L115" s="30">
        <v>228082</v>
      </c>
      <c r="M115" s="30">
        <v>231772</v>
      </c>
      <c r="N115" s="30">
        <v>235099</v>
      </c>
      <c r="O115" s="24" t="str">
        <f t="shared" si="3"/>
        <v>Yavapai County, Arizona</v>
      </c>
    </row>
    <row r="116" spans="1:15" x14ac:dyDescent="0.25">
      <c r="A116" s="35" t="s">
        <v>592</v>
      </c>
      <c r="B116" s="28" t="str">
        <f t="shared" si="2"/>
        <v>Yuma</v>
      </c>
      <c r="C116" s="30">
        <v>195751</v>
      </c>
      <c r="D116" s="30">
        <v>195750</v>
      </c>
      <c r="E116" s="30">
        <v>197127</v>
      </c>
      <c r="F116" s="30">
        <v>202841</v>
      </c>
      <c r="G116" s="30">
        <v>202475</v>
      </c>
      <c r="H116" s="30">
        <v>202420</v>
      </c>
      <c r="I116" s="30">
        <v>204054</v>
      </c>
      <c r="J116" s="30">
        <v>205186</v>
      </c>
      <c r="K116" s="30">
        <v>207247</v>
      </c>
      <c r="L116" s="30">
        <v>209507</v>
      </c>
      <c r="M116" s="30">
        <v>211612</v>
      </c>
      <c r="N116" s="30">
        <v>213787</v>
      </c>
      <c r="O116" s="24" t="str">
        <f t="shared" si="3"/>
        <v>Yuma County, Arizona</v>
      </c>
    </row>
    <row r="117" spans="1:15" x14ac:dyDescent="0.25">
      <c r="A117" s="35" t="s">
        <v>593</v>
      </c>
      <c r="B117" s="28" t="str">
        <f t="shared" si="2"/>
        <v>Arkansas</v>
      </c>
      <c r="C117" s="30">
        <v>19019</v>
      </c>
      <c r="D117" s="30">
        <v>19007</v>
      </c>
      <c r="E117" s="30">
        <v>19009</v>
      </c>
      <c r="F117" s="30">
        <v>18871</v>
      </c>
      <c r="G117" s="30">
        <v>18964</v>
      </c>
      <c r="H117" s="30">
        <v>18755</v>
      </c>
      <c r="I117" s="30">
        <v>18479</v>
      </c>
      <c r="J117" s="30">
        <v>18330</v>
      </c>
      <c r="K117" s="30">
        <v>18154</v>
      </c>
      <c r="L117" s="30">
        <v>17872</v>
      </c>
      <c r="M117" s="30">
        <v>17726</v>
      </c>
      <c r="N117" s="30">
        <v>17486</v>
      </c>
      <c r="O117" s="24" t="str">
        <f t="shared" si="3"/>
        <v>Arkansas County, Arkansas</v>
      </c>
    </row>
    <row r="118" spans="1:15" x14ac:dyDescent="0.25">
      <c r="A118" s="35" t="s">
        <v>594</v>
      </c>
      <c r="B118" s="28" t="str">
        <f t="shared" si="2"/>
        <v>Ashley</v>
      </c>
      <c r="C118" s="30">
        <v>21853</v>
      </c>
      <c r="D118" s="30">
        <v>21845</v>
      </c>
      <c r="E118" s="30">
        <v>21829</v>
      </c>
      <c r="F118" s="30">
        <v>21673</v>
      </c>
      <c r="G118" s="30">
        <v>21515</v>
      </c>
      <c r="H118" s="30">
        <v>21278</v>
      </c>
      <c r="I118" s="30">
        <v>20956</v>
      </c>
      <c r="J118" s="30">
        <v>20838</v>
      </c>
      <c r="K118" s="30">
        <v>20530</v>
      </c>
      <c r="L118" s="30">
        <v>20311</v>
      </c>
      <c r="M118" s="30">
        <v>20012</v>
      </c>
      <c r="N118" s="30">
        <v>19657</v>
      </c>
      <c r="O118" s="24" t="str">
        <f t="shared" si="3"/>
        <v>Ashley County, Arkansas</v>
      </c>
    </row>
    <row r="119" spans="1:15" x14ac:dyDescent="0.25">
      <c r="A119" s="35" t="s">
        <v>595</v>
      </c>
      <c r="B119" s="28" t="str">
        <f t="shared" si="2"/>
        <v>Baxter</v>
      </c>
      <c r="C119" s="30">
        <v>41513</v>
      </c>
      <c r="D119" s="30">
        <v>41511</v>
      </c>
      <c r="E119" s="30">
        <v>41510</v>
      </c>
      <c r="F119" s="30">
        <v>41349</v>
      </c>
      <c r="G119" s="30">
        <v>41080</v>
      </c>
      <c r="H119" s="30">
        <v>40983</v>
      </c>
      <c r="I119" s="30">
        <v>40888</v>
      </c>
      <c r="J119" s="30">
        <v>41138</v>
      </c>
      <c r="K119" s="30">
        <v>41131</v>
      </c>
      <c r="L119" s="30">
        <v>41308</v>
      </c>
      <c r="M119" s="30">
        <v>41624</v>
      </c>
      <c r="N119" s="30">
        <v>41932</v>
      </c>
      <c r="O119" s="24" t="str">
        <f t="shared" si="3"/>
        <v>Baxter County, Arkansas</v>
      </c>
    </row>
    <row r="120" spans="1:15" x14ac:dyDescent="0.25">
      <c r="A120" s="35" t="s">
        <v>596</v>
      </c>
      <c r="B120" s="28" t="str">
        <f t="shared" si="2"/>
        <v>Benton</v>
      </c>
      <c r="C120" s="30">
        <v>221339</v>
      </c>
      <c r="D120" s="30">
        <v>221348</v>
      </c>
      <c r="E120" s="30">
        <v>222593</v>
      </c>
      <c r="F120" s="30">
        <v>229171</v>
      </c>
      <c r="G120" s="30">
        <v>234938</v>
      </c>
      <c r="H120" s="30">
        <v>239461</v>
      </c>
      <c r="I120" s="30">
        <v>244841</v>
      </c>
      <c r="J120" s="30">
        <v>251591</v>
      </c>
      <c r="K120" s="30">
        <v>259212</v>
      </c>
      <c r="L120" s="30">
        <v>266585</v>
      </c>
      <c r="M120" s="30">
        <v>272266</v>
      </c>
      <c r="N120" s="30">
        <v>279141</v>
      </c>
      <c r="O120" s="24" t="str">
        <f t="shared" si="3"/>
        <v>Benton County, Arkansas</v>
      </c>
    </row>
    <row r="121" spans="1:15" x14ac:dyDescent="0.25">
      <c r="A121" s="35" t="s">
        <v>597</v>
      </c>
      <c r="B121" s="28" t="str">
        <f t="shared" si="2"/>
        <v>Boone</v>
      </c>
      <c r="C121" s="30">
        <v>36903</v>
      </c>
      <c r="D121" s="30">
        <v>36920</v>
      </c>
      <c r="E121" s="30">
        <v>36893</v>
      </c>
      <c r="F121" s="30">
        <v>37086</v>
      </c>
      <c r="G121" s="30">
        <v>37333</v>
      </c>
      <c r="H121" s="30">
        <v>37328</v>
      </c>
      <c r="I121" s="30">
        <v>37116</v>
      </c>
      <c r="J121" s="30">
        <v>37119</v>
      </c>
      <c r="K121" s="30">
        <v>37259</v>
      </c>
      <c r="L121" s="30">
        <v>37459</v>
      </c>
      <c r="M121" s="30">
        <v>37385</v>
      </c>
      <c r="N121" s="30">
        <v>37432</v>
      </c>
      <c r="O121" s="24" t="str">
        <f t="shared" si="3"/>
        <v>Boone County, Arkansas</v>
      </c>
    </row>
    <row r="122" spans="1:15" x14ac:dyDescent="0.25">
      <c r="A122" s="35" t="s">
        <v>598</v>
      </c>
      <c r="B122" s="28" t="str">
        <f t="shared" si="2"/>
        <v>Bradley</v>
      </c>
      <c r="C122" s="30">
        <v>11508</v>
      </c>
      <c r="D122" s="30">
        <v>11505</v>
      </c>
      <c r="E122" s="30">
        <v>11470</v>
      </c>
      <c r="F122" s="30">
        <v>11432</v>
      </c>
      <c r="G122" s="30">
        <v>11266</v>
      </c>
      <c r="H122" s="30">
        <v>11120</v>
      </c>
      <c r="I122" s="30">
        <v>11007</v>
      </c>
      <c r="J122" s="30">
        <v>10999</v>
      </c>
      <c r="K122" s="30">
        <v>10959</v>
      </c>
      <c r="L122" s="30">
        <v>10813</v>
      </c>
      <c r="M122" s="30">
        <v>10838</v>
      </c>
      <c r="N122" s="30">
        <v>10763</v>
      </c>
      <c r="O122" s="24" t="str">
        <f t="shared" si="3"/>
        <v>Bradley County, Arkansas</v>
      </c>
    </row>
    <row r="123" spans="1:15" x14ac:dyDescent="0.25">
      <c r="A123" s="35" t="s">
        <v>599</v>
      </c>
      <c r="B123" s="28" t="str">
        <f t="shared" si="2"/>
        <v>Calhoun</v>
      </c>
      <c r="C123" s="30">
        <v>5368</v>
      </c>
      <c r="D123" s="30">
        <v>5368</v>
      </c>
      <c r="E123" s="30">
        <v>5362</v>
      </c>
      <c r="F123" s="30">
        <v>5243</v>
      </c>
      <c r="G123" s="30">
        <v>5278</v>
      </c>
      <c r="H123" s="30">
        <v>5192</v>
      </c>
      <c r="I123" s="30">
        <v>5167</v>
      </c>
      <c r="J123" s="30">
        <v>5200</v>
      </c>
      <c r="K123" s="30">
        <v>5143</v>
      </c>
      <c r="L123" s="30">
        <v>5201</v>
      </c>
      <c r="M123" s="30">
        <v>5227</v>
      </c>
      <c r="N123" s="30">
        <v>5189</v>
      </c>
      <c r="O123" s="24" t="str">
        <f t="shared" si="3"/>
        <v>Calhoun County, Arkansas</v>
      </c>
    </row>
    <row r="124" spans="1:15" x14ac:dyDescent="0.25">
      <c r="A124" s="35" t="s">
        <v>600</v>
      </c>
      <c r="B124" s="28" t="str">
        <f t="shared" si="2"/>
        <v>Carroll</v>
      </c>
      <c r="C124" s="30">
        <v>27446</v>
      </c>
      <c r="D124" s="30">
        <v>27449</v>
      </c>
      <c r="E124" s="30">
        <v>27553</v>
      </c>
      <c r="F124" s="30">
        <v>27466</v>
      </c>
      <c r="G124" s="30">
        <v>27623</v>
      </c>
      <c r="H124" s="30">
        <v>27791</v>
      </c>
      <c r="I124" s="30">
        <v>27734</v>
      </c>
      <c r="J124" s="30">
        <v>27755</v>
      </c>
      <c r="K124" s="30">
        <v>27728</v>
      </c>
      <c r="L124" s="30">
        <v>27865</v>
      </c>
      <c r="M124" s="30">
        <v>28097</v>
      </c>
      <c r="N124" s="30">
        <v>28380</v>
      </c>
      <c r="O124" s="24" t="str">
        <f t="shared" si="3"/>
        <v>Carroll County, Arkansas</v>
      </c>
    </row>
    <row r="125" spans="1:15" x14ac:dyDescent="0.25">
      <c r="A125" s="35" t="s">
        <v>601</v>
      </c>
      <c r="B125" s="28" t="str">
        <f t="shared" si="2"/>
        <v>Chicot</v>
      </c>
      <c r="C125" s="30">
        <v>11800</v>
      </c>
      <c r="D125" s="30">
        <v>11800</v>
      </c>
      <c r="E125" s="30">
        <v>11799</v>
      </c>
      <c r="F125" s="30">
        <v>11703</v>
      </c>
      <c r="G125" s="30">
        <v>11498</v>
      </c>
      <c r="H125" s="30">
        <v>11362</v>
      </c>
      <c r="I125" s="30">
        <v>11211</v>
      </c>
      <c r="J125" s="30">
        <v>10970</v>
      </c>
      <c r="K125" s="30">
        <v>10899</v>
      </c>
      <c r="L125" s="30">
        <v>10647</v>
      </c>
      <c r="M125" s="30">
        <v>10442</v>
      </c>
      <c r="N125" s="30">
        <v>10118</v>
      </c>
      <c r="O125" s="24" t="str">
        <f t="shared" si="3"/>
        <v>Chicot County, Arkansas</v>
      </c>
    </row>
    <row r="126" spans="1:15" x14ac:dyDescent="0.25">
      <c r="A126" s="35" t="s">
        <v>602</v>
      </c>
      <c r="B126" s="28" t="str">
        <f t="shared" si="2"/>
        <v>Clark</v>
      </c>
      <c r="C126" s="30">
        <v>22995</v>
      </c>
      <c r="D126" s="30">
        <v>22991</v>
      </c>
      <c r="E126" s="30">
        <v>22925</v>
      </c>
      <c r="F126" s="30">
        <v>22928</v>
      </c>
      <c r="G126" s="30">
        <v>22755</v>
      </c>
      <c r="H126" s="30">
        <v>22582</v>
      </c>
      <c r="I126" s="30">
        <v>22557</v>
      </c>
      <c r="J126" s="30">
        <v>22513</v>
      </c>
      <c r="K126" s="30">
        <v>22602</v>
      </c>
      <c r="L126" s="30">
        <v>22184</v>
      </c>
      <c r="M126" s="30">
        <v>22313</v>
      </c>
      <c r="N126" s="30">
        <v>22320</v>
      </c>
      <c r="O126" s="24" t="str">
        <f t="shared" si="3"/>
        <v>Clark County, Arkansas</v>
      </c>
    </row>
    <row r="127" spans="1:15" x14ac:dyDescent="0.25">
      <c r="A127" s="35" t="s">
        <v>603</v>
      </c>
      <c r="B127" s="28" t="str">
        <f t="shared" si="2"/>
        <v>Clay</v>
      </c>
      <c r="C127" s="30">
        <v>16083</v>
      </c>
      <c r="D127" s="30">
        <v>16083</v>
      </c>
      <c r="E127" s="30">
        <v>16050</v>
      </c>
      <c r="F127" s="30">
        <v>15876</v>
      </c>
      <c r="G127" s="30">
        <v>15710</v>
      </c>
      <c r="H127" s="30">
        <v>15484</v>
      </c>
      <c r="I127" s="30">
        <v>15299</v>
      </c>
      <c r="J127" s="30">
        <v>15206</v>
      </c>
      <c r="K127" s="30">
        <v>15060</v>
      </c>
      <c r="L127" s="30">
        <v>14865</v>
      </c>
      <c r="M127" s="30">
        <v>14763</v>
      </c>
      <c r="N127" s="30">
        <v>14551</v>
      </c>
      <c r="O127" s="24" t="str">
        <f t="shared" si="3"/>
        <v>Clay County, Arkansas</v>
      </c>
    </row>
    <row r="128" spans="1:15" x14ac:dyDescent="0.25">
      <c r="A128" s="35" t="s">
        <v>604</v>
      </c>
      <c r="B128" s="28" t="str">
        <f t="shared" si="2"/>
        <v>Cleburne</v>
      </c>
      <c r="C128" s="30">
        <v>25970</v>
      </c>
      <c r="D128" s="30">
        <v>25964</v>
      </c>
      <c r="E128" s="30">
        <v>25986</v>
      </c>
      <c r="F128" s="30">
        <v>25875</v>
      </c>
      <c r="G128" s="30">
        <v>25763</v>
      </c>
      <c r="H128" s="30">
        <v>25625</v>
      </c>
      <c r="I128" s="30">
        <v>25591</v>
      </c>
      <c r="J128" s="30">
        <v>25355</v>
      </c>
      <c r="K128" s="30">
        <v>25173</v>
      </c>
      <c r="L128" s="30">
        <v>25059</v>
      </c>
      <c r="M128" s="30">
        <v>24994</v>
      </c>
      <c r="N128" s="30">
        <v>24919</v>
      </c>
      <c r="O128" s="24" t="str">
        <f t="shared" si="3"/>
        <v>Cleburne County, Arkansas</v>
      </c>
    </row>
    <row r="129" spans="1:15" x14ac:dyDescent="0.25">
      <c r="A129" s="35" t="s">
        <v>605</v>
      </c>
      <c r="B129" s="28" t="str">
        <f t="shared" si="2"/>
        <v>Cleveland</v>
      </c>
      <c r="C129" s="30">
        <v>8689</v>
      </c>
      <c r="D129" s="30">
        <v>8692</v>
      </c>
      <c r="E129" s="30">
        <v>8677</v>
      </c>
      <c r="F129" s="30">
        <v>8674</v>
      </c>
      <c r="G129" s="30">
        <v>8609</v>
      </c>
      <c r="H129" s="30">
        <v>8515</v>
      </c>
      <c r="I129" s="30">
        <v>8399</v>
      </c>
      <c r="J129" s="30">
        <v>8284</v>
      </c>
      <c r="K129" s="30">
        <v>8245</v>
      </c>
      <c r="L129" s="30">
        <v>8162</v>
      </c>
      <c r="M129" s="30">
        <v>7995</v>
      </c>
      <c r="N129" s="30">
        <v>7956</v>
      </c>
      <c r="O129" s="24" t="str">
        <f t="shared" si="3"/>
        <v>Cleveland County, Arkansas</v>
      </c>
    </row>
    <row r="130" spans="1:15" x14ac:dyDescent="0.25">
      <c r="A130" s="35" t="s">
        <v>606</v>
      </c>
      <c r="B130" s="28" t="str">
        <f t="shared" si="2"/>
        <v>Columbia</v>
      </c>
      <c r="C130" s="30">
        <v>24552</v>
      </c>
      <c r="D130" s="30">
        <v>24552</v>
      </c>
      <c r="E130" s="30">
        <v>24723</v>
      </c>
      <c r="F130" s="30">
        <v>24709</v>
      </c>
      <c r="G130" s="30">
        <v>24413</v>
      </c>
      <c r="H130" s="30">
        <v>24284</v>
      </c>
      <c r="I130" s="30">
        <v>24049</v>
      </c>
      <c r="J130" s="30">
        <v>24115</v>
      </c>
      <c r="K130" s="30">
        <v>24026</v>
      </c>
      <c r="L130" s="30">
        <v>23695</v>
      </c>
      <c r="M130" s="30">
        <v>23586</v>
      </c>
      <c r="N130" s="30">
        <v>23457</v>
      </c>
      <c r="O130" s="24" t="str">
        <f t="shared" si="3"/>
        <v>Columbia County, Arkansas</v>
      </c>
    </row>
    <row r="131" spans="1:15" x14ac:dyDescent="0.25">
      <c r="A131" s="35" t="s">
        <v>607</v>
      </c>
      <c r="B131" s="28" t="str">
        <f t="shared" si="2"/>
        <v>Conway</v>
      </c>
      <c r="C131" s="30">
        <v>21273</v>
      </c>
      <c r="D131" s="30">
        <v>21267</v>
      </c>
      <c r="E131" s="30">
        <v>21219</v>
      </c>
      <c r="F131" s="30">
        <v>21128</v>
      </c>
      <c r="G131" s="30">
        <v>21141</v>
      </c>
      <c r="H131" s="30">
        <v>21088</v>
      </c>
      <c r="I131" s="30">
        <v>20995</v>
      </c>
      <c r="J131" s="30">
        <v>20936</v>
      </c>
      <c r="K131" s="30">
        <v>20874</v>
      </c>
      <c r="L131" s="30">
        <v>20810</v>
      </c>
      <c r="M131" s="30">
        <v>20825</v>
      </c>
      <c r="N131" s="30">
        <v>20846</v>
      </c>
      <c r="O131" s="24" t="str">
        <f t="shared" si="3"/>
        <v>Conway County, Arkansas</v>
      </c>
    </row>
    <row r="132" spans="1:15" x14ac:dyDescent="0.25">
      <c r="A132" s="35" t="s">
        <v>608</v>
      </c>
      <c r="B132" s="28" t="str">
        <f t="shared" si="2"/>
        <v>Craighead</v>
      </c>
      <c r="C132" s="30">
        <v>96443</v>
      </c>
      <c r="D132" s="30">
        <v>96443</v>
      </c>
      <c r="E132" s="30">
        <v>96748</v>
      </c>
      <c r="F132" s="30">
        <v>98405</v>
      </c>
      <c r="G132" s="30">
        <v>99993</v>
      </c>
      <c r="H132" s="30">
        <v>101653</v>
      </c>
      <c r="I132" s="30">
        <v>102661</v>
      </c>
      <c r="J132" s="30">
        <v>104457</v>
      </c>
      <c r="K132" s="30">
        <v>105932</v>
      </c>
      <c r="L132" s="30">
        <v>107188</v>
      </c>
      <c r="M132" s="30">
        <v>108816</v>
      </c>
      <c r="N132" s="30">
        <v>110332</v>
      </c>
      <c r="O132" s="24" t="str">
        <f t="shared" si="3"/>
        <v>Craighead County, Arkansas</v>
      </c>
    </row>
    <row r="133" spans="1:15" x14ac:dyDescent="0.25">
      <c r="A133" s="35" t="s">
        <v>609</v>
      </c>
      <c r="B133" s="28" t="str">
        <f t="shared" si="2"/>
        <v>Crawford</v>
      </c>
      <c r="C133" s="30">
        <v>61948</v>
      </c>
      <c r="D133" s="30">
        <v>61935</v>
      </c>
      <c r="E133" s="30">
        <v>61956</v>
      </c>
      <c r="F133" s="30">
        <v>61796</v>
      </c>
      <c r="G133" s="30">
        <v>61911</v>
      </c>
      <c r="H133" s="30">
        <v>61667</v>
      </c>
      <c r="I133" s="30">
        <v>61807</v>
      </c>
      <c r="J133" s="30">
        <v>61904</v>
      </c>
      <c r="K133" s="30">
        <v>62263</v>
      </c>
      <c r="L133" s="30">
        <v>62894</v>
      </c>
      <c r="M133" s="30">
        <v>63379</v>
      </c>
      <c r="N133" s="30">
        <v>63257</v>
      </c>
      <c r="O133" s="24" t="str">
        <f t="shared" si="3"/>
        <v>Crawford County, Arkansas</v>
      </c>
    </row>
    <row r="134" spans="1:15" x14ac:dyDescent="0.25">
      <c r="A134" s="35" t="s">
        <v>610</v>
      </c>
      <c r="B134" s="28" t="str">
        <f t="shared" si="2"/>
        <v>Crittenden</v>
      </c>
      <c r="C134" s="30">
        <v>50902</v>
      </c>
      <c r="D134" s="30">
        <v>50907</v>
      </c>
      <c r="E134" s="30">
        <v>50958</v>
      </c>
      <c r="F134" s="30">
        <v>50517</v>
      </c>
      <c r="G134" s="30">
        <v>50077</v>
      </c>
      <c r="H134" s="30">
        <v>49739</v>
      </c>
      <c r="I134" s="30">
        <v>49536</v>
      </c>
      <c r="J134" s="30">
        <v>49019</v>
      </c>
      <c r="K134" s="30">
        <v>49306</v>
      </c>
      <c r="L134" s="30">
        <v>48716</v>
      </c>
      <c r="M134" s="30">
        <v>48363</v>
      </c>
      <c r="N134" s="30">
        <v>47955</v>
      </c>
      <c r="O134" s="24" t="str">
        <f t="shared" si="3"/>
        <v>Crittenden County, Arkansas</v>
      </c>
    </row>
    <row r="135" spans="1:15" x14ac:dyDescent="0.25">
      <c r="A135" s="35" t="s">
        <v>611</v>
      </c>
      <c r="B135" s="28" t="str">
        <f t="shared" ref="B135:B198" si="4">LEFT(A135,FIND("County",A135,1)-2)</f>
        <v>Cross</v>
      </c>
      <c r="C135" s="30">
        <v>17870</v>
      </c>
      <c r="D135" s="30">
        <v>17878</v>
      </c>
      <c r="E135" s="30">
        <v>17862</v>
      </c>
      <c r="F135" s="30">
        <v>17809</v>
      </c>
      <c r="G135" s="30">
        <v>17703</v>
      </c>
      <c r="H135" s="30">
        <v>17521</v>
      </c>
      <c r="I135" s="30">
        <v>17181</v>
      </c>
      <c r="J135" s="30">
        <v>17255</v>
      </c>
      <c r="K135" s="30">
        <v>17025</v>
      </c>
      <c r="L135" s="30">
        <v>16792</v>
      </c>
      <c r="M135" s="30">
        <v>16630</v>
      </c>
      <c r="N135" s="30">
        <v>16419</v>
      </c>
      <c r="O135" s="24" t="str">
        <f t="shared" ref="O135:O198" si="5">A135</f>
        <v>Cross County, Arkansas</v>
      </c>
    </row>
    <row r="136" spans="1:15" x14ac:dyDescent="0.25">
      <c r="A136" s="35" t="s">
        <v>612</v>
      </c>
      <c r="B136" s="28" t="str">
        <f t="shared" si="4"/>
        <v>Dallas</v>
      </c>
      <c r="C136" s="30">
        <v>8116</v>
      </c>
      <c r="D136" s="30">
        <v>8124</v>
      </c>
      <c r="E136" s="30">
        <v>8066</v>
      </c>
      <c r="F136" s="30">
        <v>8056</v>
      </c>
      <c r="G136" s="30">
        <v>7952</v>
      </c>
      <c r="H136" s="30">
        <v>7892</v>
      </c>
      <c r="I136" s="30">
        <v>7691</v>
      </c>
      <c r="J136" s="30">
        <v>7530</v>
      </c>
      <c r="K136" s="30">
        <v>7399</v>
      </c>
      <c r="L136" s="30">
        <v>7307</v>
      </c>
      <c r="M136" s="30">
        <v>7152</v>
      </c>
      <c r="N136" s="30">
        <v>7009</v>
      </c>
      <c r="O136" s="24" t="str">
        <f t="shared" si="5"/>
        <v>Dallas County, Arkansas</v>
      </c>
    </row>
    <row r="137" spans="1:15" x14ac:dyDescent="0.25">
      <c r="A137" s="35" t="s">
        <v>613</v>
      </c>
      <c r="B137" s="28" t="str">
        <f t="shared" si="4"/>
        <v>Desha</v>
      </c>
      <c r="C137" s="30">
        <v>13008</v>
      </c>
      <c r="D137" s="30">
        <v>13002</v>
      </c>
      <c r="E137" s="30">
        <v>12954</v>
      </c>
      <c r="F137" s="30">
        <v>12731</v>
      </c>
      <c r="G137" s="30">
        <v>12590</v>
      </c>
      <c r="H137" s="30">
        <v>12502</v>
      </c>
      <c r="I137" s="30">
        <v>12270</v>
      </c>
      <c r="J137" s="30">
        <v>12029</v>
      </c>
      <c r="K137" s="30">
        <v>11905</v>
      </c>
      <c r="L137" s="30">
        <v>11743</v>
      </c>
      <c r="M137" s="30">
        <v>11507</v>
      </c>
      <c r="N137" s="30">
        <v>11361</v>
      </c>
      <c r="O137" s="24" t="str">
        <f t="shared" si="5"/>
        <v>Desha County, Arkansas</v>
      </c>
    </row>
    <row r="138" spans="1:15" x14ac:dyDescent="0.25">
      <c r="A138" s="35" t="s">
        <v>614</v>
      </c>
      <c r="B138" s="28" t="str">
        <f t="shared" si="4"/>
        <v>Drew</v>
      </c>
      <c r="C138" s="30">
        <v>18509</v>
      </c>
      <c r="D138" s="30">
        <v>18517</v>
      </c>
      <c r="E138" s="30">
        <v>18666</v>
      </c>
      <c r="F138" s="30">
        <v>18735</v>
      </c>
      <c r="G138" s="30">
        <v>18788</v>
      </c>
      <c r="H138" s="30">
        <v>18686</v>
      </c>
      <c r="I138" s="30">
        <v>18642</v>
      </c>
      <c r="J138" s="30">
        <v>18613</v>
      </c>
      <c r="K138" s="30">
        <v>18553</v>
      </c>
      <c r="L138" s="30">
        <v>18370</v>
      </c>
      <c r="M138" s="30">
        <v>18328</v>
      </c>
      <c r="N138" s="30">
        <v>18219</v>
      </c>
      <c r="O138" s="24" t="str">
        <f t="shared" si="5"/>
        <v>Drew County, Arkansas</v>
      </c>
    </row>
    <row r="139" spans="1:15" x14ac:dyDescent="0.25">
      <c r="A139" s="35" t="s">
        <v>615</v>
      </c>
      <c r="B139" s="28" t="str">
        <f t="shared" si="4"/>
        <v>Faulkner</v>
      </c>
      <c r="C139" s="30">
        <v>113237</v>
      </c>
      <c r="D139" s="30">
        <v>113238</v>
      </c>
      <c r="E139" s="30">
        <v>114026</v>
      </c>
      <c r="F139" s="30">
        <v>116280</v>
      </c>
      <c r="G139" s="30">
        <v>118523</v>
      </c>
      <c r="H139" s="30">
        <v>119176</v>
      </c>
      <c r="I139" s="30">
        <v>120562</v>
      </c>
      <c r="J139" s="30">
        <v>121241</v>
      </c>
      <c r="K139" s="30">
        <v>122206</v>
      </c>
      <c r="L139" s="30">
        <v>123530</v>
      </c>
      <c r="M139" s="30">
        <v>125138</v>
      </c>
      <c r="N139" s="30">
        <v>126007</v>
      </c>
      <c r="O139" s="24" t="str">
        <f t="shared" si="5"/>
        <v>Faulkner County, Arkansas</v>
      </c>
    </row>
    <row r="140" spans="1:15" x14ac:dyDescent="0.25">
      <c r="A140" s="35" t="s">
        <v>616</v>
      </c>
      <c r="B140" s="28" t="str">
        <f t="shared" si="4"/>
        <v>Franklin</v>
      </c>
      <c r="C140" s="30">
        <v>18125</v>
      </c>
      <c r="D140" s="30">
        <v>18137</v>
      </c>
      <c r="E140" s="30">
        <v>18142</v>
      </c>
      <c r="F140" s="30">
        <v>18009</v>
      </c>
      <c r="G140" s="30">
        <v>17959</v>
      </c>
      <c r="H140" s="30">
        <v>17915</v>
      </c>
      <c r="I140" s="30">
        <v>17828</v>
      </c>
      <c r="J140" s="30">
        <v>17749</v>
      </c>
      <c r="K140" s="30">
        <v>17655</v>
      </c>
      <c r="L140" s="30">
        <v>17809</v>
      </c>
      <c r="M140" s="30">
        <v>17764</v>
      </c>
      <c r="N140" s="30">
        <v>17715</v>
      </c>
      <c r="O140" s="24" t="str">
        <f t="shared" si="5"/>
        <v>Franklin County, Arkansas</v>
      </c>
    </row>
    <row r="141" spans="1:15" x14ac:dyDescent="0.25">
      <c r="A141" s="35" t="s">
        <v>617</v>
      </c>
      <c r="B141" s="28" t="str">
        <f t="shared" si="4"/>
        <v>Fulton</v>
      </c>
      <c r="C141" s="30">
        <v>12245</v>
      </c>
      <c r="D141" s="30">
        <v>12236</v>
      </c>
      <c r="E141" s="30">
        <v>12215</v>
      </c>
      <c r="F141" s="30">
        <v>12240</v>
      </c>
      <c r="G141" s="30">
        <v>12169</v>
      </c>
      <c r="H141" s="30">
        <v>12170</v>
      </c>
      <c r="I141" s="30">
        <v>12081</v>
      </c>
      <c r="J141" s="30">
        <v>12138</v>
      </c>
      <c r="K141" s="30">
        <v>12099</v>
      </c>
      <c r="L141" s="30">
        <v>12131</v>
      </c>
      <c r="M141" s="30">
        <v>12308</v>
      </c>
      <c r="N141" s="30">
        <v>12477</v>
      </c>
      <c r="O141" s="24" t="str">
        <f t="shared" si="5"/>
        <v>Fulton County, Arkansas</v>
      </c>
    </row>
    <row r="142" spans="1:15" x14ac:dyDescent="0.25">
      <c r="A142" s="35" t="s">
        <v>618</v>
      </c>
      <c r="B142" s="28" t="str">
        <f t="shared" si="4"/>
        <v>Garland</v>
      </c>
      <c r="C142" s="30">
        <v>96024</v>
      </c>
      <c r="D142" s="30">
        <v>95999</v>
      </c>
      <c r="E142" s="30">
        <v>96067</v>
      </c>
      <c r="F142" s="30">
        <v>96854</v>
      </c>
      <c r="G142" s="30">
        <v>96986</v>
      </c>
      <c r="H142" s="30">
        <v>97654</v>
      </c>
      <c r="I142" s="30">
        <v>97758</v>
      </c>
      <c r="J142" s="30">
        <v>97814</v>
      </c>
      <c r="K142" s="30">
        <v>98282</v>
      </c>
      <c r="L142" s="30">
        <v>98327</v>
      </c>
      <c r="M142" s="30">
        <v>98966</v>
      </c>
      <c r="N142" s="30">
        <v>99386</v>
      </c>
      <c r="O142" s="24" t="str">
        <f t="shared" si="5"/>
        <v>Garland County, Arkansas</v>
      </c>
    </row>
    <row r="143" spans="1:15" x14ac:dyDescent="0.25">
      <c r="A143" s="35" t="s">
        <v>619</v>
      </c>
      <c r="B143" s="28" t="str">
        <f t="shared" si="4"/>
        <v>Grant</v>
      </c>
      <c r="C143" s="30">
        <v>17853</v>
      </c>
      <c r="D143" s="30">
        <v>17842</v>
      </c>
      <c r="E143" s="30">
        <v>17886</v>
      </c>
      <c r="F143" s="30">
        <v>17947</v>
      </c>
      <c r="G143" s="30">
        <v>18038</v>
      </c>
      <c r="H143" s="30">
        <v>18046</v>
      </c>
      <c r="I143" s="30">
        <v>18074</v>
      </c>
      <c r="J143" s="30">
        <v>18016</v>
      </c>
      <c r="K143" s="30">
        <v>18064</v>
      </c>
      <c r="L143" s="30">
        <v>18103</v>
      </c>
      <c r="M143" s="30">
        <v>18180</v>
      </c>
      <c r="N143" s="30">
        <v>18265</v>
      </c>
      <c r="O143" s="24" t="str">
        <f t="shared" si="5"/>
        <v>Grant County, Arkansas</v>
      </c>
    </row>
    <row r="144" spans="1:15" x14ac:dyDescent="0.25">
      <c r="A144" s="35" t="s">
        <v>620</v>
      </c>
      <c r="B144" s="28" t="str">
        <f t="shared" si="4"/>
        <v>Greene</v>
      </c>
      <c r="C144" s="30">
        <v>42090</v>
      </c>
      <c r="D144" s="30">
        <v>42090</v>
      </c>
      <c r="E144" s="30">
        <v>42201</v>
      </c>
      <c r="F144" s="30">
        <v>42763</v>
      </c>
      <c r="G144" s="30">
        <v>43229</v>
      </c>
      <c r="H144" s="30">
        <v>43160</v>
      </c>
      <c r="I144" s="30">
        <v>43788</v>
      </c>
      <c r="J144" s="30">
        <v>44300</v>
      </c>
      <c r="K144" s="30">
        <v>44730</v>
      </c>
      <c r="L144" s="30">
        <v>44993</v>
      </c>
      <c r="M144" s="30">
        <v>45339</v>
      </c>
      <c r="N144" s="30">
        <v>45325</v>
      </c>
      <c r="O144" s="24" t="str">
        <f t="shared" si="5"/>
        <v>Greene County, Arkansas</v>
      </c>
    </row>
    <row r="145" spans="1:15" x14ac:dyDescent="0.25">
      <c r="A145" s="35" t="s">
        <v>621</v>
      </c>
      <c r="B145" s="28" t="str">
        <f t="shared" si="4"/>
        <v>Hempstead</v>
      </c>
      <c r="C145" s="30">
        <v>22609</v>
      </c>
      <c r="D145" s="30">
        <v>22587</v>
      </c>
      <c r="E145" s="30">
        <v>22596</v>
      </c>
      <c r="F145" s="30">
        <v>22488</v>
      </c>
      <c r="G145" s="30">
        <v>22344</v>
      </c>
      <c r="H145" s="30">
        <v>22420</v>
      </c>
      <c r="I145" s="30">
        <v>22326</v>
      </c>
      <c r="J145" s="30">
        <v>22085</v>
      </c>
      <c r="K145" s="30">
        <v>22032</v>
      </c>
      <c r="L145" s="30">
        <v>21876</v>
      </c>
      <c r="M145" s="30">
        <v>21685</v>
      </c>
      <c r="N145" s="30">
        <v>21532</v>
      </c>
      <c r="O145" s="24" t="str">
        <f t="shared" si="5"/>
        <v>Hempstead County, Arkansas</v>
      </c>
    </row>
    <row r="146" spans="1:15" x14ac:dyDescent="0.25">
      <c r="A146" s="35" t="s">
        <v>622</v>
      </c>
      <c r="B146" s="28" t="str">
        <f t="shared" si="4"/>
        <v>Hot Spring</v>
      </c>
      <c r="C146" s="30">
        <v>32923</v>
      </c>
      <c r="D146" s="30">
        <v>33011</v>
      </c>
      <c r="E146" s="30">
        <v>33231</v>
      </c>
      <c r="F146" s="30">
        <v>33142</v>
      </c>
      <c r="G146" s="30">
        <v>33507</v>
      </c>
      <c r="H146" s="30">
        <v>33528</v>
      </c>
      <c r="I146" s="30">
        <v>33409</v>
      </c>
      <c r="J146" s="30">
        <v>33497</v>
      </c>
      <c r="K146" s="30">
        <v>33438</v>
      </c>
      <c r="L146" s="30">
        <v>33606</v>
      </c>
      <c r="M146" s="30">
        <v>33672</v>
      </c>
      <c r="N146" s="30">
        <v>33771</v>
      </c>
      <c r="O146" s="24" t="str">
        <f t="shared" si="5"/>
        <v>Hot Spring County, Arkansas</v>
      </c>
    </row>
    <row r="147" spans="1:15" x14ac:dyDescent="0.25">
      <c r="A147" s="35" t="s">
        <v>623</v>
      </c>
      <c r="B147" s="28" t="str">
        <f t="shared" si="4"/>
        <v>Howard</v>
      </c>
      <c r="C147" s="30">
        <v>13789</v>
      </c>
      <c r="D147" s="30">
        <v>13781</v>
      </c>
      <c r="E147" s="30">
        <v>13796</v>
      </c>
      <c r="F147" s="30">
        <v>13816</v>
      </c>
      <c r="G147" s="30">
        <v>13675</v>
      </c>
      <c r="H147" s="30">
        <v>13543</v>
      </c>
      <c r="I147" s="30">
        <v>13492</v>
      </c>
      <c r="J147" s="30">
        <v>13336</v>
      </c>
      <c r="K147" s="30">
        <v>13350</v>
      </c>
      <c r="L147" s="30">
        <v>13365</v>
      </c>
      <c r="M147" s="30">
        <v>13302</v>
      </c>
      <c r="N147" s="30">
        <v>13202</v>
      </c>
      <c r="O147" s="24" t="str">
        <f t="shared" si="5"/>
        <v>Howard County, Arkansas</v>
      </c>
    </row>
    <row r="148" spans="1:15" x14ac:dyDescent="0.25">
      <c r="A148" s="35" t="s">
        <v>624</v>
      </c>
      <c r="B148" s="28" t="str">
        <f t="shared" si="4"/>
        <v>Independence</v>
      </c>
      <c r="C148" s="30">
        <v>36647</v>
      </c>
      <c r="D148" s="30">
        <v>36641</v>
      </c>
      <c r="E148" s="30">
        <v>36809</v>
      </c>
      <c r="F148" s="30">
        <v>36884</v>
      </c>
      <c r="G148" s="30">
        <v>36953</v>
      </c>
      <c r="H148" s="30">
        <v>36885</v>
      </c>
      <c r="I148" s="30">
        <v>37080</v>
      </c>
      <c r="J148" s="30">
        <v>37035</v>
      </c>
      <c r="K148" s="30">
        <v>37117</v>
      </c>
      <c r="L148" s="30">
        <v>37391</v>
      </c>
      <c r="M148" s="30">
        <v>37768</v>
      </c>
      <c r="N148" s="30">
        <v>37825</v>
      </c>
      <c r="O148" s="24" t="str">
        <f t="shared" si="5"/>
        <v>Independence County, Arkansas</v>
      </c>
    </row>
    <row r="149" spans="1:15" x14ac:dyDescent="0.25">
      <c r="A149" s="35" t="s">
        <v>625</v>
      </c>
      <c r="B149" s="28" t="str">
        <f t="shared" si="4"/>
        <v>Izard</v>
      </c>
      <c r="C149" s="30">
        <v>13696</v>
      </c>
      <c r="D149" s="30">
        <v>13703</v>
      </c>
      <c r="E149" s="30">
        <v>13726</v>
      </c>
      <c r="F149" s="30">
        <v>13572</v>
      </c>
      <c r="G149" s="30">
        <v>13541</v>
      </c>
      <c r="H149" s="30">
        <v>13411</v>
      </c>
      <c r="I149" s="30">
        <v>13557</v>
      </c>
      <c r="J149" s="30">
        <v>13487</v>
      </c>
      <c r="K149" s="30">
        <v>13488</v>
      </c>
      <c r="L149" s="30">
        <v>13666</v>
      </c>
      <c r="M149" s="30">
        <v>13582</v>
      </c>
      <c r="N149" s="30">
        <v>13629</v>
      </c>
      <c r="O149" s="24" t="str">
        <f t="shared" si="5"/>
        <v>Izard County, Arkansas</v>
      </c>
    </row>
    <row r="150" spans="1:15" x14ac:dyDescent="0.25">
      <c r="A150" s="35" t="s">
        <v>626</v>
      </c>
      <c r="B150" s="28" t="str">
        <f t="shared" si="4"/>
        <v>Jackson</v>
      </c>
      <c r="C150" s="30">
        <v>17997</v>
      </c>
      <c r="D150" s="30">
        <v>17998</v>
      </c>
      <c r="E150" s="30">
        <v>18057</v>
      </c>
      <c r="F150" s="30">
        <v>17887</v>
      </c>
      <c r="G150" s="30">
        <v>17680</v>
      </c>
      <c r="H150" s="30">
        <v>17729</v>
      </c>
      <c r="I150" s="30">
        <v>17591</v>
      </c>
      <c r="J150" s="30">
        <v>17365</v>
      </c>
      <c r="K150" s="30">
        <v>17282</v>
      </c>
      <c r="L150" s="30">
        <v>17017</v>
      </c>
      <c r="M150" s="30">
        <v>16753</v>
      </c>
      <c r="N150" s="30">
        <v>16719</v>
      </c>
      <c r="O150" s="24" t="str">
        <f t="shared" si="5"/>
        <v>Jackson County, Arkansas</v>
      </c>
    </row>
    <row r="151" spans="1:15" x14ac:dyDescent="0.25">
      <c r="A151" s="35" t="s">
        <v>627</v>
      </c>
      <c r="B151" s="28" t="str">
        <f t="shared" si="4"/>
        <v>Jefferson</v>
      </c>
      <c r="C151" s="30">
        <v>77435</v>
      </c>
      <c r="D151" s="30">
        <v>77456</v>
      </c>
      <c r="E151" s="30">
        <v>77341</v>
      </c>
      <c r="F151" s="30">
        <v>76039</v>
      </c>
      <c r="G151" s="30">
        <v>74634</v>
      </c>
      <c r="H151" s="30">
        <v>73191</v>
      </c>
      <c r="I151" s="30">
        <v>72458</v>
      </c>
      <c r="J151" s="30">
        <v>71872</v>
      </c>
      <c r="K151" s="30">
        <v>70407</v>
      </c>
      <c r="L151" s="30">
        <v>69238</v>
      </c>
      <c r="M151" s="30">
        <v>68067</v>
      </c>
      <c r="N151" s="30">
        <v>66824</v>
      </c>
      <c r="O151" s="24" t="str">
        <f t="shared" si="5"/>
        <v>Jefferson County, Arkansas</v>
      </c>
    </row>
    <row r="152" spans="1:15" x14ac:dyDescent="0.25">
      <c r="A152" s="35" t="s">
        <v>628</v>
      </c>
      <c r="B152" s="28" t="str">
        <f t="shared" si="4"/>
        <v>Johnson</v>
      </c>
      <c r="C152" s="30">
        <v>25540</v>
      </c>
      <c r="D152" s="30">
        <v>25545</v>
      </c>
      <c r="E152" s="30">
        <v>25556</v>
      </c>
      <c r="F152" s="30">
        <v>25675</v>
      </c>
      <c r="G152" s="30">
        <v>25914</v>
      </c>
      <c r="H152" s="30">
        <v>25932</v>
      </c>
      <c r="I152" s="30">
        <v>25969</v>
      </c>
      <c r="J152" s="30">
        <v>26094</v>
      </c>
      <c r="K152" s="30">
        <v>26127</v>
      </c>
      <c r="L152" s="30">
        <v>26401</v>
      </c>
      <c r="M152" s="30">
        <v>26659</v>
      </c>
      <c r="N152" s="30">
        <v>26578</v>
      </c>
      <c r="O152" s="24" t="str">
        <f t="shared" si="5"/>
        <v>Johnson County, Arkansas</v>
      </c>
    </row>
    <row r="153" spans="1:15" x14ac:dyDescent="0.25">
      <c r="A153" s="35" t="s">
        <v>629</v>
      </c>
      <c r="B153" s="28" t="str">
        <f t="shared" si="4"/>
        <v>Lafayette</v>
      </c>
      <c r="C153" s="30">
        <v>7645</v>
      </c>
      <c r="D153" s="30">
        <v>7643</v>
      </c>
      <c r="E153" s="30">
        <v>7647</v>
      </c>
      <c r="F153" s="30">
        <v>7536</v>
      </c>
      <c r="G153" s="30">
        <v>7450</v>
      </c>
      <c r="H153" s="30">
        <v>7284</v>
      </c>
      <c r="I153" s="30">
        <v>7158</v>
      </c>
      <c r="J153" s="30">
        <v>7010</v>
      </c>
      <c r="K153" s="30">
        <v>6888</v>
      </c>
      <c r="L153" s="30">
        <v>6797</v>
      </c>
      <c r="M153" s="30">
        <v>6679</v>
      </c>
      <c r="N153" s="30">
        <v>6624</v>
      </c>
      <c r="O153" s="24" t="str">
        <f t="shared" si="5"/>
        <v>Lafayette County, Arkansas</v>
      </c>
    </row>
    <row r="154" spans="1:15" x14ac:dyDescent="0.25">
      <c r="A154" s="35" t="s">
        <v>630</v>
      </c>
      <c r="B154" s="28" t="str">
        <f t="shared" si="4"/>
        <v>Lawrence</v>
      </c>
      <c r="C154" s="30">
        <v>17415</v>
      </c>
      <c r="D154" s="30">
        <v>17410</v>
      </c>
      <c r="E154" s="30">
        <v>17518</v>
      </c>
      <c r="F154" s="30">
        <v>17282</v>
      </c>
      <c r="G154" s="30">
        <v>17040</v>
      </c>
      <c r="H154" s="30">
        <v>17054</v>
      </c>
      <c r="I154" s="30">
        <v>16969</v>
      </c>
      <c r="J154" s="30">
        <v>16696</v>
      </c>
      <c r="K154" s="30">
        <v>16639</v>
      </c>
      <c r="L154" s="30">
        <v>16571</v>
      </c>
      <c r="M154" s="30">
        <v>16432</v>
      </c>
      <c r="N154" s="30">
        <v>16406</v>
      </c>
      <c r="O154" s="24" t="str">
        <f t="shared" si="5"/>
        <v>Lawrence County, Arkansas</v>
      </c>
    </row>
    <row r="155" spans="1:15" x14ac:dyDescent="0.25">
      <c r="A155" s="35" t="s">
        <v>631</v>
      </c>
      <c r="B155" s="28" t="str">
        <f t="shared" si="4"/>
        <v>Lee</v>
      </c>
      <c r="C155" s="30">
        <v>10424</v>
      </c>
      <c r="D155" s="30">
        <v>10428</v>
      </c>
      <c r="E155" s="30">
        <v>10395</v>
      </c>
      <c r="F155" s="30">
        <v>10291</v>
      </c>
      <c r="G155" s="30">
        <v>10184</v>
      </c>
      <c r="H155" s="30">
        <v>10010</v>
      </c>
      <c r="I155" s="30">
        <v>9839</v>
      </c>
      <c r="J155" s="30">
        <v>9672</v>
      </c>
      <c r="K155" s="30">
        <v>9337</v>
      </c>
      <c r="L155" s="30">
        <v>9127</v>
      </c>
      <c r="M155" s="30">
        <v>8976</v>
      </c>
      <c r="N155" s="30">
        <v>8857</v>
      </c>
      <c r="O155" s="24" t="str">
        <f t="shared" si="5"/>
        <v>Lee County, Arkansas</v>
      </c>
    </row>
    <row r="156" spans="1:15" x14ac:dyDescent="0.25">
      <c r="A156" s="35" t="s">
        <v>632</v>
      </c>
      <c r="B156" s="28" t="str">
        <f t="shared" si="4"/>
        <v>Lincoln</v>
      </c>
      <c r="C156" s="30">
        <v>14134</v>
      </c>
      <c r="D156" s="30">
        <v>14141</v>
      </c>
      <c r="E156" s="30">
        <v>14089</v>
      </c>
      <c r="F156" s="30">
        <v>14339</v>
      </c>
      <c r="G156" s="30">
        <v>14180</v>
      </c>
      <c r="H156" s="30">
        <v>14063</v>
      </c>
      <c r="I156" s="30">
        <v>14025</v>
      </c>
      <c r="J156" s="30">
        <v>13866</v>
      </c>
      <c r="K156" s="30">
        <v>13728</v>
      </c>
      <c r="L156" s="30">
        <v>13475</v>
      </c>
      <c r="M156" s="30">
        <v>13184</v>
      </c>
      <c r="N156" s="30">
        <v>13024</v>
      </c>
      <c r="O156" s="24" t="str">
        <f t="shared" si="5"/>
        <v>Lincoln County, Arkansas</v>
      </c>
    </row>
    <row r="157" spans="1:15" x14ac:dyDescent="0.25">
      <c r="A157" s="35" t="s">
        <v>633</v>
      </c>
      <c r="B157" s="28" t="str">
        <f t="shared" si="4"/>
        <v>Little River</v>
      </c>
      <c r="C157" s="30">
        <v>13171</v>
      </c>
      <c r="D157" s="30">
        <v>13168</v>
      </c>
      <c r="E157" s="30">
        <v>13132</v>
      </c>
      <c r="F157" s="30">
        <v>12945</v>
      </c>
      <c r="G157" s="30">
        <v>12916</v>
      </c>
      <c r="H157" s="30">
        <v>12733</v>
      </c>
      <c r="I157" s="30">
        <v>12503</v>
      </c>
      <c r="J157" s="30">
        <v>12402</v>
      </c>
      <c r="K157" s="30">
        <v>12406</v>
      </c>
      <c r="L157" s="30">
        <v>12373</v>
      </c>
      <c r="M157" s="30">
        <v>12297</v>
      </c>
      <c r="N157" s="30">
        <v>12259</v>
      </c>
      <c r="O157" s="24" t="str">
        <f t="shared" si="5"/>
        <v>Little River County, Arkansas</v>
      </c>
    </row>
    <row r="158" spans="1:15" x14ac:dyDescent="0.25">
      <c r="A158" s="35" t="s">
        <v>634</v>
      </c>
      <c r="B158" s="28" t="str">
        <f t="shared" si="4"/>
        <v>Logan</v>
      </c>
      <c r="C158" s="30">
        <v>22353</v>
      </c>
      <c r="D158" s="30">
        <v>22361</v>
      </c>
      <c r="E158" s="30">
        <v>22308</v>
      </c>
      <c r="F158" s="30">
        <v>22242</v>
      </c>
      <c r="G158" s="30">
        <v>21928</v>
      </c>
      <c r="H158" s="30">
        <v>22031</v>
      </c>
      <c r="I158" s="30">
        <v>21866</v>
      </c>
      <c r="J158" s="30">
        <v>21729</v>
      </c>
      <c r="K158" s="30">
        <v>21732</v>
      </c>
      <c r="L158" s="30">
        <v>21739</v>
      </c>
      <c r="M158" s="30">
        <v>21673</v>
      </c>
      <c r="N158" s="30">
        <v>21466</v>
      </c>
      <c r="O158" s="24" t="str">
        <f t="shared" si="5"/>
        <v>Logan County, Arkansas</v>
      </c>
    </row>
    <row r="159" spans="1:15" x14ac:dyDescent="0.25">
      <c r="A159" s="35" t="s">
        <v>635</v>
      </c>
      <c r="B159" s="28" t="str">
        <f t="shared" si="4"/>
        <v>Lonoke</v>
      </c>
      <c r="C159" s="30">
        <v>68356</v>
      </c>
      <c r="D159" s="30">
        <v>68382</v>
      </c>
      <c r="E159" s="30">
        <v>68744</v>
      </c>
      <c r="F159" s="30">
        <v>69529</v>
      </c>
      <c r="G159" s="30">
        <v>70109</v>
      </c>
      <c r="H159" s="30">
        <v>70742</v>
      </c>
      <c r="I159" s="30">
        <v>71368</v>
      </c>
      <c r="J159" s="30">
        <v>71359</v>
      </c>
      <c r="K159" s="30">
        <v>71803</v>
      </c>
      <c r="L159" s="30">
        <v>72778</v>
      </c>
      <c r="M159" s="30">
        <v>73391</v>
      </c>
      <c r="N159" s="30">
        <v>73309</v>
      </c>
      <c r="O159" s="24" t="str">
        <f t="shared" si="5"/>
        <v>Lonoke County, Arkansas</v>
      </c>
    </row>
    <row r="160" spans="1:15" x14ac:dyDescent="0.25">
      <c r="A160" s="35" t="s">
        <v>636</v>
      </c>
      <c r="B160" s="28" t="str">
        <f t="shared" si="4"/>
        <v>Madison</v>
      </c>
      <c r="C160" s="30">
        <v>15717</v>
      </c>
      <c r="D160" s="30">
        <v>15723</v>
      </c>
      <c r="E160" s="30">
        <v>15684</v>
      </c>
      <c r="F160" s="30">
        <v>15662</v>
      </c>
      <c r="G160" s="30">
        <v>15597</v>
      </c>
      <c r="H160" s="30">
        <v>15679</v>
      </c>
      <c r="I160" s="30">
        <v>15731</v>
      </c>
      <c r="J160" s="30">
        <v>15705</v>
      </c>
      <c r="K160" s="30">
        <v>16112</v>
      </c>
      <c r="L160" s="30">
        <v>16299</v>
      </c>
      <c r="M160" s="30">
        <v>16362</v>
      </c>
      <c r="N160" s="30">
        <v>16576</v>
      </c>
      <c r="O160" s="24" t="str">
        <f t="shared" si="5"/>
        <v>Madison County, Arkansas</v>
      </c>
    </row>
    <row r="161" spans="1:15" x14ac:dyDescent="0.25">
      <c r="A161" s="35" t="s">
        <v>637</v>
      </c>
      <c r="B161" s="28" t="str">
        <f t="shared" si="4"/>
        <v>Marion</v>
      </c>
      <c r="C161" s="30">
        <v>16653</v>
      </c>
      <c r="D161" s="30">
        <v>16644</v>
      </c>
      <c r="E161" s="30">
        <v>16665</v>
      </c>
      <c r="F161" s="30">
        <v>16671</v>
      </c>
      <c r="G161" s="30">
        <v>16621</v>
      </c>
      <c r="H161" s="30">
        <v>16444</v>
      </c>
      <c r="I161" s="30">
        <v>16423</v>
      </c>
      <c r="J161" s="30">
        <v>16215</v>
      </c>
      <c r="K161" s="30">
        <v>16376</v>
      </c>
      <c r="L161" s="30">
        <v>16429</v>
      </c>
      <c r="M161" s="30">
        <v>16665</v>
      </c>
      <c r="N161" s="30">
        <v>16694</v>
      </c>
      <c r="O161" s="24" t="str">
        <f t="shared" si="5"/>
        <v>Marion County, Arkansas</v>
      </c>
    </row>
    <row r="162" spans="1:15" x14ac:dyDescent="0.25">
      <c r="A162" s="35" t="s">
        <v>638</v>
      </c>
      <c r="B162" s="28" t="str">
        <f t="shared" si="4"/>
        <v>Miller</v>
      </c>
      <c r="C162" s="30">
        <v>43462</v>
      </c>
      <c r="D162" s="30">
        <v>43462</v>
      </c>
      <c r="E162" s="30">
        <v>43562</v>
      </c>
      <c r="F162" s="30">
        <v>43762</v>
      </c>
      <c r="G162" s="30">
        <v>43663</v>
      </c>
      <c r="H162" s="30">
        <v>43402</v>
      </c>
      <c r="I162" s="30">
        <v>43458</v>
      </c>
      <c r="J162" s="30">
        <v>43792</v>
      </c>
      <c r="K162" s="30">
        <v>43713</v>
      </c>
      <c r="L162" s="30">
        <v>43736</v>
      </c>
      <c r="M162" s="30">
        <v>43362</v>
      </c>
      <c r="N162" s="30">
        <v>43257</v>
      </c>
      <c r="O162" s="24" t="str">
        <f t="shared" si="5"/>
        <v>Miller County, Arkansas</v>
      </c>
    </row>
    <row r="163" spans="1:15" x14ac:dyDescent="0.25">
      <c r="A163" s="35" t="s">
        <v>639</v>
      </c>
      <c r="B163" s="28" t="str">
        <f t="shared" si="4"/>
        <v>Mississippi</v>
      </c>
      <c r="C163" s="30">
        <v>46480</v>
      </c>
      <c r="D163" s="30">
        <v>46481</v>
      </c>
      <c r="E163" s="30">
        <v>46399</v>
      </c>
      <c r="F163" s="30">
        <v>46031</v>
      </c>
      <c r="G163" s="30">
        <v>45553</v>
      </c>
      <c r="H163" s="30">
        <v>44695</v>
      </c>
      <c r="I163" s="30">
        <v>44247</v>
      </c>
      <c r="J163" s="30">
        <v>43729</v>
      </c>
      <c r="K163" s="30">
        <v>42900</v>
      </c>
      <c r="L163" s="30">
        <v>42112</v>
      </c>
      <c r="M163" s="30">
        <v>41236</v>
      </c>
      <c r="N163" s="30">
        <v>40651</v>
      </c>
      <c r="O163" s="24" t="str">
        <f t="shared" si="5"/>
        <v>Mississippi County, Arkansas</v>
      </c>
    </row>
    <row r="164" spans="1:15" x14ac:dyDescent="0.25">
      <c r="A164" s="35" t="s">
        <v>640</v>
      </c>
      <c r="B164" s="28" t="str">
        <f t="shared" si="4"/>
        <v>Monroe</v>
      </c>
      <c r="C164" s="30">
        <v>8149</v>
      </c>
      <c r="D164" s="30">
        <v>8155</v>
      </c>
      <c r="E164" s="30">
        <v>8138</v>
      </c>
      <c r="F164" s="30">
        <v>8099</v>
      </c>
      <c r="G164" s="30">
        <v>7854</v>
      </c>
      <c r="H164" s="30">
        <v>7690</v>
      </c>
      <c r="I164" s="30">
        <v>7634</v>
      </c>
      <c r="J164" s="30">
        <v>7452</v>
      </c>
      <c r="K164" s="30">
        <v>7205</v>
      </c>
      <c r="L164" s="30">
        <v>7013</v>
      </c>
      <c r="M164" s="30">
        <v>6880</v>
      </c>
      <c r="N164" s="30">
        <v>6701</v>
      </c>
      <c r="O164" s="24" t="str">
        <f t="shared" si="5"/>
        <v>Monroe County, Arkansas</v>
      </c>
    </row>
    <row r="165" spans="1:15" x14ac:dyDescent="0.25">
      <c r="A165" s="35" t="s">
        <v>641</v>
      </c>
      <c r="B165" s="28" t="str">
        <f t="shared" si="4"/>
        <v>Montgomery</v>
      </c>
      <c r="C165" s="30">
        <v>9487</v>
      </c>
      <c r="D165" s="30">
        <v>9497</v>
      </c>
      <c r="E165" s="30">
        <v>9510</v>
      </c>
      <c r="F165" s="30">
        <v>9402</v>
      </c>
      <c r="G165" s="30">
        <v>9340</v>
      </c>
      <c r="H165" s="30">
        <v>9252</v>
      </c>
      <c r="I165" s="30">
        <v>9162</v>
      </c>
      <c r="J165" s="30">
        <v>9027</v>
      </c>
      <c r="K165" s="30">
        <v>8936</v>
      </c>
      <c r="L165" s="30">
        <v>8890</v>
      </c>
      <c r="M165" s="30">
        <v>8910</v>
      </c>
      <c r="N165" s="30">
        <v>8986</v>
      </c>
      <c r="O165" s="24" t="str">
        <f t="shared" si="5"/>
        <v>Montgomery County, Arkansas</v>
      </c>
    </row>
    <row r="166" spans="1:15" x14ac:dyDescent="0.25">
      <c r="A166" s="35" t="s">
        <v>642</v>
      </c>
      <c r="B166" s="28" t="str">
        <f t="shared" si="4"/>
        <v>Nevada</v>
      </c>
      <c r="C166" s="30">
        <v>8997</v>
      </c>
      <c r="D166" s="30">
        <v>9020</v>
      </c>
      <c r="E166" s="30">
        <v>8997</v>
      </c>
      <c r="F166" s="30">
        <v>9008</v>
      </c>
      <c r="G166" s="30">
        <v>8909</v>
      </c>
      <c r="H166" s="30">
        <v>8772</v>
      </c>
      <c r="I166" s="30">
        <v>8645</v>
      </c>
      <c r="J166" s="30">
        <v>8508</v>
      </c>
      <c r="K166" s="30">
        <v>8378</v>
      </c>
      <c r="L166" s="30">
        <v>8309</v>
      </c>
      <c r="M166" s="30">
        <v>8308</v>
      </c>
      <c r="N166" s="30">
        <v>8252</v>
      </c>
      <c r="O166" s="24" t="str">
        <f t="shared" si="5"/>
        <v>Nevada County, Arkansas</v>
      </c>
    </row>
    <row r="167" spans="1:15" x14ac:dyDescent="0.25">
      <c r="A167" s="35" t="s">
        <v>643</v>
      </c>
      <c r="B167" s="28" t="str">
        <f t="shared" si="4"/>
        <v>Newton</v>
      </c>
      <c r="C167" s="30">
        <v>8330</v>
      </c>
      <c r="D167" s="30">
        <v>8315</v>
      </c>
      <c r="E167" s="30">
        <v>8304</v>
      </c>
      <c r="F167" s="30">
        <v>8251</v>
      </c>
      <c r="G167" s="30">
        <v>8052</v>
      </c>
      <c r="H167" s="30">
        <v>8042</v>
      </c>
      <c r="I167" s="30">
        <v>7867</v>
      </c>
      <c r="J167" s="30">
        <v>7846</v>
      </c>
      <c r="K167" s="30">
        <v>7848</v>
      </c>
      <c r="L167" s="30">
        <v>7815</v>
      </c>
      <c r="M167" s="30">
        <v>7800</v>
      </c>
      <c r="N167" s="30">
        <v>7753</v>
      </c>
      <c r="O167" s="24" t="str">
        <f t="shared" si="5"/>
        <v>Newton County, Arkansas</v>
      </c>
    </row>
    <row r="168" spans="1:15" x14ac:dyDescent="0.25">
      <c r="A168" s="35" t="s">
        <v>644</v>
      </c>
      <c r="B168" s="28" t="str">
        <f t="shared" si="4"/>
        <v>Ouachita</v>
      </c>
      <c r="C168" s="30">
        <v>26120</v>
      </c>
      <c r="D168" s="30">
        <v>26128</v>
      </c>
      <c r="E168" s="30">
        <v>26046</v>
      </c>
      <c r="F168" s="30">
        <v>25737</v>
      </c>
      <c r="G168" s="30">
        <v>25398</v>
      </c>
      <c r="H168" s="30">
        <v>24948</v>
      </c>
      <c r="I168" s="30">
        <v>24761</v>
      </c>
      <c r="J168" s="30">
        <v>24316</v>
      </c>
      <c r="K168" s="30">
        <v>24013</v>
      </c>
      <c r="L168" s="30">
        <v>23817</v>
      </c>
      <c r="M168" s="30">
        <v>23620</v>
      </c>
      <c r="N168" s="30">
        <v>23382</v>
      </c>
      <c r="O168" s="24" t="str">
        <f t="shared" si="5"/>
        <v>Ouachita County, Arkansas</v>
      </c>
    </row>
    <row r="169" spans="1:15" x14ac:dyDescent="0.25">
      <c r="A169" s="35" t="s">
        <v>645</v>
      </c>
      <c r="B169" s="28" t="str">
        <f t="shared" si="4"/>
        <v>Perry</v>
      </c>
      <c r="C169" s="30">
        <v>10445</v>
      </c>
      <c r="D169" s="30">
        <v>10444</v>
      </c>
      <c r="E169" s="30">
        <v>10444</v>
      </c>
      <c r="F169" s="30">
        <v>10383</v>
      </c>
      <c r="G169" s="30">
        <v>10328</v>
      </c>
      <c r="H169" s="30">
        <v>10335</v>
      </c>
      <c r="I169" s="30">
        <v>10360</v>
      </c>
      <c r="J169" s="30">
        <v>10307</v>
      </c>
      <c r="K169" s="30">
        <v>10286</v>
      </c>
      <c r="L169" s="30">
        <v>10346</v>
      </c>
      <c r="M169" s="30">
        <v>10380</v>
      </c>
      <c r="N169" s="30">
        <v>10455</v>
      </c>
      <c r="O169" s="24" t="str">
        <f t="shared" si="5"/>
        <v>Perry County, Arkansas</v>
      </c>
    </row>
    <row r="170" spans="1:15" x14ac:dyDescent="0.25">
      <c r="A170" s="35" t="s">
        <v>646</v>
      </c>
      <c r="B170" s="28" t="str">
        <f t="shared" si="4"/>
        <v>Phillips</v>
      </c>
      <c r="C170" s="30">
        <v>21757</v>
      </c>
      <c r="D170" s="30">
        <v>21755</v>
      </c>
      <c r="E170" s="30">
        <v>21676</v>
      </c>
      <c r="F170" s="30">
        <v>21406</v>
      </c>
      <c r="G170" s="30">
        <v>20736</v>
      </c>
      <c r="H170" s="30">
        <v>20437</v>
      </c>
      <c r="I170" s="30">
        <v>19952</v>
      </c>
      <c r="J170" s="30">
        <v>19546</v>
      </c>
      <c r="K170" s="30">
        <v>19050</v>
      </c>
      <c r="L170" s="30">
        <v>18599</v>
      </c>
      <c r="M170" s="30">
        <v>18054</v>
      </c>
      <c r="N170" s="30">
        <v>17782</v>
      </c>
      <c r="O170" s="24" t="str">
        <f t="shared" si="5"/>
        <v>Phillips County, Arkansas</v>
      </c>
    </row>
    <row r="171" spans="1:15" x14ac:dyDescent="0.25">
      <c r="A171" s="35" t="s">
        <v>647</v>
      </c>
      <c r="B171" s="28" t="str">
        <f t="shared" si="4"/>
        <v>Pike</v>
      </c>
      <c r="C171" s="30">
        <v>11291</v>
      </c>
      <c r="D171" s="30">
        <v>11287</v>
      </c>
      <c r="E171" s="30">
        <v>11264</v>
      </c>
      <c r="F171" s="30">
        <v>11241</v>
      </c>
      <c r="G171" s="30">
        <v>11254</v>
      </c>
      <c r="H171" s="30">
        <v>11121</v>
      </c>
      <c r="I171" s="30">
        <v>10989</v>
      </c>
      <c r="J171" s="30">
        <v>10837</v>
      </c>
      <c r="K171" s="30">
        <v>10826</v>
      </c>
      <c r="L171" s="30">
        <v>10735</v>
      </c>
      <c r="M171" s="30">
        <v>10666</v>
      </c>
      <c r="N171" s="30">
        <v>10718</v>
      </c>
      <c r="O171" s="24" t="str">
        <f t="shared" si="5"/>
        <v>Pike County, Arkansas</v>
      </c>
    </row>
    <row r="172" spans="1:15" x14ac:dyDescent="0.25">
      <c r="A172" s="35" t="s">
        <v>648</v>
      </c>
      <c r="B172" s="28" t="str">
        <f t="shared" si="4"/>
        <v>Poinsett</v>
      </c>
      <c r="C172" s="30">
        <v>24583</v>
      </c>
      <c r="D172" s="30">
        <v>24576</v>
      </c>
      <c r="E172" s="30">
        <v>24515</v>
      </c>
      <c r="F172" s="30">
        <v>24449</v>
      </c>
      <c r="G172" s="30">
        <v>24299</v>
      </c>
      <c r="H172" s="30">
        <v>24187</v>
      </c>
      <c r="I172" s="30">
        <v>24152</v>
      </c>
      <c r="J172" s="30">
        <v>24002</v>
      </c>
      <c r="K172" s="30">
        <v>23974</v>
      </c>
      <c r="L172" s="30">
        <v>24071</v>
      </c>
      <c r="M172" s="30">
        <v>23903</v>
      </c>
      <c r="N172" s="30">
        <v>23528</v>
      </c>
      <c r="O172" s="24" t="str">
        <f t="shared" si="5"/>
        <v>Poinsett County, Arkansas</v>
      </c>
    </row>
    <row r="173" spans="1:15" x14ac:dyDescent="0.25">
      <c r="A173" s="35" t="s">
        <v>649</v>
      </c>
      <c r="B173" s="28" t="str">
        <f t="shared" si="4"/>
        <v>Polk</v>
      </c>
      <c r="C173" s="30">
        <v>20662</v>
      </c>
      <c r="D173" s="30">
        <v>20654</v>
      </c>
      <c r="E173" s="30">
        <v>20667</v>
      </c>
      <c r="F173" s="30">
        <v>20558</v>
      </c>
      <c r="G173" s="30">
        <v>20420</v>
      </c>
      <c r="H173" s="30">
        <v>20342</v>
      </c>
      <c r="I173" s="30">
        <v>20249</v>
      </c>
      <c r="J173" s="30">
        <v>20194</v>
      </c>
      <c r="K173" s="30">
        <v>20145</v>
      </c>
      <c r="L173" s="30">
        <v>20147</v>
      </c>
      <c r="M173" s="30">
        <v>20019</v>
      </c>
      <c r="N173" s="30">
        <v>19964</v>
      </c>
      <c r="O173" s="24" t="str">
        <f t="shared" si="5"/>
        <v>Polk County, Arkansas</v>
      </c>
    </row>
    <row r="174" spans="1:15" x14ac:dyDescent="0.25">
      <c r="A174" s="35" t="s">
        <v>650</v>
      </c>
      <c r="B174" s="28" t="str">
        <f t="shared" si="4"/>
        <v>Pope</v>
      </c>
      <c r="C174" s="30">
        <v>61754</v>
      </c>
      <c r="D174" s="30">
        <v>61753</v>
      </c>
      <c r="E174" s="30">
        <v>62109</v>
      </c>
      <c r="F174" s="30">
        <v>62687</v>
      </c>
      <c r="G174" s="30">
        <v>62631</v>
      </c>
      <c r="H174" s="30">
        <v>62588</v>
      </c>
      <c r="I174" s="30">
        <v>63117</v>
      </c>
      <c r="J174" s="30">
        <v>63608</v>
      </c>
      <c r="K174" s="30">
        <v>63897</v>
      </c>
      <c r="L174" s="30">
        <v>63634</v>
      </c>
      <c r="M174" s="30">
        <v>63594</v>
      </c>
      <c r="N174" s="30">
        <v>64072</v>
      </c>
      <c r="O174" s="24" t="str">
        <f t="shared" si="5"/>
        <v>Pope County, Arkansas</v>
      </c>
    </row>
    <row r="175" spans="1:15" x14ac:dyDescent="0.25">
      <c r="A175" s="35" t="s">
        <v>651</v>
      </c>
      <c r="B175" s="28" t="str">
        <f t="shared" si="4"/>
        <v>Prairie</v>
      </c>
      <c r="C175" s="30">
        <v>8715</v>
      </c>
      <c r="D175" s="30">
        <v>8716</v>
      </c>
      <c r="E175" s="30">
        <v>8722</v>
      </c>
      <c r="F175" s="30">
        <v>8599</v>
      </c>
      <c r="G175" s="30">
        <v>8482</v>
      </c>
      <c r="H175" s="30">
        <v>8375</v>
      </c>
      <c r="I175" s="30">
        <v>8347</v>
      </c>
      <c r="J175" s="30">
        <v>8299</v>
      </c>
      <c r="K175" s="30">
        <v>8252</v>
      </c>
      <c r="L175" s="30">
        <v>8248</v>
      </c>
      <c r="M175" s="30">
        <v>8082</v>
      </c>
      <c r="N175" s="30">
        <v>8062</v>
      </c>
      <c r="O175" s="24" t="str">
        <f t="shared" si="5"/>
        <v>Prairie County, Arkansas</v>
      </c>
    </row>
    <row r="176" spans="1:15" x14ac:dyDescent="0.25">
      <c r="A176" s="35" t="s">
        <v>652</v>
      </c>
      <c r="B176" s="28" t="str">
        <f t="shared" si="4"/>
        <v>Pulaski</v>
      </c>
      <c r="C176" s="30">
        <v>382748</v>
      </c>
      <c r="D176" s="30">
        <v>382749</v>
      </c>
      <c r="E176" s="30">
        <v>383538</v>
      </c>
      <c r="F176" s="30">
        <v>386990</v>
      </c>
      <c r="G176" s="30">
        <v>389225</v>
      </c>
      <c r="H176" s="30">
        <v>391512</v>
      </c>
      <c r="I176" s="30">
        <v>392952</v>
      </c>
      <c r="J176" s="30">
        <v>393576</v>
      </c>
      <c r="K176" s="30">
        <v>394151</v>
      </c>
      <c r="L176" s="30">
        <v>393280</v>
      </c>
      <c r="M176" s="30">
        <v>391918</v>
      </c>
      <c r="N176" s="30">
        <v>391911</v>
      </c>
      <c r="O176" s="24" t="str">
        <f t="shared" si="5"/>
        <v>Pulaski County, Arkansas</v>
      </c>
    </row>
    <row r="177" spans="1:15" x14ac:dyDescent="0.25">
      <c r="A177" s="35" t="s">
        <v>653</v>
      </c>
      <c r="B177" s="28" t="str">
        <f t="shared" si="4"/>
        <v>Randolph</v>
      </c>
      <c r="C177" s="30">
        <v>17969</v>
      </c>
      <c r="D177" s="30">
        <v>17969</v>
      </c>
      <c r="E177" s="30">
        <v>17955</v>
      </c>
      <c r="F177" s="30">
        <v>17973</v>
      </c>
      <c r="G177" s="30">
        <v>17840</v>
      </c>
      <c r="H177" s="30">
        <v>17625</v>
      </c>
      <c r="I177" s="30">
        <v>17569</v>
      </c>
      <c r="J177" s="30">
        <v>17437</v>
      </c>
      <c r="K177" s="30">
        <v>17444</v>
      </c>
      <c r="L177" s="30">
        <v>17665</v>
      </c>
      <c r="M177" s="30">
        <v>17970</v>
      </c>
      <c r="N177" s="30">
        <v>17958</v>
      </c>
      <c r="O177" s="24" t="str">
        <f t="shared" si="5"/>
        <v>Randolph County, Arkansas</v>
      </c>
    </row>
    <row r="178" spans="1:15" x14ac:dyDescent="0.25">
      <c r="A178" s="35" t="s">
        <v>654</v>
      </c>
      <c r="B178" s="28" t="str">
        <f t="shared" si="4"/>
        <v>St Francis</v>
      </c>
      <c r="C178" s="30">
        <v>28258</v>
      </c>
      <c r="D178" s="30">
        <v>28253</v>
      </c>
      <c r="E178" s="30">
        <v>28194</v>
      </c>
      <c r="F178" s="30">
        <v>27994</v>
      </c>
      <c r="G178" s="30">
        <v>27992</v>
      </c>
      <c r="H178" s="30">
        <v>27508</v>
      </c>
      <c r="I178" s="30">
        <v>27088</v>
      </c>
      <c r="J178" s="30">
        <v>26651</v>
      </c>
      <c r="K178" s="30">
        <v>26347</v>
      </c>
      <c r="L178" s="30">
        <v>25997</v>
      </c>
      <c r="M178" s="30">
        <v>25509</v>
      </c>
      <c r="N178" s="30">
        <v>24994</v>
      </c>
      <c r="O178" s="24" t="str">
        <f t="shared" si="5"/>
        <v>St Francis County, Arkansas</v>
      </c>
    </row>
    <row r="179" spans="1:15" x14ac:dyDescent="0.25">
      <c r="A179" s="35" t="s">
        <v>655</v>
      </c>
      <c r="B179" s="28" t="str">
        <f t="shared" si="4"/>
        <v>Saline</v>
      </c>
      <c r="C179" s="30">
        <v>107118</v>
      </c>
      <c r="D179" s="30">
        <v>107135</v>
      </c>
      <c r="E179" s="30">
        <v>107656</v>
      </c>
      <c r="F179" s="30">
        <v>109553</v>
      </c>
      <c r="G179" s="30">
        <v>111442</v>
      </c>
      <c r="H179" s="30">
        <v>113348</v>
      </c>
      <c r="I179" s="30">
        <v>114874</v>
      </c>
      <c r="J179" s="30">
        <v>116390</v>
      </c>
      <c r="K179" s="30">
        <v>117656</v>
      </c>
      <c r="L179" s="30">
        <v>119520</v>
      </c>
      <c r="M179" s="30">
        <v>121074</v>
      </c>
      <c r="N179" s="30">
        <v>122437</v>
      </c>
      <c r="O179" s="24" t="str">
        <f t="shared" si="5"/>
        <v>Saline County, Arkansas</v>
      </c>
    </row>
    <row r="180" spans="1:15" x14ac:dyDescent="0.25">
      <c r="A180" s="35" t="s">
        <v>656</v>
      </c>
      <c r="B180" s="28" t="str">
        <f t="shared" si="4"/>
        <v>Scott</v>
      </c>
      <c r="C180" s="30">
        <v>11233</v>
      </c>
      <c r="D180" s="30">
        <v>11241</v>
      </c>
      <c r="E180" s="30">
        <v>11275</v>
      </c>
      <c r="F180" s="30">
        <v>11264</v>
      </c>
      <c r="G180" s="30">
        <v>11033</v>
      </c>
      <c r="H180" s="30">
        <v>10934</v>
      </c>
      <c r="I180" s="30">
        <v>10686</v>
      </c>
      <c r="J180" s="30">
        <v>10561</v>
      </c>
      <c r="K180" s="30">
        <v>10332</v>
      </c>
      <c r="L180" s="30">
        <v>10369</v>
      </c>
      <c r="M180" s="30">
        <v>10339</v>
      </c>
      <c r="N180" s="30">
        <v>10281</v>
      </c>
      <c r="O180" s="24" t="str">
        <f t="shared" si="5"/>
        <v>Scott County, Arkansas</v>
      </c>
    </row>
    <row r="181" spans="1:15" x14ac:dyDescent="0.25">
      <c r="A181" s="35" t="s">
        <v>657</v>
      </c>
      <c r="B181" s="28" t="str">
        <f t="shared" si="4"/>
        <v>Searcy</v>
      </c>
      <c r="C181" s="30">
        <v>8195</v>
      </c>
      <c r="D181" s="30">
        <v>8195</v>
      </c>
      <c r="E181" s="30">
        <v>8182</v>
      </c>
      <c r="F181" s="30">
        <v>8078</v>
      </c>
      <c r="G181" s="30">
        <v>8005</v>
      </c>
      <c r="H181" s="30">
        <v>7991</v>
      </c>
      <c r="I181" s="30">
        <v>7924</v>
      </c>
      <c r="J181" s="30">
        <v>7835</v>
      </c>
      <c r="K181" s="30">
        <v>7968</v>
      </c>
      <c r="L181" s="30">
        <v>7927</v>
      </c>
      <c r="M181" s="30">
        <v>7930</v>
      </c>
      <c r="N181" s="30">
        <v>7881</v>
      </c>
      <c r="O181" s="24" t="str">
        <f t="shared" si="5"/>
        <v>Searcy County, Arkansas</v>
      </c>
    </row>
    <row r="182" spans="1:15" x14ac:dyDescent="0.25">
      <c r="A182" s="35" t="s">
        <v>658</v>
      </c>
      <c r="B182" s="28" t="str">
        <f t="shared" si="4"/>
        <v>Sebastian</v>
      </c>
      <c r="C182" s="30">
        <v>125744</v>
      </c>
      <c r="D182" s="30">
        <v>125740</v>
      </c>
      <c r="E182" s="30">
        <v>125737</v>
      </c>
      <c r="F182" s="30">
        <v>127010</v>
      </c>
      <c r="G182" s="30">
        <v>127571</v>
      </c>
      <c r="H182" s="30">
        <v>127173</v>
      </c>
      <c r="I182" s="30">
        <v>126733</v>
      </c>
      <c r="J182" s="30">
        <v>127385</v>
      </c>
      <c r="K182" s="30">
        <v>127385</v>
      </c>
      <c r="L182" s="30">
        <v>127786</v>
      </c>
      <c r="M182" s="30">
        <v>127570</v>
      </c>
      <c r="N182" s="30">
        <v>127827</v>
      </c>
      <c r="O182" s="24" t="str">
        <f t="shared" si="5"/>
        <v>Sebastian County, Arkansas</v>
      </c>
    </row>
    <row r="183" spans="1:15" x14ac:dyDescent="0.25">
      <c r="A183" s="35" t="s">
        <v>659</v>
      </c>
      <c r="B183" s="28" t="str">
        <f t="shared" si="4"/>
        <v>Sevier</v>
      </c>
      <c r="C183" s="30">
        <v>17058</v>
      </c>
      <c r="D183" s="30">
        <v>17059</v>
      </c>
      <c r="E183" s="30">
        <v>17151</v>
      </c>
      <c r="F183" s="30">
        <v>17218</v>
      </c>
      <c r="G183" s="30">
        <v>17188</v>
      </c>
      <c r="H183" s="30">
        <v>17356</v>
      </c>
      <c r="I183" s="30">
        <v>17410</v>
      </c>
      <c r="J183" s="30">
        <v>17262</v>
      </c>
      <c r="K183" s="30">
        <v>16971</v>
      </c>
      <c r="L183" s="30">
        <v>17103</v>
      </c>
      <c r="M183" s="30">
        <v>17061</v>
      </c>
      <c r="N183" s="30">
        <v>17007</v>
      </c>
      <c r="O183" s="24" t="str">
        <f t="shared" si="5"/>
        <v>Sevier County, Arkansas</v>
      </c>
    </row>
    <row r="184" spans="1:15" x14ac:dyDescent="0.25">
      <c r="A184" s="35" t="s">
        <v>660</v>
      </c>
      <c r="B184" s="28" t="str">
        <f t="shared" si="4"/>
        <v>Sharp</v>
      </c>
      <c r="C184" s="30">
        <v>17264</v>
      </c>
      <c r="D184" s="30">
        <v>17263</v>
      </c>
      <c r="E184" s="30">
        <v>17250</v>
      </c>
      <c r="F184" s="30">
        <v>17270</v>
      </c>
      <c r="G184" s="30">
        <v>17034</v>
      </c>
      <c r="H184" s="30">
        <v>17043</v>
      </c>
      <c r="I184" s="30">
        <v>16820</v>
      </c>
      <c r="J184" s="30">
        <v>16808</v>
      </c>
      <c r="K184" s="30">
        <v>17007</v>
      </c>
      <c r="L184" s="30">
        <v>17147</v>
      </c>
      <c r="M184" s="30">
        <v>17290</v>
      </c>
      <c r="N184" s="30">
        <v>17442</v>
      </c>
      <c r="O184" s="24" t="str">
        <f t="shared" si="5"/>
        <v>Sharp County, Arkansas</v>
      </c>
    </row>
    <row r="185" spans="1:15" x14ac:dyDescent="0.25">
      <c r="A185" s="35" t="s">
        <v>661</v>
      </c>
      <c r="B185" s="28" t="str">
        <f t="shared" si="4"/>
        <v>Stone</v>
      </c>
      <c r="C185" s="30">
        <v>12394</v>
      </c>
      <c r="D185" s="30">
        <v>12394</v>
      </c>
      <c r="E185" s="30">
        <v>12389</v>
      </c>
      <c r="F185" s="30">
        <v>12500</v>
      </c>
      <c r="G185" s="30">
        <v>12542</v>
      </c>
      <c r="H185" s="30">
        <v>12423</v>
      </c>
      <c r="I185" s="30">
        <v>12381</v>
      </c>
      <c r="J185" s="30">
        <v>12386</v>
      </c>
      <c r="K185" s="30">
        <v>12509</v>
      </c>
      <c r="L185" s="30">
        <v>12520</v>
      </c>
      <c r="M185" s="30">
        <v>12454</v>
      </c>
      <c r="N185" s="30">
        <v>12506</v>
      </c>
      <c r="O185" s="24" t="str">
        <f t="shared" si="5"/>
        <v>Stone County, Arkansas</v>
      </c>
    </row>
    <row r="186" spans="1:15" x14ac:dyDescent="0.25">
      <c r="A186" s="35" t="s">
        <v>662</v>
      </c>
      <c r="B186" s="28" t="str">
        <f t="shared" si="4"/>
        <v>Union</v>
      </c>
      <c r="C186" s="30">
        <v>41639</v>
      </c>
      <c r="D186" s="30">
        <v>41639</v>
      </c>
      <c r="E186" s="30">
        <v>41573</v>
      </c>
      <c r="F186" s="30">
        <v>41402</v>
      </c>
      <c r="G186" s="30">
        <v>40861</v>
      </c>
      <c r="H186" s="30">
        <v>40604</v>
      </c>
      <c r="I186" s="30">
        <v>40136</v>
      </c>
      <c r="J186" s="30">
        <v>40086</v>
      </c>
      <c r="K186" s="30">
        <v>39879</v>
      </c>
      <c r="L186" s="30">
        <v>39460</v>
      </c>
      <c r="M186" s="30">
        <v>39139</v>
      </c>
      <c r="N186" s="30">
        <v>38682</v>
      </c>
      <c r="O186" s="24" t="str">
        <f t="shared" si="5"/>
        <v>Union County, Arkansas</v>
      </c>
    </row>
    <row r="187" spans="1:15" x14ac:dyDescent="0.25">
      <c r="A187" s="35" t="s">
        <v>663</v>
      </c>
      <c r="B187" s="28" t="str">
        <f t="shared" si="4"/>
        <v>Van Buren</v>
      </c>
      <c r="C187" s="30">
        <v>17295</v>
      </c>
      <c r="D187" s="30">
        <v>17296</v>
      </c>
      <c r="E187" s="30">
        <v>17310</v>
      </c>
      <c r="F187" s="30">
        <v>17214</v>
      </c>
      <c r="G187" s="30">
        <v>17162</v>
      </c>
      <c r="H187" s="30">
        <v>16985</v>
      </c>
      <c r="I187" s="30">
        <v>16907</v>
      </c>
      <c r="J187" s="30">
        <v>16808</v>
      </c>
      <c r="K187" s="30">
        <v>16669</v>
      </c>
      <c r="L187" s="30">
        <v>16552</v>
      </c>
      <c r="M187" s="30">
        <v>16635</v>
      </c>
      <c r="N187" s="30">
        <v>16545</v>
      </c>
      <c r="O187" s="24" t="str">
        <f t="shared" si="5"/>
        <v>Van Buren County, Arkansas</v>
      </c>
    </row>
    <row r="188" spans="1:15" x14ac:dyDescent="0.25">
      <c r="A188" s="35" t="s">
        <v>664</v>
      </c>
      <c r="B188" s="28" t="str">
        <f t="shared" si="4"/>
        <v>Washington</v>
      </c>
      <c r="C188" s="30">
        <v>203065</v>
      </c>
      <c r="D188" s="30">
        <v>203050</v>
      </c>
      <c r="E188" s="30">
        <v>204024</v>
      </c>
      <c r="F188" s="30">
        <v>208051</v>
      </c>
      <c r="G188" s="30">
        <v>211756</v>
      </c>
      <c r="H188" s="30">
        <v>216000</v>
      </c>
      <c r="I188" s="30">
        <v>219941</v>
      </c>
      <c r="J188" s="30">
        <v>224434</v>
      </c>
      <c r="K188" s="30">
        <v>228482</v>
      </c>
      <c r="L188" s="30">
        <v>232732</v>
      </c>
      <c r="M188" s="30">
        <v>236611</v>
      </c>
      <c r="N188" s="30">
        <v>239187</v>
      </c>
      <c r="O188" s="24" t="str">
        <f t="shared" si="5"/>
        <v>Washington County, Arkansas</v>
      </c>
    </row>
    <row r="189" spans="1:15" x14ac:dyDescent="0.25">
      <c r="A189" s="35" t="s">
        <v>665</v>
      </c>
      <c r="B189" s="28" t="str">
        <f t="shared" si="4"/>
        <v>White</v>
      </c>
      <c r="C189" s="30">
        <v>77076</v>
      </c>
      <c r="D189" s="30">
        <v>77086</v>
      </c>
      <c r="E189" s="30">
        <v>77356</v>
      </c>
      <c r="F189" s="30">
        <v>78083</v>
      </c>
      <c r="G189" s="30">
        <v>78641</v>
      </c>
      <c r="H189" s="30">
        <v>78567</v>
      </c>
      <c r="I189" s="30">
        <v>78471</v>
      </c>
      <c r="J189" s="30">
        <v>78915</v>
      </c>
      <c r="K189" s="30">
        <v>78917</v>
      </c>
      <c r="L189" s="30">
        <v>78844</v>
      </c>
      <c r="M189" s="30">
        <v>78381</v>
      </c>
      <c r="N189" s="30">
        <v>78753</v>
      </c>
      <c r="O189" s="24" t="str">
        <f t="shared" si="5"/>
        <v>White County, Arkansas</v>
      </c>
    </row>
    <row r="190" spans="1:15" x14ac:dyDescent="0.25">
      <c r="A190" s="35" t="s">
        <v>666</v>
      </c>
      <c r="B190" s="28" t="str">
        <f t="shared" si="4"/>
        <v>Woodruff</v>
      </c>
      <c r="C190" s="30">
        <v>7260</v>
      </c>
      <c r="D190" s="30">
        <v>7264</v>
      </c>
      <c r="E190" s="30">
        <v>7236</v>
      </c>
      <c r="F190" s="30">
        <v>7164</v>
      </c>
      <c r="G190" s="30">
        <v>7052</v>
      </c>
      <c r="H190" s="30">
        <v>7018</v>
      </c>
      <c r="I190" s="30">
        <v>6860</v>
      </c>
      <c r="J190" s="30">
        <v>6706</v>
      </c>
      <c r="K190" s="30">
        <v>6600</v>
      </c>
      <c r="L190" s="30">
        <v>6575</v>
      </c>
      <c r="M190" s="30">
        <v>6466</v>
      </c>
      <c r="N190" s="30">
        <v>6320</v>
      </c>
      <c r="O190" s="24" t="str">
        <f t="shared" si="5"/>
        <v>Woodruff County, Arkansas</v>
      </c>
    </row>
    <row r="191" spans="1:15" x14ac:dyDescent="0.25">
      <c r="A191" s="35" t="s">
        <v>667</v>
      </c>
      <c r="B191" s="28" t="str">
        <f t="shared" si="4"/>
        <v>Yell</v>
      </c>
      <c r="C191" s="30">
        <v>22185</v>
      </c>
      <c r="D191" s="30">
        <v>22183</v>
      </c>
      <c r="E191" s="30">
        <v>22146</v>
      </c>
      <c r="F191" s="30">
        <v>21964</v>
      </c>
      <c r="G191" s="30">
        <v>21824</v>
      </c>
      <c r="H191" s="30">
        <v>21819</v>
      </c>
      <c r="I191" s="30">
        <v>21768</v>
      </c>
      <c r="J191" s="30">
        <v>21506</v>
      </c>
      <c r="K191" s="30">
        <v>21502</v>
      </c>
      <c r="L191" s="30">
        <v>21509</v>
      </c>
      <c r="M191" s="30">
        <v>21462</v>
      </c>
      <c r="N191" s="30">
        <v>21341</v>
      </c>
      <c r="O191" s="24" t="str">
        <f t="shared" si="5"/>
        <v>Yell County, Arkansas</v>
      </c>
    </row>
    <row r="192" spans="1:15" x14ac:dyDescent="0.25">
      <c r="A192" s="35" t="s">
        <v>668</v>
      </c>
      <c r="B192" s="28" t="str">
        <f t="shared" si="4"/>
        <v>Alameda</v>
      </c>
      <c r="C192" s="30">
        <v>1510271</v>
      </c>
      <c r="D192" s="30">
        <v>1510258</v>
      </c>
      <c r="E192" s="30">
        <v>1512986</v>
      </c>
      <c r="F192" s="30">
        <v>1530915</v>
      </c>
      <c r="G192" s="30">
        <v>1553764</v>
      </c>
      <c r="H192" s="30">
        <v>1579593</v>
      </c>
      <c r="I192" s="30">
        <v>1607792</v>
      </c>
      <c r="J192" s="30">
        <v>1634538</v>
      </c>
      <c r="K192" s="30">
        <v>1650950</v>
      </c>
      <c r="L192" s="30">
        <v>1660196</v>
      </c>
      <c r="M192" s="30">
        <v>1666756</v>
      </c>
      <c r="N192" s="30">
        <v>1671329</v>
      </c>
      <c r="O192" s="24" t="str">
        <f t="shared" si="5"/>
        <v>Alameda County, California</v>
      </c>
    </row>
    <row r="193" spans="1:15" x14ac:dyDescent="0.25">
      <c r="A193" s="35" t="s">
        <v>669</v>
      </c>
      <c r="B193" s="28" t="str">
        <f t="shared" si="4"/>
        <v>Alpine</v>
      </c>
      <c r="C193" s="30">
        <v>1175</v>
      </c>
      <c r="D193" s="30">
        <v>1175</v>
      </c>
      <c r="E193" s="30">
        <v>1161</v>
      </c>
      <c r="F193" s="30">
        <v>1093</v>
      </c>
      <c r="G193" s="30">
        <v>1110</v>
      </c>
      <c r="H193" s="30">
        <v>1128</v>
      </c>
      <c r="I193" s="30">
        <v>1080</v>
      </c>
      <c r="J193" s="30">
        <v>1077</v>
      </c>
      <c r="K193" s="30">
        <v>1047</v>
      </c>
      <c r="L193" s="30">
        <v>1111</v>
      </c>
      <c r="M193" s="30">
        <v>1089</v>
      </c>
      <c r="N193" s="30">
        <v>1129</v>
      </c>
      <c r="O193" s="24" t="str">
        <f t="shared" si="5"/>
        <v>Alpine County, California</v>
      </c>
    </row>
    <row r="194" spans="1:15" x14ac:dyDescent="0.25">
      <c r="A194" s="35" t="s">
        <v>670</v>
      </c>
      <c r="B194" s="28" t="str">
        <f t="shared" si="4"/>
        <v>Amador</v>
      </c>
      <c r="C194" s="30">
        <v>38091</v>
      </c>
      <c r="D194" s="30">
        <v>38091</v>
      </c>
      <c r="E194" s="30">
        <v>37886</v>
      </c>
      <c r="F194" s="30">
        <v>37543</v>
      </c>
      <c r="G194" s="30">
        <v>37104</v>
      </c>
      <c r="H194" s="30">
        <v>36620</v>
      </c>
      <c r="I194" s="30">
        <v>36726</v>
      </c>
      <c r="J194" s="30">
        <v>37031</v>
      </c>
      <c r="K194" s="30">
        <v>37429</v>
      </c>
      <c r="L194" s="30">
        <v>38529</v>
      </c>
      <c r="M194" s="30">
        <v>39405</v>
      </c>
      <c r="N194" s="30">
        <v>39752</v>
      </c>
      <c r="O194" s="24" t="str">
        <f t="shared" si="5"/>
        <v>Amador County, California</v>
      </c>
    </row>
    <row r="195" spans="1:15" x14ac:dyDescent="0.25">
      <c r="A195" s="35" t="s">
        <v>671</v>
      </c>
      <c r="B195" s="28" t="str">
        <f t="shared" si="4"/>
        <v>Butte</v>
      </c>
      <c r="C195" s="30">
        <v>220000</v>
      </c>
      <c r="D195" s="30">
        <v>220005</v>
      </c>
      <c r="E195" s="30">
        <v>219949</v>
      </c>
      <c r="F195" s="30">
        <v>219975</v>
      </c>
      <c r="G195" s="30">
        <v>220869</v>
      </c>
      <c r="H195" s="30">
        <v>221641</v>
      </c>
      <c r="I195" s="30">
        <v>223516</v>
      </c>
      <c r="J195" s="30">
        <v>224631</v>
      </c>
      <c r="K195" s="30">
        <v>226231</v>
      </c>
      <c r="L195" s="30">
        <v>228696</v>
      </c>
      <c r="M195" s="30">
        <v>230339</v>
      </c>
      <c r="N195" s="30">
        <v>219186</v>
      </c>
      <c r="O195" s="24" t="str">
        <f t="shared" si="5"/>
        <v>Butte County, California</v>
      </c>
    </row>
    <row r="196" spans="1:15" x14ac:dyDescent="0.25">
      <c r="A196" s="35" t="s">
        <v>672</v>
      </c>
      <c r="B196" s="28" t="str">
        <f t="shared" si="4"/>
        <v>Calaveras</v>
      </c>
      <c r="C196" s="30">
        <v>45578</v>
      </c>
      <c r="D196" s="30">
        <v>45578</v>
      </c>
      <c r="E196" s="30">
        <v>45468</v>
      </c>
      <c r="F196" s="30">
        <v>45160</v>
      </c>
      <c r="G196" s="30">
        <v>44815</v>
      </c>
      <c r="H196" s="30">
        <v>44655</v>
      </c>
      <c r="I196" s="30">
        <v>44671</v>
      </c>
      <c r="J196" s="30">
        <v>44965</v>
      </c>
      <c r="K196" s="30">
        <v>45322</v>
      </c>
      <c r="L196" s="30">
        <v>45681</v>
      </c>
      <c r="M196" s="30">
        <v>45698</v>
      </c>
      <c r="N196" s="30">
        <v>45905</v>
      </c>
      <c r="O196" s="24" t="str">
        <f t="shared" si="5"/>
        <v>Calaveras County, California</v>
      </c>
    </row>
    <row r="197" spans="1:15" x14ac:dyDescent="0.25">
      <c r="A197" s="35" t="s">
        <v>673</v>
      </c>
      <c r="B197" s="28" t="str">
        <f t="shared" si="4"/>
        <v>Colusa</v>
      </c>
      <c r="C197" s="30">
        <v>21419</v>
      </c>
      <c r="D197" s="30">
        <v>21407</v>
      </c>
      <c r="E197" s="30">
        <v>21437</v>
      </c>
      <c r="F197" s="30">
        <v>21323</v>
      </c>
      <c r="G197" s="30">
        <v>21284</v>
      </c>
      <c r="H197" s="30">
        <v>21250</v>
      </c>
      <c r="I197" s="30">
        <v>21176</v>
      </c>
      <c r="J197" s="30">
        <v>21231</v>
      </c>
      <c r="K197" s="30">
        <v>21496</v>
      </c>
      <c r="L197" s="30">
        <v>21579</v>
      </c>
      <c r="M197" s="30">
        <v>21418</v>
      </c>
      <c r="N197" s="30">
        <v>21547</v>
      </c>
      <c r="O197" s="24" t="str">
        <f t="shared" si="5"/>
        <v>Colusa County, California</v>
      </c>
    </row>
    <row r="198" spans="1:15" x14ac:dyDescent="0.25">
      <c r="A198" s="35" t="s">
        <v>674</v>
      </c>
      <c r="B198" s="28" t="str">
        <f t="shared" si="4"/>
        <v>Contra Costa</v>
      </c>
      <c r="C198" s="30">
        <v>1049025</v>
      </c>
      <c r="D198" s="30">
        <v>1049204</v>
      </c>
      <c r="E198" s="30">
        <v>1052540</v>
      </c>
      <c r="F198" s="30">
        <v>1065440</v>
      </c>
      <c r="G198" s="30">
        <v>1077548</v>
      </c>
      <c r="H198" s="30">
        <v>1093401</v>
      </c>
      <c r="I198" s="30">
        <v>1108876</v>
      </c>
      <c r="J198" s="30">
        <v>1124405</v>
      </c>
      <c r="K198" s="30">
        <v>1137268</v>
      </c>
      <c r="L198" s="30">
        <v>1145535</v>
      </c>
      <c r="M198" s="30">
        <v>1150519</v>
      </c>
      <c r="N198" s="30">
        <v>1153526</v>
      </c>
      <c r="O198" s="24" t="str">
        <f t="shared" si="5"/>
        <v>Contra Costa County, California</v>
      </c>
    </row>
    <row r="199" spans="1:15" x14ac:dyDescent="0.25">
      <c r="A199" s="35" t="s">
        <v>675</v>
      </c>
      <c r="B199" s="28" t="str">
        <f t="shared" ref="B199:B262" si="6">LEFT(A199,FIND("County",A199,1)-2)</f>
        <v>Del Norte</v>
      </c>
      <c r="C199" s="30">
        <v>28610</v>
      </c>
      <c r="D199" s="30">
        <v>28610</v>
      </c>
      <c r="E199" s="30">
        <v>28566</v>
      </c>
      <c r="F199" s="30">
        <v>28443</v>
      </c>
      <c r="G199" s="30">
        <v>28190</v>
      </c>
      <c r="H199" s="30">
        <v>27816</v>
      </c>
      <c r="I199" s="30">
        <v>27175</v>
      </c>
      <c r="J199" s="30">
        <v>27190</v>
      </c>
      <c r="K199" s="30">
        <v>27382</v>
      </c>
      <c r="L199" s="30">
        <v>27351</v>
      </c>
      <c r="M199" s="30">
        <v>27740</v>
      </c>
      <c r="N199" s="30">
        <v>27812</v>
      </c>
      <c r="O199" s="24" t="str">
        <f t="shared" ref="O199:O262" si="7">A199</f>
        <v>Del Norte County, California</v>
      </c>
    </row>
    <row r="200" spans="1:15" x14ac:dyDescent="0.25">
      <c r="A200" s="35" t="s">
        <v>676</v>
      </c>
      <c r="B200" s="28" t="str">
        <f t="shared" si="6"/>
        <v>El Dorado</v>
      </c>
      <c r="C200" s="30">
        <v>181058</v>
      </c>
      <c r="D200" s="30">
        <v>181058</v>
      </c>
      <c r="E200" s="30">
        <v>181136</v>
      </c>
      <c r="F200" s="30">
        <v>180936</v>
      </c>
      <c r="G200" s="30">
        <v>180575</v>
      </c>
      <c r="H200" s="30">
        <v>181481</v>
      </c>
      <c r="I200" s="30">
        <v>183108</v>
      </c>
      <c r="J200" s="30">
        <v>184569</v>
      </c>
      <c r="K200" s="30">
        <v>185976</v>
      </c>
      <c r="L200" s="30">
        <v>188679</v>
      </c>
      <c r="M200" s="30">
        <v>190746</v>
      </c>
      <c r="N200" s="30">
        <v>192843</v>
      </c>
      <c r="O200" s="24" t="str">
        <f t="shared" si="7"/>
        <v>El Dorado County, California</v>
      </c>
    </row>
    <row r="201" spans="1:15" x14ac:dyDescent="0.25">
      <c r="A201" s="35" t="s">
        <v>677</v>
      </c>
      <c r="B201" s="28" t="str">
        <f t="shared" si="6"/>
        <v>Fresno</v>
      </c>
      <c r="C201" s="30">
        <v>930450</v>
      </c>
      <c r="D201" s="30">
        <v>930507</v>
      </c>
      <c r="E201" s="30">
        <v>932039</v>
      </c>
      <c r="F201" s="30">
        <v>939406</v>
      </c>
      <c r="G201" s="30">
        <v>945045</v>
      </c>
      <c r="H201" s="30">
        <v>951514</v>
      </c>
      <c r="I201" s="30">
        <v>960567</v>
      </c>
      <c r="J201" s="30">
        <v>969488</v>
      </c>
      <c r="K201" s="30">
        <v>976830</v>
      </c>
      <c r="L201" s="30">
        <v>985238</v>
      </c>
      <c r="M201" s="30">
        <v>991950</v>
      </c>
      <c r="N201" s="30">
        <v>999101</v>
      </c>
      <c r="O201" s="24" t="str">
        <f t="shared" si="7"/>
        <v>Fresno County, California</v>
      </c>
    </row>
    <row r="202" spans="1:15" x14ac:dyDescent="0.25">
      <c r="A202" s="35" t="s">
        <v>678</v>
      </c>
      <c r="B202" s="28" t="str">
        <f t="shared" si="6"/>
        <v>Glenn</v>
      </c>
      <c r="C202" s="30">
        <v>28122</v>
      </c>
      <c r="D202" s="30">
        <v>28122</v>
      </c>
      <c r="E202" s="30">
        <v>28127</v>
      </c>
      <c r="F202" s="30">
        <v>28139</v>
      </c>
      <c r="G202" s="30">
        <v>27851</v>
      </c>
      <c r="H202" s="30">
        <v>27809</v>
      </c>
      <c r="I202" s="30">
        <v>27831</v>
      </c>
      <c r="J202" s="30">
        <v>27753</v>
      </c>
      <c r="K202" s="30">
        <v>27840</v>
      </c>
      <c r="L202" s="30">
        <v>27926</v>
      </c>
      <c r="M202" s="30">
        <v>27967</v>
      </c>
      <c r="N202" s="30">
        <v>28393</v>
      </c>
      <c r="O202" s="24" t="str">
        <f t="shared" si="7"/>
        <v>Glenn County, California</v>
      </c>
    </row>
    <row r="203" spans="1:15" x14ac:dyDescent="0.25">
      <c r="A203" s="35" t="s">
        <v>679</v>
      </c>
      <c r="B203" s="28" t="str">
        <f t="shared" si="6"/>
        <v>Humboldt</v>
      </c>
      <c r="C203" s="30">
        <v>134623</v>
      </c>
      <c r="D203" s="30">
        <v>134611</v>
      </c>
      <c r="E203" s="30">
        <v>135009</v>
      </c>
      <c r="F203" s="30">
        <v>135243</v>
      </c>
      <c r="G203" s="30">
        <v>134572</v>
      </c>
      <c r="H203" s="30">
        <v>134403</v>
      </c>
      <c r="I203" s="30">
        <v>134494</v>
      </c>
      <c r="J203" s="30">
        <v>135102</v>
      </c>
      <c r="K203" s="30">
        <v>136290</v>
      </c>
      <c r="L203" s="30">
        <v>136507</v>
      </c>
      <c r="M203" s="30">
        <v>136244</v>
      </c>
      <c r="N203" s="30">
        <v>135558</v>
      </c>
      <c r="O203" s="24" t="str">
        <f t="shared" si="7"/>
        <v>Humboldt County, California</v>
      </c>
    </row>
    <row r="204" spans="1:15" x14ac:dyDescent="0.25">
      <c r="A204" s="35" t="s">
        <v>680</v>
      </c>
      <c r="B204" s="28" t="str">
        <f t="shared" si="6"/>
        <v>Imperial</v>
      </c>
      <c r="C204" s="30">
        <v>174528</v>
      </c>
      <c r="D204" s="30">
        <v>174524</v>
      </c>
      <c r="E204" s="30">
        <v>174716</v>
      </c>
      <c r="F204" s="30">
        <v>175786</v>
      </c>
      <c r="G204" s="30">
        <v>176575</v>
      </c>
      <c r="H204" s="30">
        <v>176438</v>
      </c>
      <c r="I204" s="30">
        <v>177974</v>
      </c>
      <c r="J204" s="30">
        <v>178937</v>
      </c>
      <c r="K204" s="30">
        <v>180179</v>
      </c>
      <c r="L204" s="30">
        <v>181649</v>
      </c>
      <c r="M204" s="30">
        <v>181523</v>
      </c>
      <c r="N204" s="30">
        <v>181215</v>
      </c>
      <c r="O204" s="24" t="str">
        <f t="shared" si="7"/>
        <v>Imperial County, California</v>
      </c>
    </row>
    <row r="205" spans="1:15" x14ac:dyDescent="0.25">
      <c r="A205" s="35" t="s">
        <v>681</v>
      </c>
      <c r="B205" s="28" t="str">
        <f t="shared" si="6"/>
        <v>Inyo</v>
      </c>
      <c r="C205" s="30">
        <v>18546</v>
      </c>
      <c r="D205" s="30">
        <v>18542</v>
      </c>
      <c r="E205" s="30">
        <v>18511</v>
      </c>
      <c r="F205" s="30">
        <v>18392</v>
      </c>
      <c r="G205" s="30">
        <v>18351</v>
      </c>
      <c r="H205" s="30">
        <v>18357</v>
      </c>
      <c r="I205" s="30">
        <v>18292</v>
      </c>
      <c r="J205" s="30">
        <v>18108</v>
      </c>
      <c r="K205" s="30">
        <v>17922</v>
      </c>
      <c r="L205" s="30">
        <v>17868</v>
      </c>
      <c r="M205" s="30">
        <v>17946</v>
      </c>
      <c r="N205" s="30">
        <v>18039</v>
      </c>
      <c r="O205" s="24" t="str">
        <f t="shared" si="7"/>
        <v>Inyo County, California</v>
      </c>
    </row>
    <row r="206" spans="1:15" x14ac:dyDescent="0.25">
      <c r="A206" s="35" t="s">
        <v>682</v>
      </c>
      <c r="B206" s="28" t="str">
        <f t="shared" si="6"/>
        <v>Kern</v>
      </c>
      <c r="C206" s="30">
        <v>839631</v>
      </c>
      <c r="D206" s="30">
        <v>839621</v>
      </c>
      <c r="E206" s="30">
        <v>840996</v>
      </c>
      <c r="F206" s="30">
        <v>847970</v>
      </c>
      <c r="G206" s="30">
        <v>853606</v>
      </c>
      <c r="H206" s="30">
        <v>862000</v>
      </c>
      <c r="I206" s="30">
        <v>869176</v>
      </c>
      <c r="J206" s="30">
        <v>876031</v>
      </c>
      <c r="K206" s="30">
        <v>880856</v>
      </c>
      <c r="L206" s="30">
        <v>887356</v>
      </c>
      <c r="M206" s="30">
        <v>893758</v>
      </c>
      <c r="N206" s="30">
        <v>900202</v>
      </c>
      <c r="O206" s="24" t="str">
        <f t="shared" si="7"/>
        <v>Kern County, California</v>
      </c>
    </row>
    <row r="207" spans="1:15" x14ac:dyDescent="0.25">
      <c r="A207" s="35" t="s">
        <v>683</v>
      </c>
      <c r="B207" s="28" t="str">
        <f t="shared" si="6"/>
        <v>Kings</v>
      </c>
      <c r="C207" s="30">
        <v>152982</v>
      </c>
      <c r="D207" s="30">
        <v>152974</v>
      </c>
      <c r="E207" s="30">
        <v>152370</v>
      </c>
      <c r="F207" s="30">
        <v>151868</v>
      </c>
      <c r="G207" s="30">
        <v>150991</v>
      </c>
      <c r="H207" s="30">
        <v>150337</v>
      </c>
      <c r="I207" s="30">
        <v>149495</v>
      </c>
      <c r="J207" s="30">
        <v>150085</v>
      </c>
      <c r="K207" s="30">
        <v>149382</v>
      </c>
      <c r="L207" s="30">
        <v>149665</v>
      </c>
      <c r="M207" s="30">
        <v>151382</v>
      </c>
      <c r="N207" s="30">
        <v>152940</v>
      </c>
      <c r="O207" s="24" t="str">
        <f t="shared" si="7"/>
        <v>Kings County, California</v>
      </c>
    </row>
    <row r="208" spans="1:15" x14ac:dyDescent="0.25">
      <c r="A208" s="35" t="s">
        <v>684</v>
      </c>
      <c r="B208" s="28" t="str">
        <f t="shared" si="6"/>
        <v>Lake</v>
      </c>
      <c r="C208" s="30">
        <v>64665</v>
      </c>
      <c r="D208" s="30">
        <v>64662</v>
      </c>
      <c r="E208" s="30">
        <v>64735</v>
      </c>
      <c r="F208" s="30">
        <v>64251</v>
      </c>
      <c r="G208" s="30">
        <v>63954</v>
      </c>
      <c r="H208" s="30">
        <v>63796</v>
      </c>
      <c r="I208" s="30">
        <v>64044</v>
      </c>
      <c r="J208" s="30">
        <v>64260</v>
      </c>
      <c r="K208" s="30">
        <v>63903</v>
      </c>
      <c r="L208" s="30">
        <v>64111</v>
      </c>
      <c r="M208" s="30">
        <v>64317</v>
      </c>
      <c r="N208" s="30">
        <v>64386</v>
      </c>
      <c r="O208" s="24" t="str">
        <f t="shared" si="7"/>
        <v>Lake County, California</v>
      </c>
    </row>
    <row r="209" spans="1:15" x14ac:dyDescent="0.25">
      <c r="A209" s="35" t="s">
        <v>685</v>
      </c>
      <c r="B209" s="28" t="str">
        <f t="shared" si="6"/>
        <v>Lassen</v>
      </c>
      <c r="C209" s="30">
        <v>34895</v>
      </c>
      <c r="D209" s="30">
        <v>34895</v>
      </c>
      <c r="E209" s="30">
        <v>34831</v>
      </c>
      <c r="F209" s="30">
        <v>34246</v>
      </c>
      <c r="G209" s="30">
        <v>33629</v>
      </c>
      <c r="H209" s="30">
        <v>32129</v>
      </c>
      <c r="I209" s="30">
        <v>31664</v>
      </c>
      <c r="J209" s="30">
        <v>31256</v>
      </c>
      <c r="K209" s="30">
        <v>30721</v>
      </c>
      <c r="L209" s="30">
        <v>30920</v>
      </c>
      <c r="M209" s="30">
        <v>30618</v>
      </c>
      <c r="N209" s="30">
        <v>30573</v>
      </c>
      <c r="O209" s="24" t="str">
        <f t="shared" si="7"/>
        <v>Lassen County, California</v>
      </c>
    </row>
    <row r="210" spans="1:15" x14ac:dyDescent="0.25">
      <c r="A210" s="35" t="s">
        <v>686</v>
      </c>
      <c r="B210" s="28" t="str">
        <f t="shared" si="6"/>
        <v>Los Angeles</v>
      </c>
      <c r="C210" s="30">
        <v>9818605</v>
      </c>
      <c r="D210" s="30">
        <v>9819968</v>
      </c>
      <c r="E210" s="30">
        <v>9823246</v>
      </c>
      <c r="F210" s="30">
        <v>9876482</v>
      </c>
      <c r="G210" s="30">
        <v>9935375</v>
      </c>
      <c r="H210" s="30">
        <v>9992484</v>
      </c>
      <c r="I210" s="30">
        <v>10040072</v>
      </c>
      <c r="J210" s="30">
        <v>10085416</v>
      </c>
      <c r="K210" s="30">
        <v>10105708</v>
      </c>
      <c r="L210" s="30">
        <v>10103711</v>
      </c>
      <c r="M210" s="30">
        <v>10073906</v>
      </c>
      <c r="N210" s="30">
        <v>10039107</v>
      </c>
      <c r="O210" s="24" t="str">
        <f t="shared" si="7"/>
        <v>Los Angeles County, California</v>
      </c>
    </row>
    <row r="211" spans="1:15" x14ac:dyDescent="0.25">
      <c r="A211" s="35" t="s">
        <v>687</v>
      </c>
      <c r="B211" s="28" t="str">
        <f t="shared" si="6"/>
        <v>Madera</v>
      </c>
      <c r="C211" s="30">
        <v>150865</v>
      </c>
      <c r="D211" s="30">
        <v>150834</v>
      </c>
      <c r="E211" s="30">
        <v>150986</v>
      </c>
      <c r="F211" s="30">
        <v>151675</v>
      </c>
      <c r="G211" s="30">
        <v>151527</v>
      </c>
      <c r="H211" s="30">
        <v>151370</v>
      </c>
      <c r="I211" s="30">
        <v>153456</v>
      </c>
      <c r="J211" s="30">
        <v>153576</v>
      </c>
      <c r="K211" s="30">
        <v>153956</v>
      </c>
      <c r="L211" s="30">
        <v>155423</v>
      </c>
      <c r="M211" s="30">
        <v>156882</v>
      </c>
      <c r="N211" s="30">
        <v>157327</v>
      </c>
      <c r="O211" s="24" t="str">
        <f t="shared" si="7"/>
        <v>Madera County, California</v>
      </c>
    </row>
    <row r="212" spans="1:15" x14ac:dyDescent="0.25">
      <c r="A212" s="35" t="s">
        <v>688</v>
      </c>
      <c r="B212" s="28" t="str">
        <f t="shared" si="6"/>
        <v>Marin</v>
      </c>
      <c r="C212" s="30">
        <v>252409</v>
      </c>
      <c r="D212" s="30">
        <v>252430</v>
      </c>
      <c r="E212" s="30">
        <v>252904</v>
      </c>
      <c r="F212" s="30">
        <v>255376</v>
      </c>
      <c r="G212" s="30">
        <v>256061</v>
      </c>
      <c r="H212" s="30">
        <v>258409</v>
      </c>
      <c r="I212" s="30">
        <v>260359</v>
      </c>
      <c r="J212" s="30">
        <v>260916</v>
      </c>
      <c r="K212" s="30">
        <v>260562</v>
      </c>
      <c r="L212" s="30">
        <v>259749</v>
      </c>
      <c r="M212" s="30">
        <v>259662</v>
      </c>
      <c r="N212" s="30">
        <v>258826</v>
      </c>
      <c r="O212" s="24" t="str">
        <f t="shared" si="7"/>
        <v>Marin County, California</v>
      </c>
    </row>
    <row r="213" spans="1:15" x14ac:dyDescent="0.25">
      <c r="A213" s="35" t="s">
        <v>689</v>
      </c>
      <c r="B213" s="28" t="str">
        <f t="shared" si="6"/>
        <v>Mariposa</v>
      </c>
      <c r="C213" s="30">
        <v>18251</v>
      </c>
      <c r="D213" s="30">
        <v>18247</v>
      </c>
      <c r="E213" s="30">
        <v>18277</v>
      </c>
      <c r="F213" s="30">
        <v>18170</v>
      </c>
      <c r="G213" s="30">
        <v>17881</v>
      </c>
      <c r="H213" s="30">
        <v>17809</v>
      </c>
      <c r="I213" s="30">
        <v>17714</v>
      </c>
      <c r="J213" s="30">
        <v>17622</v>
      </c>
      <c r="K213" s="30">
        <v>17456</v>
      </c>
      <c r="L213" s="30">
        <v>17414</v>
      </c>
      <c r="M213" s="30">
        <v>17405</v>
      </c>
      <c r="N213" s="30">
        <v>17203</v>
      </c>
      <c r="O213" s="24" t="str">
        <f t="shared" si="7"/>
        <v>Mariposa County, California</v>
      </c>
    </row>
    <row r="214" spans="1:15" x14ac:dyDescent="0.25">
      <c r="A214" s="35" t="s">
        <v>690</v>
      </c>
      <c r="B214" s="28" t="str">
        <f t="shared" si="6"/>
        <v>Mendocino</v>
      </c>
      <c r="C214" s="30">
        <v>87841</v>
      </c>
      <c r="D214" s="30">
        <v>87850</v>
      </c>
      <c r="E214" s="30">
        <v>87799</v>
      </c>
      <c r="F214" s="30">
        <v>87334</v>
      </c>
      <c r="G214" s="30">
        <v>87288</v>
      </c>
      <c r="H214" s="30">
        <v>87054</v>
      </c>
      <c r="I214" s="30">
        <v>87225</v>
      </c>
      <c r="J214" s="30">
        <v>87107</v>
      </c>
      <c r="K214" s="30">
        <v>87285</v>
      </c>
      <c r="L214" s="30">
        <v>87576</v>
      </c>
      <c r="M214" s="30">
        <v>87401</v>
      </c>
      <c r="N214" s="30">
        <v>86749</v>
      </c>
      <c r="O214" s="24" t="str">
        <f t="shared" si="7"/>
        <v>Mendocino County, California</v>
      </c>
    </row>
    <row r="215" spans="1:15" x14ac:dyDescent="0.25">
      <c r="A215" s="35" t="s">
        <v>691</v>
      </c>
      <c r="B215" s="28" t="str">
        <f t="shared" si="6"/>
        <v>Merced</v>
      </c>
      <c r="C215" s="30">
        <v>255793</v>
      </c>
      <c r="D215" s="30">
        <v>255796</v>
      </c>
      <c r="E215" s="30">
        <v>256721</v>
      </c>
      <c r="F215" s="30">
        <v>259297</v>
      </c>
      <c r="G215" s="30">
        <v>260867</v>
      </c>
      <c r="H215" s="30">
        <v>262026</v>
      </c>
      <c r="I215" s="30">
        <v>264419</v>
      </c>
      <c r="J215" s="30">
        <v>266353</v>
      </c>
      <c r="K215" s="30">
        <v>267628</v>
      </c>
      <c r="L215" s="30">
        <v>271096</v>
      </c>
      <c r="M215" s="30">
        <v>274151</v>
      </c>
      <c r="N215" s="30">
        <v>277680</v>
      </c>
      <c r="O215" s="24" t="str">
        <f t="shared" si="7"/>
        <v>Merced County, California</v>
      </c>
    </row>
    <row r="216" spans="1:15" x14ac:dyDescent="0.25">
      <c r="A216" s="35" t="s">
        <v>692</v>
      </c>
      <c r="B216" s="28" t="str">
        <f t="shared" si="6"/>
        <v>Modoc</v>
      </c>
      <c r="C216" s="30">
        <v>9686</v>
      </c>
      <c r="D216" s="30">
        <v>9682</v>
      </c>
      <c r="E216" s="30">
        <v>9694</v>
      </c>
      <c r="F216" s="30">
        <v>9509</v>
      </c>
      <c r="G216" s="30">
        <v>9351</v>
      </c>
      <c r="H216" s="30">
        <v>9145</v>
      </c>
      <c r="I216" s="30">
        <v>9068</v>
      </c>
      <c r="J216" s="30">
        <v>9056</v>
      </c>
      <c r="K216" s="30">
        <v>8961</v>
      </c>
      <c r="L216" s="30">
        <v>8876</v>
      </c>
      <c r="M216" s="30">
        <v>8800</v>
      </c>
      <c r="N216" s="30">
        <v>8841</v>
      </c>
      <c r="O216" s="24" t="str">
        <f t="shared" si="7"/>
        <v>Modoc County, California</v>
      </c>
    </row>
    <row r="217" spans="1:15" x14ac:dyDescent="0.25">
      <c r="A217" s="35" t="s">
        <v>693</v>
      </c>
      <c r="B217" s="28" t="str">
        <f t="shared" si="6"/>
        <v>Mono</v>
      </c>
      <c r="C217" s="30">
        <v>14202</v>
      </c>
      <c r="D217" s="30">
        <v>14206</v>
      </c>
      <c r="E217" s="30">
        <v>14257</v>
      </c>
      <c r="F217" s="30">
        <v>14422</v>
      </c>
      <c r="G217" s="30">
        <v>14331</v>
      </c>
      <c r="H217" s="30">
        <v>14067</v>
      </c>
      <c r="I217" s="30">
        <v>14134</v>
      </c>
      <c r="J217" s="30">
        <v>14077</v>
      </c>
      <c r="K217" s="30">
        <v>14273</v>
      </c>
      <c r="L217" s="30">
        <v>14354</v>
      </c>
      <c r="M217" s="30">
        <v>14403</v>
      </c>
      <c r="N217" s="30">
        <v>14444</v>
      </c>
      <c r="O217" s="24" t="str">
        <f t="shared" si="7"/>
        <v>Mono County, California</v>
      </c>
    </row>
    <row r="218" spans="1:15" x14ac:dyDescent="0.25">
      <c r="A218" s="35" t="s">
        <v>694</v>
      </c>
      <c r="B218" s="28" t="str">
        <f t="shared" si="6"/>
        <v>Monterey</v>
      </c>
      <c r="C218" s="30">
        <v>415057</v>
      </c>
      <c r="D218" s="30">
        <v>415059</v>
      </c>
      <c r="E218" s="30">
        <v>416373</v>
      </c>
      <c r="F218" s="30">
        <v>420456</v>
      </c>
      <c r="G218" s="30">
        <v>424788</v>
      </c>
      <c r="H218" s="30">
        <v>426712</v>
      </c>
      <c r="I218" s="30">
        <v>428475</v>
      </c>
      <c r="J218" s="30">
        <v>430552</v>
      </c>
      <c r="K218" s="30">
        <v>433953</v>
      </c>
      <c r="L218" s="30">
        <v>434534</v>
      </c>
      <c r="M218" s="30">
        <v>433950</v>
      </c>
      <c r="N218" s="30">
        <v>434061</v>
      </c>
      <c r="O218" s="24" t="str">
        <f t="shared" si="7"/>
        <v>Monterey County, California</v>
      </c>
    </row>
    <row r="219" spans="1:15" x14ac:dyDescent="0.25">
      <c r="A219" s="35" t="s">
        <v>695</v>
      </c>
      <c r="B219" s="28" t="str">
        <f t="shared" si="6"/>
        <v>Napa</v>
      </c>
      <c r="C219" s="30">
        <v>136484</v>
      </c>
      <c r="D219" s="30">
        <v>136535</v>
      </c>
      <c r="E219" s="30">
        <v>136759</v>
      </c>
      <c r="F219" s="30">
        <v>137691</v>
      </c>
      <c r="G219" s="30">
        <v>138538</v>
      </c>
      <c r="H219" s="30">
        <v>139580</v>
      </c>
      <c r="I219" s="30">
        <v>140405</v>
      </c>
      <c r="J219" s="30">
        <v>140862</v>
      </c>
      <c r="K219" s="30">
        <v>140840</v>
      </c>
      <c r="L219" s="30">
        <v>139878</v>
      </c>
      <c r="M219" s="30">
        <v>138789</v>
      </c>
      <c r="N219" s="30">
        <v>137744</v>
      </c>
      <c r="O219" s="24" t="str">
        <f t="shared" si="7"/>
        <v>Napa County, California</v>
      </c>
    </row>
    <row r="220" spans="1:15" x14ac:dyDescent="0.25">
      <c r="A220" s="35" t="s">
        <v>696</v>
      </c>
      <c r="B220" s="28" t="str">
        <f t="shared" si="6"/>
        <v>Nevada</v>
      </c>
      <c r="C220" s="30">
        <v>98764</v>
      </c>
      <c r="D220" s="30">
        <v>98747</v>
      </c>
      <c r="E220" s="30">
        <v>98790</v>
      </c>
      <c r="F220" s="30">
        <v>98701</v>
      </c>
      <c r="G220" s="30">
        <v>98137</v>
      </c>
      <c r="H220" s="30">
        <v>97938</v>
      </c>
      <c r="I220" s="30">
        <v>98572</v>
      </c>
      <c r="J220" s="30">
        <v>98676</v>
      </c>
      <c r="K220" s="30">
        <v>98913</v>
      </c>
      <c r="L220" s="30">
        <v>99367</v>
      </c>
      <c r="M220" s="30">
        <v>99508</v>
      </c>
      <c r="N220" s="30">
        <v>99755</v>
      </c>
      <c r="O220" s="24" t="str">
        <f t="shared" si="7"/>
        <v>Nevada County, California</v>
      </c>
    </row>
    <row r="221" spans="1:15" x14ac:dyDescent="0.25">
      <c r="A221" s="35" t="s">
        <v>697</v>
      </c>
      <c r="B221" s="28" t="str">
        <f t="shared" si="6"/>
        <v>Orange</v>
      </c>
      <c r="C221" s="30">
        <v>3010232</v>
      </c>
      <c r="D221" s="30">
        <v>3008989</v>
      </c>
      <c r="E221" s="30">
        <v>3015171</v>
      </c>
      <c r="F221" s="30">
        <v>3049271</v>
      </c>
      <c r="G221" s="30">
        <v>3078068</v>
      </c>
      <c r="H221" s="30">
        <v>3104950</v>
      </c>
      <c r="I221" s="30">
        <v>3126537</v>
      </c>
      <c r="J221" s="30">
        <v>3149280</v>
      </c>
      <c r="K221" s="30">
        <v>3164986</v>
      </c>
      <c r="L221" s="30">
        <v>3174289</v>
      </c>
      <c r="M221" s="30">
        <v>3175973</v>
      </c>
      <c r="N221" s="30">
        <v>3175692</v>
      </c>
      <c r="O221" s="24" t="str">
        <f t="shared" si="7"/>
        <v>Orange County, California</v>
      </c>
    </row>
    <row r="222" spans="1:15" x14ac:dyDescent="0.25">
      <c r="A222" s="35" t="s">
        <v>698</v>
      </c>
      <c r="B222" s="28" t="str">
        <f t="shared" si="6"/>
        <v>Placer</v>
      </c>
      <c r="C222" s="30">
        <v>348432</v>
      </c>
      <c r="D222" s="30">
        <v>348502</v>
      </c>
      <c r="E222" s="30">
        <v>350021</v>
      </c>
      <c r="F222" s="30">
        <v>356328</v>
      </c>
      <c r="G222" s="30">
        <v>360263</v>
      </c>
      <c r="H222" s="30">
        <v>365398</v>
      </c>
      <c r="I222" s="30">
        <v>369217</v>
      </c>
      <c r="J222" s="30">
        <v>372841</v>
      </c>
      <c r="K222" s="30">
        <v>378943</v>
      </c>
      <c r="L222" s="30">
        <v>385115</v>
      </c>
      <c r="M222" s="30">
        <v>392330</v>
      </c>
      <c r="N222" s="30">
        <v>398329</v>
      </c>
      <c r="O222" s="24" t="str">
        <f t="shared" si="7"/>
        <v>Placer County, California</v>
      </c>
    </row>
    <row r="223" spans="1:15" x14ac:dyDescent="0.25">
      <c r="A223" s="35" t="s">
        <v>699</v>
      </c>
      <c r="B223" s="28" t="str">
        <f t="shared" si="6"/>
        <v>Plumas</v>
      </c>
      <c r="C223" s="30">
        <v>20007</v>
      </c>
      <c r="D223" s="30">
        <v>20007</v>
      </c>
      <c r="E223" s="30">
        <v>19914</v>
      </c>
      <c r="F223" s="30">
        <v>19719</v>
      </c>
      <c r="G223" s="30">
        <v>19377</v>
      </c>
      <c r="H223" s="30">
        <v>18895</v>
      </c>
      <c r="I223" s="30">
        <v>18622</v>
      </c>
      <c r="J223" s="30">
        <v>18427</v>
      </c>
      <c r="K223" s="30">
        <v>18665</v>
      </c>
      <c r="L223" s="30">
        <v>18660</v>
      </c>
      <c r="M223" s="30">
        <v>18741</v>
      </c>
      <c r="N223" s="30">
        <v>18807</v>
      </c>
      <c r="O223" s="24" t="str">
        <f t="shared" si="7"/>
        <v>Plumas County, California</v>
      </c>
    </row>
    <row r="224" spans="1:15" x14ac:dyDescent="0.25">
      <c r="A224" s="35" t="s">
        <v>700</v>
      </c>
      <c r="B224" s="28" t="str">
        <f t="shared" si="6"/>
        <v>Riverside</v>
      </c>
      <c r="C224" s="30">
        <v>2189641</v>
      </c>
      <c r="D224" s="30">
        <v>2189765</v>
      </c>
      <c r="E224" s="30">
        <v>2201576</v>
      </c>
      <c r="F224" s="30">
        <v>2234070</v>
      </c>
      <c r="G224" s="30">
        <v>2261204</v>
      </c>
      <c r="H224" s="30">
        <v>2286755</v>
      </c>
      <c r="I224" s="30">
        <v>2316162</v>
      </c>
      <c r="J224" s="30">
        <v>2345816</v>
      </c>
      <c r="K224" s="30">
        <v>2380081</v>
      </c>
      <c r="L224" s="30">
        <v>2414964</v>
      </c>
      <c r="M224" s="30">
        <v>2445789</v>
      </c>
      <c r="N224" s="30">
        <v>2470546</v>
      </c>
      <c r="O224" s="24" t="str">
        <f t="shared" si="7"/>
        <v>Riverside County, California</v>
      </c>
    </row>
    <row r="225" spans="1:15" x14ac:dyDescent="0.25">
      <c r="A225" s="35" t="s">
        <v>701</v>
      </c>
      <c r="B225" s="28" t="str">
        <f t="shared" si="6"/>
        <v>Sacramento</v>
      </c>
      <c r="C225" s="30">
        <v>1418788</v>
      </c>
      <c r="D225" s="30">
        <v>1418735</v>
      </c>
      <c r="E225" s="30">
        <v>1421383</v>
      </c>
      <c r="F225" s="30">
        <v>1433730</v>
      </c>
      <c r="G225" s="30">
        <v>1444852</v>
      </c>
      <c r="H225" s="30">
        <v>1457341</v>
      </c>
      <c r="I225" s="30">
        <v>1474917</v>
      </c>
      <c r="J225" s="30">
        <v>1493674</v>
      </c>
      <c r="K225" s="30">
        <v>1510987</v>
      </c>
      <c r="L225" s="30">
        <v>1527301</v>
      </c>
      <c r="M225" s="30">
        <v>1538746</v>
      </c>
      <c r="N225" s="30">
        <v>1552058</v>
      </c>
      <c r="O225" s="24" t="str">
        <f t="shared" si="7"/>
        <v>Sacramento County, California</v>
      </c>
    </row>
    <row r="226" spans="1:15" x14ac:dyDescent="0.25">
      <c r="A226" s="35" t="s">
        <v>702</v>
      </c>
      <c r="B226" s="28" t="str">
        <f t="shared" si="6"/>
        <v>San Benito</v>
      </c>
      <c r="C226" s="30">
        <v>55269</v>
      </c>
      <c r="D226" s="30">
        <v>55265</v>
      </c>
      <c r="E226" s="30">
        <v>55516</v>
      </c>
      <c r="F226" s="30">
        <v>55977</v>
      </c>
      <c r="G226" s="30">
        <v>56599</v>
      </c>
      <c r="H226" s="30">
        <v>57239</v>
      </c>
      <c r="I226" s="30">
        <v>57825</v>
      </c>
      <c r="J226" s="30">
        <v>58216</v>
      </c>
      <c r="K226" s="30">
        <v>59225</v>
      </c>
      <c r="L226" s="30">
        <v>60164</v>
      </c>
      <c r="M226" s="30">
        <v>61467</v>
      </c>
      <c r="N226" s="30">
        <v>62808</v>
      </c>
      <c r="O226" s="24" t="str">
        <f t="shared" si="7"/>
        <v>San Benito County, California</v>
      </c>
    </row>
    <row r="227" spans="1:15" x14ac:dyDescent="0.25">
      <c r="A227" s="35" t="s">
        <v>703</v>
      </c>
      <c r="B227" s="28" t="str">
        <f t="shared" si="6"/>
        <v>San Bernardino</v>
      </c>
      <c r="C227" s="30">
        <v>2035210</v>
      </c>
      <c r="D227" s="30">
        <v>2035183</v>
      </c>
      <c r="E227" s="30">
        <v>2040848</v>
      </c>
      <c r="F227" s="30">
        <v>2060827</v>
      </c>
      <c r="G227" s="30">
        <v>2073512</v>
      </c>
      <c r="H227" s="30">
        <v>2082738</v>
      </c>
      <c r="I227" s="30">
        <v>2099181</v>
      </c>
      <c r="J227" s="30">
        <v>2115411</v>
      </c>
      <c r="K227" s="30">
        <v>2131960</v>
      </c>
      <c r="L227" s="30">
        <v>2150945</v>
      </c>
      <c r="M227" s="30">
        <v>2166753</v>
      </c>
      <c r="N227" s="30">
        <v>2180085</v>
      </c>
      <c r="O227" s="24" t="str">
        <f t="shared" si="7"/>
        <v>San Bernardino County, California</v>
      </c>
    </row>
    <row r="228" spans="1:15" x14ac:dyDescent="0.25">
      <c r="A228" s="35" t="s">
        <v>704</v>
      </c>
      <c r="B228" s="28" t="str">
        <f t="shared" si="6"/>
        <v>San Diego</v>
      </c>
      <c r="C228" s="30">
        <v>3095313</v>
      </c>
      <c r="D228" s="30">
        <v>3095349</v>
      </c>
      <c r="E228" s="30">
        <v>3103212</v>
      </c>
      <c r="F228" s="30">
        <v>3137156</v>
      </c>
      <c r="G228" s="30">
        <v>3174335</v>
      </c>
      <c r="H228" s="30">
        <v>3209768</v>
      </c>
      <c r="I228" s="30">
        <v>3248877</v>
      </c>
      <c r="J228" s="30">
        <v>3280850</v>
      </c>
      <c r="K228" s="30">
        <v>3306089</v>
      </c>
      <c r="L228" s="30">
        <v>3321237</v>
      </c>
      <c r="M228" s="30">
        <v>3333861</v>
      </c>
      <c r="N228" s="30">
        <v>3338330</v>
      </c>
      <c r="O228" s="24" t="str">
        <f t="shared" si="7"/>
        <v>San Diego County, California</v>
      </c>
    </row>
    <row r="229" spans="1:15" x14ac:dyDescent="0.25">
      <c r="A229" s="35" t="s">
        <v>705</v>
      </c>
      <c r="B229" s="28" t="str">
        <f t="shared" si="6"/>
        <v>San Francisco</v>
      </c>
      <c r="C229" s="30">
        <v>805235</v>
      </c>
      <c r="D229" s="30">
        <v>805184</v>
      </c>
      <c r="E229" s="30">
        <v>805505</v>
      </c>
      <c r="F229" s="30">
        <v>815650</v>
      </c>
      <c r="G229" s="30">
        <v>828876</v>
      </c>
      <c r="H229" s="30">
        <v>839572</v>
      </c>
      <c r="I229" s="30">
        <v>850750</v>
      </c>
      <c r="J229" s="30">
        <v>863010</v>
      </c>
      <c r="K229" s="30">
        <v>871512</v>
      </c>
      <c r="L229" s="30">
        <v>878040</v>
      </c>
      <c r="M229" s="30">
        <v>880696</v>
      </c>
      <c r="N229" s="30">
        <v>881549</v>
      </c>
      <c r="O229" s="24" t="str">
        <f t="shared" si="7"/>
        <v>San Francisco County, California</v>
      </c>
    </row>
    <row r="230" spans="1:15" x14ac:dyDescent="0.25">
      <c r="A230" s="35" t="s">
        <v>706</v>
      </c>
      <c r="B230" s="28" t="str">
        <f t="shared" si="6"/>
        <v>San Joaquin</v>
      </c>
      <c r="C230" s="30">
        <v>685306</v>
      </c>
      <c r="D230" s="30">
        <v>685306</v>
      </c>
      <c r="E230" s="30">
        <v>687127</v>
      </c>
      <c r="F230" s="30">
        <v>694354</v>
      </c>
      <c r="G230" s="30">
        <v>699593</v>
      </c>
      <c r="H230" s="30">
        <v>702046</v>
      </c>
      <c r="I230" s="30">
        <v>711579</v>
      </c>
      <c r="J230" s="30">
        <v>722271</v>
      </c>
      <c r="K230" s="30">
        <v>732809</v>
      </c>
      <c r="L230" s="30">
        <v>743296</v>
      </c>
      <c r="M230" s="30">
        <v>752491</v>
      </c>
      <c r="N230" s="30">
        <v>762148</v>
      </c>
      <c r="O230" s="24" t="str">
        <f t="shared" si="7"/>
        <v>San Joaquin County, California</v>
      </c>
    </row>
    <row r="231" spans="1:15" x14ac:dyDescent="0.25">
      <c r="A231" s="35" t="s">
        <v>707</v>
      </c>
      <c r="B231" s="28" t="str">
        <f t="shared" si="6"/>
        <v>San Luis Obispo</v>
      </c>
      <c r="C231" s="30">
        <v>269637</v>
      </c>
      <c r="D231" s="30">
        <v>269597</v>
      </c>
      <c r="E231" s="30">
        <v>269802</v>
      </c>
      <c r="F231" s="30">
        <v>271058</v>
      </c>
      <c r="G231" s="30">
        <v>274160</v>
      </c>
      <c r="H231" s="30">
        <v>275696</v>
      </c>
      <c r="I231" s="30">
        <v>278227</v>
      </c>
      <c r="J231" s="30">
        <v>280077</v>
      </c>
      <c r="K231" s="30">
        <v>281803</v>
      </c>
      <c r="L231" s="30">
        <v>282481</v>
      </c>
      <c r="M231" s="30">
        <v>283354</v>
      </c>
      <c r="N231" s="30">
        <v>283111</v>
      </c>
      <c r="O231" s="24" t="str">
        <f t="shared" si="7"/>
        <v>San Luis Obispo County, California</v>
      </c>
    </row>
    <row r="232" spans="1:15" x14ac:dyDescent="0.25">
      <c r="A232" s="35" t="s">
        <v>708</v>
      </c>
      <c r="B232" s="28" t="str">
        <f t="shared" si="6"/>
        <v>San Mateo</v>
      </c>
      <c r="C232" s="30">
        <v>718451</v>
      </c>
      <c r="D232" s="30">
        <v>718517</v>
      </c>
      <c r="E232" s="30">
        <v>719699</v>
      </c>
      <c r="F232" s="30">
        <v>728344</v>
      </c>
      <c r="G232" s="30">
        <v>739224</v>
      </c>
      <c r="H232" s="30">
        <v>748661</v>
      </c>
      <c r="I232" s="30">
        <v>757204</v>
      </c>
      <c r="J232" s="30">
        <v>765055</v>
      </c>
      <c r="K232" s="30">
        <v>767906</v>
      </c>
      <c r="L232" s="30">
        <v>768901</v>
      </c>
      <c r="M232" s="30">
        <v>768681</v>
      </c>
      <c r="N232" s="30">
        <v>766573</v>
      </c>
      <c r="O232" s="24" t="str">
        <f t="shared" si="7"/>
        <v>San Mateo County, California</v>
      </c>
    </row>
    <row r="233" spans="1:15" x14ac:dyDescent="0.25">
      <c r="A233" s="35" t="s">
        <v>709</v>
      </c>
      <c r="B233" s="28" t="str">
        <f t="shared" si="6"/>
        <v>Santa Barbara</v>
      </c>
      <c r="C233" s="30">
        <v>423895</v>
      </c>
      <c r="D233" s="30">
        <v>423947</v>
      </c>
      <c r="E233" s="30">
        <v>424231</v>
      </c>
      <c r="F233" s="30">
        <v>425453</v>
      </c>
      <c r="G233" s="30">
        <v>429699</v>
      </c>
      <c r="H233" s="30">
        <v>434601</v>
      </c>
      <c r="I233" s="30">
        <v>439045</v>
      </c>
      <c r="J233" s="30">
        <v>442229</v>
      </c>
      <c r="K233" s="30">
        <v>444340</v>
      </c>
      <c r="L233" s="30">
        <v>445298</v>
      </c>
      <c r="M233" s="30">
        <v>445780</v>
      </c>
      <c r="N233" s="30">
        <v>446499</v>
      </c>
      <c r="O233" s="24" t="str">
        <f t="shared" si="7"/>
        <v>Santa Barbara County, California</v>
      </c>
    </row>
    <row r="234" spans="1:15" x14ac:dyDescent="0.25">
      <c r="A234" s="35" t="s">
        <v>710</v>
      </c>
      <c r="B234" s="28" t="str">
        <f t="shared" si="6"/>
        <v>Santa Clara</v>
      </c>
      <c r="C234" s="30">
        <v>1781642</v>
      </c>
      <c r="D234" s="30">
        <v>1781686</v>
      </c>
      <c r="E234" s="30">
        <v>1786040</v>
      </c>
      <c r="F234" s="30">
        <v>1812054</v>
      </c>
      <c r="G234" s="30">
        <v>1837853</v>
      </c>
      <c r="H234" s="30">
        <v>1866425</v>
      </c>
      <c r="I234" s="30">
        <v>1891753</v>
      </c>
      <c r="J234" s="30">
        <v>1916285</v>
      </c>
      <c r="K234" s="30">
        <v>1928368</v>
      </c>
      <c r="L234" s="30">
        <v>1932510</v>
      </c>
      <c r="M234" s="30">
        <v>1932337</v>
      </c>
      <c r="N234" s="30">
        <v>1927852</v>
      </c>
      <c r="O234" s="24" t="str">
        <f t="shared" si="7"/>
        <v>Santa Clara County, California</v>
      </c>
    </row>
    <row r="235" spans="1:15" x14ac:dyDescent="0.25">
      <c r="A235" s="35" t="s">
        <v>711</v>
      </c>
      <c r="B235" s="28" t="str">
        <f t="shared" si="6"/>
        <v>Santa Cruz</v>
      </c>
      <c r="C235" s="30">
        <v>262382</v>
      </c>
      <c r="D235" s="30">
        <v>262350</v>
      </c>
      <c r="E235" s="30">
        <v>263147</v>
      </c>
      <c r="F235" s="30">
        <v>264858</v>
      </c>
      <c r="G235" s="30">
        <v>266340</v>
      </c>
      <c r="H235" s="30">
        <v>268816</v>
      </c>
      <c r="I235" s="30">
        <v>270861</v>
      </c>
      <c r="J235" s="30">
        <v>273503</v>
      </c>
      <c r="K235" s="30">
        <v>274396</v>
      </c>
      <c r="L235" s="30">
        <v>274856</v>
      </c>
      <c r="M235" s="30">
        <v>273841</v>
      </c>
      <c r="N235" s="30">
        <v>273213</v>
      </c>
      <c r="O235" s="24" t="str">
        <f t="shared" si="7"/>
        <v>Santa Cruz County, California</v>
      </c>
    </row>
    <row r="236" spans="1:15" x14ac:dyDescent="0.25">
      <c r="A236" s="35" t="s">
        <v>712</v>
      </c>
      <c r="B236" s="28" t="str">
        <f t="shared" si="6"/>
        <v>Shasta</v>
      </c>
      <c r="C236" s="30">
        <v>177223</v>
      </c>
      <c r="D236" s="30">
        <v>177221</v>
      </c>
      <c r="E236" s="30">
        <v>177274</v>
      </c>
      <c r="F236" s="30">
        <v>177588</v>
      </c>
      <c r="G236" s="30">
        <v>177875</v>
      </c>
      <c r="H236" s="30">
        <v>178397</v>
      </c>
      <c r="I236" s="30">
        <v>178844</v>
      </c>
      <c r="J236" s="30">
        <v>178314</v>
      </c>
      <c r="K236" s="30">
        <v>178571</v>
      </c>
      <c r="L236" s="30">
        <v>179384</v>
      </c>
      <c r="M236" s="30">
        <v>179709</v>
      </c>
      <c r="N236" s="30">
        <v>180080</v>
      </c>
      <c r="O236" s="24" t="str">
        <f t="shared" si="7"/>
        <v>Shasta County, California</v>
      </c>
    </row>
    <row r="237" spans="1:15" x14ac:dyDescent="0.25">
      <c r="A237" s="35" t="s">
        <v>713</v>
      </c>
      <c r="B237" s="28" t="str">
        <f t="shared" si="6"/>
        <v>Sierra</v>
      </c>
      <c r="C237" s="30">
        <v>3240</v>
      </c>
      <c r="D237" s="30">
        <v>3239</v>
      </c>
      <c r="E237" s="30">
        <v>3220</v>
      </c>
      <c r="F237" s="30">
        <v>3098</v>
      </c>
      <c r="G237" s="30">
        <v>3067</v>
      </c>
      <c r="H237" s="30">
        <v>3028</v>
      </c>
      <c r="I237" s="30">
        <v>2972</v>
      </c>
      <c r="J237" s="30">
        <v>2985</v>
      </c>
      <c r="K237" s="30">
        <v>2951</v>
      </c>
      <c r="L237" s="30">
        <v>3002</v>
      </c>
      <c r="M237" s="30">
        <v>2997</v>
      </c>
      <c r="N237" s="30">
        <v>3005</v>
      </c>
      <c r="O237" s="24" t="str">
        <f t="shared" si="7"/>
        <v>Sierra County, California</v>
      </c>
    </row>
    <row r="238" spans="1:15" x14ac:dyDescent="0.25">
      <c r="A238" s="35" t="s">
        <v>714</v>
      </c>
      <c r="B238" s="28" t="str">
        <f t="shared" si="6"/>
        <v>Siskiyou</v>
      </c>
      <c r="C238" s="30">
        <v>44900</v>
      </c>
      <c r="D238" s="30">
        <v>44900</v>
      </c>
      <c r="E238" s="30">
        <v>44938</v>
      </c>
      <c r="F238" s="30">
        <v>44615</v>
      </c>
      <c r="G238" s="30">
        <v>44079</v>
      </c>
      <c r="H238" s="30">
        <v>43532</v>
      </c>
      <c r="I238" s="30">
        <v>43338</v>
      </c>
      <c r="J238" s="30">
        <v>43254</v>
      </c>
      <c r="K238" s="30">
        <v>43376</v>
      </c>
      <c r="L238" s="30">
        <v>43622</v>
      </c>
      <c r="M238" s="30">
        <v>43550</v>
      </c>
      <c r="N238" s="30">
        <v>43539</v>
      </c>
      <c r="O238" s="24" t="str">
        <f t="shared" si="7"/>
        <v>Siskiyou County, California</v>
      </c>
    </row>
    <row r="239" spans="1:15" x14ac:dyDescent="0.25">
      <c r="A239" s="35" t="s">
        <v>715</v>
      </c>
      <c r="B239" s="28" t="str">
        <f t="shared" si="6"/>
        <v>Solano</v>
      </c>
      <c r="C239" s="30">
        <v>413344</v>
      </c>
      <c r="D239" s="30">
        <v>413343</v>
      </c>
      <c r="E239" s="30">
        <v>413967</v>
      </c>
      <c r="F239" s="30">
        <v>416342</v>
      </c>
      <c r="G239" s="30">
        <v>419674</v>
      </c>
      <c r="H239" s="30">
        <v>423659</v>
      </c>
      <c r="I239" s="30">
        <v>429006</v>
      </c>
      <c r="J239" s="30">
        <v>433409</v>
      </c>
      <c r="K239" s="30">
        <v>438858</v>
      </c>
      <c r="L239" s="30">
        <v>443511</v>
      </c>
      <c r="M239" s="30">
        <v>445725</v>
      </c>
      <c r="N239" s="30">
        <v>447643</v>
      </c>
      <c r="O239" s="24" t="str">
        <f t="shared" si="7"/>
        <v>Solano County, California</v>
      </c>
    </row>
    <row r="240" spans="1:15" x14ac:dyDescent="0.25">
      <c r="A240" s="35" t="s">
        <v>716</v>
      </c>
      <c r="B240" s="28" t="str">
        <f t="shared" si="6"/>
        <v>Sonoma</v>
      </c>
      <c r="C240" s="30">
        <v>483878</v>
      </c>
      <c r="D240" s="30">
        <v>483861</v>
      </c>
      <c r="E240" s="30">
        <v>484755</v>
      </c>
      <c r="F240" s="30">
        <v>487421</v>
      </c>
      <c r="G240" s="30">
        <v>489993</v>
      </c>
      <c r="H240" s="30">
        <v>494073</v>
      </c>
      <c r="I240" s="30">
        <v>498560</v>
      </c>
      <c r="J240" s="30">
        <v>500863</v>
      </c>
      <c r="K240" s="30">
        <v>502547</v>
      </c>
      <c r="L240" s="30">
        <v>502469</v>
      </c>
      <c r="M240" s="30">
        <v>498643</v>
      </c>
      <c r="N240" s="30">
        <v>494336</v>
      </c>
      <c r="O240" s="24" t="str">
        <f t="shared" si="7"/>
        <v>Sonoma County, California</v>
      </c>
    </row>
    <row r="241" spans="1:15" x14ac:dyDescent="0.25">
      <c r="A241" s="35" t="s">
        <v>717</v>
      </c>
      <c r="B241" s="28" t="str">
        <f t="shared" si="6"/>
        <v>Stanislaus</v>
      </c>
      <c r="C241" s="30">
        <v>514453</v>
      </c>
      <c r="D241" s="30">
        <v>514450</v>
      </c>
      <c r="E241" s="30">
        <v>515145</v>
      </c>
      <c r="F241" s="30">
        <v>517560</v>
      </c>
      <c r="G241" s="30">
        <v>520424</v>
      </c>
      <c r="H241" s="30">
        <v>523451</v>
      </c>
      <c r="I241" s="30">
        <v>528015</v>
      </c>
      <c r="J241" s="30">
        <v>533211</v>
      </c>
      <c r="K241" s="30">
        <v>539255</v>
      </c>
      <c r="L241" s="30">
        <v>544717</v>
      </c>
      <c r="M241" s="30">
        <v>548126</v>
      </c>
      <c r="N241" s="30">
        <v>550660</v>
      </c>
      <c r="O241" s="24" t="str">
        <f t="shared" si="7"/>
        <v>Stanislaus County, California</v>
      </c>
    </row>
    <row r="242" spans="1:15" x14ac:dyDescent="0.25">
      <c r="A242" s="35" t="s">
        <v>718</v>
      </c>
      <c r="B242" s="28" t="str">
        <f t="shared" si="6"/>
        <v>Sutter</v>
      </c>
      <c r="C242" s="30">
        <v>94737</v>
      </c>
      <c r="D242" s="30">
        <v>94756</v>
      </c>
      <c r="E242" s="30">
        <v>94751</v>
      </c>
      <c r="F242" s="30">
        <v>94482</v>
      </c>
      <c r="G242" s="30">
        <v>94189</v>
      </c>
      <c r="H242" s="30">
        <v>94507</v>
      </c>
      <c r="I242" s="30">
        <v>94778</v>
      </c>
      <c r="J242" s="30">
        <v>95282</v>
      </c>
      <c r="K242" s="30">
        <v>95742</v>
      </c>
      <c r="L242" s="30">
        <v>96204</v>
      </c>
      <c r="M242" s="30">
        <v>96348</v>
      </c>
      <c r="N242" s="30">
        <v>96971</v>
      </c>
      <c r="O242" s="24" t="str">
        <f t="shared" si="7"/>
        <v>Sutter County, California</v>
      </c>
    </row>
    <row r="243" spans="1:15" x14ac:dyDescent="0.25">
      <c r="A243" s="35" t="s">
        <v>719</v>
      </c>
      <c r="B243" s="28" t="str">
        <f t="shared" si="6"/>
        <v>Tehama</v>
      </c>
      <c r="C243" s="30">
        <v>63463</v>
      </c>
      <c r="D243" s="30">
        <v>63440</v>
      </c>
      <c r="E243" s="30">
        <v>63559</v>
      </c>
      <c r="F243" s="30">
        <v>63331</v>
      </c>
      <c r="G243" s="30">
        <v>63212</v>
      </c>
      <c r="H243" s="30">
        <v>62875</v>
      </c>
      <c r="I243" s="30">
        <v>62801</v>
      </c>
      <c r="J243" s="30">
        <v>63158</v>
      </c>
      <c r="K243" s="30">
        <v>63453</v>
      </c>
      <c r="L243" s="30">
        <v>63847</v>
      </c>
      <c r="M243" s="30">
        <v>64018</v>
      </c>
      <c r="N243" s="30">
        <v>65084</v>
      </c>
      <c r="O243" s="24" t="str">
        <f t="shared" si="7"/>
        <v>Tehama County, California</v>
      </c>
    </row>
    <row r="244" spans="1:15" x14ac:dyDescent="0.25">
      <c r="A244" s="35" t="s">
        <v>720</v>
      </c>
      <c r="B244" s="28" t="str">
        <f t="shared" si="6"/>
        <v>Trinity</v>
      </c>
      <c r="C244" s="30">
        <v>13786</v>
      </c>
      <c r="D244" s="30">
        <v>13784</v>
      </c>
      <c r="E244" s="30">
        <v>13755</v>
      </c>
      <c r="F244" s="30">
        <v>13685</v>
      </c>
      <c r="G244" s="30">
        <v>13489</v>
      </c>
      <c r="H244" s="30">
        <v>13427</v>
      </c>
      <c r="I244" s="30">
        <v>13128</v>
      </c>
      <c r="J244" s="30">
        <v>13094</v>
      </c>
      <c r="K244" s="30">
        <v>12828</v>
      </c>
      <c r="L244" s="30">
        <v>12726</v>
      </c>
      <c r="M244" s="30">
        <v>12567</v>
      </c>
      <c r="N244" s="30">
        <v>12285</v>
      </c>
      <c r="O244" s="24" t="str">
        <f t="shared" si="7"/>
        <v>Trinity County, California</v>
      </c>
    </row>
    <row r="245" spans="1:15" x14ac:dyDescent="0.25">
      <c r="A245" s="35" t="s">
        <v>721</v>
      </c>
      <c r="B245" s="28" t="str">
        <f t="shared" si="6"/>
        <v>Tulare</v>
      </c>
      <c r="C245" s="30">
        <v>442179</v>
      </c>
      <c r="D245" s="30">
        <v>442182</v>
      </c>
      <c r="E245" s="30">
        <v>442969</v>
      </c>
      <c r="F245" s="30">
        <v>446784</v>
      </c>
      <c r="G245" s="30">
        <v>449779</v>
      </c>
      <c r="H245" s="30">
        <v>452460</v>
      </c>
      <c r="I245" s="30">
        <v>455138</v>
      </c>
      <c r="J245" s="30">
        <v>457161</v>
      </c>
      <c r="K245" s="30">
        <v>459235</v>
      </c>
      <c r="L245" s="30">
        <v>462308</v>
      </c>
      <c r="M245" s="30">
        <v>464589</v>
      </c>
      <c r="N245" s="30">
        <v>466195</v>
      </c>
      <c r="O245" s="24" t="str">
        <f t="shared" si="7"/>
        <v>Tulare County, California</v>
      </c>
    </row>
    <row r="246" spans="1:15" x14ac:dyDescent="0.25">
      <c r="A246" s="35" t="s">
        <v>722</v>
      </c>
      <c r="B246" s="28" t="str">
        <f t="shared" si="6"/>
        <v>Tuolumne</v>
      </c>
      <c r="C246" s="30">
        <v>55365</v>
      </c>
      <c r="D246" s="30">
        <v>55368</v>
      </c>
      <c r="E246" s="30">
        <v>55190</v>
      </c>
      <c r="F246" s="30">
        <v>54830</v>
      </c>
      <c r="G246" s="30">
        <v>54221</v>
      </c>
      <c r="H246" s="30">
        <v>53997</v>
      </c>
      <c r="I246" s="30">
        <v>53851</v>
      </c>
      <c r="J246" s="30">
        <v>53615</v>
      </c>
      <c r="K246" s="30">
        <v>53770</v>
      </c>
      <c r="L246" s="30">
        <v>53976</v>
      </c>
      <c r="M246" s="30">
        <v>54387</v>
      </c>
      <c r="N246" s="30">
        <v>54478</v>
      </c>
      <c r="O246" s="24" t="str">
        <f t="shared" si="7"/>
        <v>Tuolumne County, California</v>
      </c>
    </row>
    <row r="247" spans="1:15" x14ac:dyDescent="0.25">
      <c r="A247" s="35" t="s">
        <v>723</v>
      </c>
      <c r="B247" s="28" t="str">
        <f t="shared" si="6"/>
        <v>Ventura</v>
      </c>
      <c r="C247" s="30">
        <v>823318</v>
      </c>
      <c r="D247" s="30">
        <v>823398</v>
      </c>
      <c r="E247" s="30">
        <v>825097</v>
      </c>
      <c r="F247" s="30">
        <v>830099</v>
      </c>
      <c r="G247" s="30">
        <v>833516</v>
      </c>
      <c r="H247" s="30">
        <v>838136</v>
      </c>
      <c r="I247" s="30">
        <v>842297</v>
      </c>
      <c r="J247" s="30">
        <v>845802</v>
      </c>
      <c r="K247" s="30">
        <v>847323</v>
      </c>
      <c r="L247" s="30">
        <v>849044</v>
      </c>
      <c r="M247" s="30">
        <v>848142</v>
      </c>
      <c r="N247" s="30">
        <v>846006</v>
      </c>
      <c r="O247" s="24" t="str">
        <f t="shared" si="7"/>
        <v>Ventura County, California</v>
      </c>
    </row>
    <row r="248" spans="1:15" x14ac:dyDescent="0.25">
      <c r="A248" s="35" t="s">
        <v>724</v>
      </c>
      <c r="B248" s="28" t="str">
        <f t="shared" si="6"/>
        <v>Yolo</v>
      </c>
      <c r="C248" s="30">
        <v>200849</v>
      </c>
      <c r="D248" s="30">
        <v>200855</v>
      </c>
      <c r="E248" s="30">
        <v>201073</v>
      </c>
      <c r="F248" s="30">
        <v>201954</v>
      </c>
      <c r="G248" s="30">
        <v>204576</v>
      </c>
      <c r="H248" s="30">
        <v>206292</v>
      </c>
      <c r="I248" s="30">
        <v>208398</v>
      </c>
      <c r="J248" s="30">
        <v>212037</v>
      </c>
      <c r="K248" s="30">
        <v>215627</v>
      </c>
      <c r="L248" s="30">
        <v>218477</v>
      </c>
      <c r="M248" s="30">
        <v>220118</v>
      </c>
      <c r="N248" s="30">
        <v>220500</v>
      </c>
      <c r="O248" s="24" t="str">
        <f t="shared" si="7"/>
        <v>Yolo County, California</v>
      </c>
    </row>
    <row r="249" spans="1:15" x14ac:dyDescent="0.25">
      <c r="A249" s="35" t="s">
        <v>725</v>
      </c>
      <c r="B249" s="28" t="str">
        <f t="shared" si="6"/>
        <v>Yuba</v>
      </c>
      <c r="C249" s="30">
        <v>72155</v>
      </c>
      <c r="D249" s="30">
        <v>72142</v>
      </c>
      <c r="E249" s="30">
        <v>72348</v>
      </c>
      <c r="F249" s="30">
        <v>72489</v>
      </c>
      <c r="G249" s="30">
        <v>72774</v>
      </c>
      <c r="H249" s="30">
        <v>73090</v>
      </c>
      <c r="I249" s="30">
        <v>73533</v>
      </c>
      <c r="J249" s="30">
        <v>74045</v>
      </c>
      <c r="K249" s="30">
        <v>74952</v>
      </c>
      <c r="L249" s="30">
        <v>76578</v>
      </c>
      <c r="M249" s="30">
        <v>77557</v>
      </c>
      <c r="N249" s="30">
        <v>78668</v>
      </c>
      <c r="O249" s="24" t="str">
        <f t="shared" si="7"/>
        <v>Yuba County, California</v>
      </c>
    </row>
    <row r="250" spans="1:15" x14ac:dyDescent="0.25">
      <c r="A250" s="35" t="s">
        <v>726</v>
      </c>
      <c r="B250" s="28" t="str">
        <f t="shared" si="6"/>
        <v>Adams</v>
      </c>
      <c r="C250" s="30">
        <v>441603</v>
      </c>
      <c r="D250" s="30">
        <v>441697</v>
      </c>
      <c r="E250" s="30">
        <v>443691</v>
      </c>
      <c r="F250" s="30">
        <v>452201</v>
      </c>
      <c r="G250" s="30">
        <v>460558</v>
      </c>
      <c r="H250" s="30">
        <v>469978</v>
      </c>
      <c r="I250" s="30">
        <v>479946</v>
      </c>
      <c r="J250" s="30">
        <v>490443</v>
      </c>
      <c r="K250" s="30">
        <v>497734</v>
      </c>
      <c r="L250" s="30">
        <v>503590</v>
      </c>
      <c r="M250" s="30">
        <v>511354</v>
      </c>
      <c r="N250" s="30">
        <v>517421</v>
      </c>
      <c r="O250" s="24" t="str">
        <f t="shared" si="7"/>
        <v>Adams County, Colorado</v>
      </c>
    </row>
    <row r="251" spans="1:15" x14ac:dyDescent="0.25">
      <c r="A251" s="35" t="s">
        <v>727</v>
      </c>
      <c r="B251" s="28" t="str">
        <f t="shared" si="6"/>
        <v>Alamosa</v>
      </c>
      <c r="C251" s="30">
        <v>15445</v>
      </c>
      <c r="D251" s="30">
        <v>15440</v>
      </c>
      <c r="E251" s="30">
        <v>15515</v>
      </c>
      <c r="F251" s="30">
        <v>15709</v>
      </c>
      <c r="G251" s="30">
        <v>15680</v>
      </c>
      <c r="H251" s="30">
        <v>15787</v>
      </c>
      <c r="I251" s="30">
        <v>15803</v>
      </c>
      <c r="J251" s="30">
        <v>15894</v>
      </c>
      <c r="K251" s="30">
        <v>16053</v>
      </c>
      <c r="L251" s="30">
        <v>16108</v>
      </c>
      <c r="M251" s="30">
        <v>16248</v>
      </c>
      <c r="N251" s="30">
        <v>16233</v>
      </c>
      <c r="O251" s="24" t="str">
        <f t="shared" si="7"/>
        <v>Alamosa County, Colorado</v>
      </c>
    </row>
    <row r="252" spans="1:15" x14ac:dyDescent="0.25">
      <c r="A252" s="35" t="s">
        <v>728</v>
      </c>
      <c r="B252" s="28" t="str">
        <f t="shared" si="6"/>
        <v>Arapahoe</v>
      </c>
      <c r="C252" s="30">
        <v>572003</v>
      </c>
      <c r="D252" s="30">
        <v>572118</v>
      </c>
      <c r="E252" s="30">
        <v>574747</v>
      </c>
      <c r="F252" s="30">
        <v>585968</v>
      </c>
      <c r="G252" s="30">
        <v>596500</v>
      </c>
      <c r="H252" s="30">
        <v>608467</v>
      </c>
      <c r="I252" s="30">
        <v>619034</v>
      </c>
      <c r="J252" s="30">
        <v>630984</v>
      </c>
      <c r="K252" s="30">
        <v>638950</v>
      </c>
      <c r="L252" s="30">
        <v>644478</v>
      </c>
      <c r="M252" s="30">
        <v>651797</v>
      </c>
      <c r="N252" s="30">
        <v>656590</v>
      </c>
      <c r="O252" s="24" t="str">
        <f t="shared" si="7"/>
        <v>Arapahoe County, Colorado</v>
      </c>
    </row>
    <row r="253" spans="1:15" x14ac:dyDescent="0.25">
      <c r="A253" s="35" t="s">
        <v>729</v>
      </c>
      <c r="B253" s="28" t="str">
        <f t="shared" si="6"/>
        <v>Archuleta</v>
      </c>
      <c r="C253" s="30">
        <v>12084</v>
      </c>
      <c r="D253" s="30">
        <v>12084</v>
      </c>
      <c r="E253" s="30">
        <v>12046</v>
      </c>
      <c r="F253" s="30">
        <v>12021</v>
      </c>
      <c r="G253" s="30">
        <v>12132</v>
      </c>
      <c r="H253" s="30">
        <v>12216</v>
      </c>
      <c r="I253" s="30">
        <v>12231</v>
      </c>
      <c r="J253" s="30">
        <v>12387</v>
      </c>
      <c r="K253" s="30">
        <v>12825</v>
      </c>
      <c r="L253" s="30">
        <v>13295</v>
      </c>
      <c r="M253" s="30">
        <v>13730</v>
      </c>
      <c r="N253" s="30">
        <v>14029</v>
      </c>
      <c r="O253" s="24" t="str">
        <f t="shared" si="7"/>
        <v>Archuleta County, Colorado</v>
      </c>
    </row>
    <row r="254" spans="1:15" x14ac:dyDescent="0.25">
      <c r="A254" s="35" t="s">
        <v>730</v>
      </c>
      <c r="B254" s="28" t="str">
        <f t="shared" si="6"/>
        <v>Baca</v>
      </c>
      <c r="C254" s="30">
        <v>3788</v>
      </c>
      <c r="D254" s="30">
        <v>3787</v>
      </c>
      <c r="E254" s="30">
        <v>3807</v>
      </c>
      <c r="F254" s="30">
        <v>3778</v>
      </c>
      <c r="G254" s="30">
        <v>3722</v>
      </c>
      <c r="H254" s="30">
        <v>3656</v>
      </c>
      <c r="I254" s="30">
        <v>3587</v>
      </c>
      <c r="J254" s="30">
        <v>3555</v>
      </c>
      <c r="K254" s="30">
        <v>3530</v>
      </c>
      <c r="L254" s="30">
        <v>3554</v>
      </c>
      <c r="M254" s="30">
        <v>3584</v>
      </c>
      <c r="N254" s="30">
        <v>3581</v>
      </c>
      <c r="O254" s="24" t="str">
        <f t="shared" si="7"/>
        <v>Baca County, Colorado</v>
      </c>
    </row>
    <row r="255" spans="1:15" x14ac:dyDescent="0.25">
      <c r="A255" s="35" t="s">
        <v>731</v>
      </c>
      <c r="B255" s="28" t="str">
        <f t="shared" si="6"/>
        <v>Bent</v>
      </c>
      <c r="C255" s="30">
        <v>6499</v>
      </c>
      <c r="D255" s="30">
        <v>6499</v>
      </c>
      <c r="E255" s="30">
        <v>6500</v>
      </c>
      <c r="F255" s="30">
        <v>6424</v>
      </c>
      <c r="G255" s="30">
        <v>5848</v>
      </c>
      <c r="H255" s="30">
        <v>5761</v>
      </c>
      <c r="I255" s="30">
        <v>5820</v>
      </c>
      <c r="J255" s="30">
        <v>5889</v>
      </c>
      <c r="K255" s="30">
        <v>5833</v>
      </c>
      <c r="L255" s="30">
        <v>5827</v>
      </c>
      <c r="M255" s="30">
        <v>5808</v>
      </c>
      <c r="N255" s="30">
        <v>5577</v>
      </c>
      <c r="O255" s="24" t="str">
        <f t="shared" si="7"/>
        <v>Bent County, Colorado</v>
      </c>
    </row>
    <row r="256" spans="1:15" x14ac:dyDescent="0.25">
      <c r="A256" s="35" t="s">
        <v>732</v>
      </c>
      <c r="B256" s="28" t="str">
        <f t="shared" si="6"/>
        <v>Boulder</v>
      </c>
      <c r="C256" s="30">
        <v>294567</v>
      </c>
      <c r="D256" s="30">
        <v>294560</v>
      </c>
      <c r="E256" s="30">
        <v>295037</v>
      </c>
      <c r="F256" s="30">
        <v>299957</v>
      </c>
      <c r="G256" s="30">
        <v>304570</v>
      </c>
      <c r="H256" s="30">
        <v>309323</v>
      </c>
      <c r="I256" s="30">
        <v>312233</v>
      </c>
      <c r="J256" s="30">
        <v>318027</v>
      </c>
      <c r="K256" s="30">
        <v>321250</v>
      </c>
      <c r="L256" s="30">
        <v>322441</v>
      </c>
      <c r="M256" s="30">
        <v>324636</v>
      </c>
      <c r="N256" s="30">
        <v>326196</v>
      </c>
      <c r="O256" s="24" t="str">
        <f t="shared" si="7"/>
        <v>Boulder County, Colorado</v>
      </c>
    </row>
    <row r="257" spans="1:15" x14ac:dyDescent="0.25">
      <c r="A257" s="35" t="s">
        <v>733</v>
      </c>
      <c r="B257" s="28" t="str">
        <f t="shared" si="6"/>
        <v>Broomfield</v>
      </c>
      <c r="C257" s="30">
        <v>55889</v>
      </c>
      <c r="D257" s="30">
        <v>55861</v>
      </c>
      <c r="E257" s="30">
        <v>56226</v>
      </c>
      <c r="F257" s="30">
        <v>57493</v>
      </c>
      <c r="G257" s="30">
        <v>58971</v>
      </c>
      <c r="H257" s="30">
        <v>60149</v>
      </c>
      <c r="I257" s="30">
        <v>61764</v>
      </c>
      <c r="J257" s="30">
        <v>64866</v>
      </c>
      <c r="K257" s="30">
        <v>66513</v>
      </c>
      <c r="L257" s="30">
        <v>68263</v>
      </c>
      <c r="M257" s="30">
        <v>69324</v>
      </c>
      <c r="N257" s="30">
        <v>70465</v>
      </c>
      <c r="O257" s="24" t="str">
        <f t="shared" si="7"/>
        <v>Broomfield County, Colorado</v>
      </c>
    </row>
    <row r="258" spans="1:15" x14ac:dyDescent="0.25">
      <c r="A258" s="35" t="s">
        <v>734</v>
      </c>
      <c r="B258" s="28" t="str">
        <f t="shared" si="6"/>
        <v>Chaffee</v>
      </c>
      <c r="C258" s="30">
        <v>17809</v>
      </c>
      <c r="D258" s="30">
        <v>17809</v>
      </c>
      <c r="E258" s="30">
        <v>17808</v>
      </c>
      <c r="F258" s="30">
        <v>18028</v>
      </c>
      <c r="G258" s="30">
        <v>18154</v>
      </c>
      <c r="H258" s="30">
        <v>18355</v>
      </c>
      <c r="I258" s="30">
        <v>18451</v>
      </c>
      <c r="J258" s="30">
        <v>18612</v>
      </c>
      <c r="K258" s="30">
        <v>19110</v>
      </c>
      <c r="L258" s="30">
        <v>19666</v>
      </c>
      <c r="M258" s="30">
        <v>20041</v>
      </c>
      <c r="N258" s="30">
        <v>20356</v>
      </c>
      <c r="O258" s="24" t="str">
        <f t="shared" si="7"/>
        <v>Chaffee County, Colorado</v>
      </c>
    </row>
    <row r="259" spans="1:15" x14ac:dyDescent="0.25">
      <c r="A259" s="35" t="s">
        <v>735</v>
      </c>
      <c r="B259" s="28" t="str">
        <f t="shared" si="6"/>
        <v>Cheyenne</v>
      </c>
      <c r="C259" s="30">
        <v>1836</v>
      </c>
      <c r="D259" s="30">
        <v>1833</v>
      </c>
      <c r="E259" s="30">
        <v>1833</v>
      </c>
      <c r="F259" s="30">
        <v>1863</v>
      </c>
      <c r="G259" s="30">
        <v>1872</v>
      </c>
      <c r="H259" s="30">
        <v>1879</v>
      </c>
      <c r="I259" s="30">
        <v>1846</v>
      </c>
      <c r="J259" s="30">
        <v>1827</v>
      </c>
      <c r="K259" s="30">
        <v>1850</v>
      </c>
      <c r="L259" s="30">
        <v>1853</v>
      </c>
      <c r="M259" s="30">
        <v>1859</v>
      </c>
      <c r="N259" s="30">
        <v>1831</v>
      </c>
      <c r="O259" s="24" t="str">
        <f t="shared" si="7"/>
        <v>Cheyenne County, Colorado</v>
      </c>
    </row>
    <row r="260" spans="1:15" x14ac:dyDescent="0.25">
      <c r="A260" s="35" t="s">
        <v>736</v>
      </c>
      <c r="B260" s="28" t="str">
        <f t="shared" si="6"/>
        <v>Clear Creek</v>
      </c>
      <c r="C260" s="30">
        <v>9088</v>
      </c>
      <c r="D260" s="30">
        <v>9073</v>
      </c>
      <c r="E260" s="30">
        <v>9083</v>
      </c>
      <c r="F260" s="30">
        <v>9011</v>
      </c>
      <c r="G260" s="30">
        <v>9018</v>
      </c>
      <c r="H260" s="30">
        <v>9024</v>
      </c>
      <c r="I260" s="30">
        <v>9124</v>
      </c>
      <c r="J260" s="30">
        <v>9244</v>
      </c>
      <c r="K260" s="30">
        <v>9353</v>
      </c>
      <c r="L260" s="30">
        <v>9574</v>
      </c>
      <c r="M260" s="30">
        <v>9604</v>
      </c>
      <c r="N260" s="30">
        <v>9700</v>
      </c>
      <c r="O260" s="24" t="str">
        <f t="shared" si="7"/>
        <v>Clear Creek County, Colorado</v>
      </c>
    </row>
    <row r="261" spans="1:15" x14ac:dyDescent="0.25">
      <c r="A261" s="35" t="s">
        <v>737</v>
      </c>
      <c r="B261" s="28" t="str">
        <f t="shared" si="6"/>
        <v>Conejos</v>
      </c>
      <c r="C261" s="30">
        <v>8256</v>
      </c>
      <c r="D261" s="30">
        <v>8256</v>
      </c>
      <c r="E261" s="30">
        <v>8312</v>
      </c>
      <c r="F261" s="30">
        <v>8290</v>
      </c>
      <c r="G261" s="30">
        <v>8248</v>
      </c>
      <c r="H261" s="30">
        <v>8199</v>
      </c>
      <c r="I261" s="30">
        <v>8230</v>
      </c>
      <c r="J261" s="30">
        <v>8065</v>
      </c>
      <c r="K261" s="30">
        <v>8050</v>
      </c>
      <c r="L261" s="30">
        <v>8139</v>
      </c>
      <c r="M261" s="30">
        <v>8181</v>
      </c>
      <c r="N261" s="30">
        <v>8205</v>
      </c>
      <c r="O261" s="24" t="str">
        <f t="shared" si="7"/>
        <v>Conejos County, Colorado</v>
      </c>
    </row>
    <row r="262" spans="1:15" x14ac:dyDescent="0.25">
      <c r="A262" s="35" t="s">
        <v>738</v>
      </c>
      <c r="B262" s="28" t="str">
        <f t="shared" si="6"/>
        <v>Costilla</v>
      </c>
      <c r="C262" s="30">
        <v>3524</v>
      </c>
      <c r="D262" s="30">
        <v>3524</v>
      </c>
      <c r="E262" s="30">
        <v>3529</v>
      </c>
      <c r="F262" s="30">
        <v>3641</v>
      </c>
      <c r="G262" s="30">
        <v>3603</v>
      </c>
      <c r="H262" s="30">
        <v>3541</v>
      </c>
      <c r="I262" s="30">
        <v>3561</v>
      </c>
      <c r="J262" s="30">
        <v>3576</v>
      </c>
      <c r="K262" s="30">
        <v>3693</v>
      </c>
      <c r="L262" s="30">
        <v>3756</v>
      </c>
      <c r="M262" s="30">
        <v>3812</v>
      </c>
      <c r="N262" s="30">
        <v>3887</v>
      </c>
      <c r="O262" s="24" t="str">
        <f t="shared" si="7"/>
        <v>Costilla County, Colorado</v>
      </c>
    </row>
    <row r="263" spans="1:15" x14ac:dyDescent="0.25">
      <c r="A263" s="35" t="s">
        <v>739</v>
      </c>
      <c r="B263" s="28" t="str">
        <f t="shared" ref="B263:B326" si="8">LEFT(A263,FIND("County",A263,1)-2)</f>
        <v>Crowley</v>
      </c>
      <c r="C263" s="30">
        <v>5823</v>
      </c>
      <c r="D263" s="30">
        <v>5823</v>
      </c>
      <c r="E263" s="30">
        <v>5861</v>
      </c>
      <c r="F263" s="30">
        <v>5882</v>
      </c>
      <c r="G263" s="30">
        <v>5467</v>
      </c>
      <c r="H263" s="30">
        <v>5346</v>
      </c>
      <c r="I263" s="30">
        <v>5609</v>
      </c>
      <c r="J263" s="30">
        <v>5628</v>
      </c>
      <c r="K263" s="30">
        <v>5285</v>
      </c>
      <c r="L263" s="30">
        <v>5840</v>
      </c>
      <c r="M263" s="30">
        <v>5957</v>
      </c>
      <c r="N263" s="30">
        <v>6061</v>
      </c>
      <c r="O263" s="24" t="str">
        <f t="shared" ref="O263:O326" si="9">A263</f>
        <v>Crowley County, Colorado</v>
      </c>
    </row>
    <row r="264" spans="1:15" x14ac:dyDescent="0.25">
      <c r="A264" s="35" t="s">
        <v>740</v>
      </c>
      <c r="B264" s="28" t="str">
        <f t="shared" si="8"/>
        <v>Custer</v>
      </c>
      <c r="C264" s="30">
        <v>4255</v>
      </c>
      <c r="D264" s="30">
        <v>4251</v>
      </c>
      <c r="E264" s="30">
        <v>4279</v>
      </c>
      <c r="F264" s="30">
        <v>4225</v>
      </c>
      <c r="G264" s="30">
        <v>4219</v>
      </c>
      <c r="H264" s="30">
        <v>4261</v>
      </c>
      <c r="I264" s="30">
        <v>4340</v>
      </c>
      <c r="J264" s="30">
        <v>4434</v>
      </c>
      <c r="K264" s="30">
        <v>4588</v>
      </c>
      <c r="L264" s="30">
        <v>4857</v>
      </c>
      <c r="M264" s="30">
        <v>4934</v>
      </c>
      <c r="N264" s="30">
        <v>5068</v>
      </c>
      <c r="O264" s="24" t="str">
        <f t="shared" si="9"/>
        <v>Custer County, Colorado</v>
      </c>
    </row>
    <row r="265" spans="1:15" x14ac:dyDescent="0.25">
      <c r="A265" s="35" t="s">
        <v>741</v>
      </c>
      <c r="B265" s="28" t="str">
        <f t="shared" si="8"/>
        <v>Delta</v>
      </c>
      <c r="C265" s="30">
        <v>30952</v>
      </c>
      <c r="D265" s="30">
        <v>30953</v>
      </c>
      <c r="E265" s="30">
        <v>30860</v>
      </c>
      <c r="F265" s="30">
        <v>30393</v>
      </c>
      <c r="G265" s="30">
        <v>30465</v>
      </c>
      <c r="H265" s="30">
        <v>30338</v>
      </c>
      <c r="I265" s="30">
        <v>29963</v>
      </c>
      <c r="J265" s="30">
        <v>29913</v>
      </c>
      <c r="K265" s="30">
        <v>30346</v>
      </c>
      <c r="L265" s="30">
        <v>30519</v>
      </c>
      <c r="M265" s="30">
        <v>30884</v>
      </c>
      <c r="N265" s="30">
        <v>31162</v>
      </c>
      <c r="O265" s="24" t="str">
        <f t="shared" si="9"/>
        <v>Delta County, Colorado</v>
      </c>
    </row>
    <row r="266" spans="1:15" x14ac:dyDescent="0.25">
      <c r="A266" s="35" t="s">
        <v>742</v>
      </c>
      <c r="B266" s="28" t="str">
        <f t="shared" si="8"/>
        <v>Denver</v>
      </c>
      <c r="C266" s="30">
        <v>600158</v>
      </c>
      <c r="D266" s="30">
        <v>599825</v>
      </c>
      <c r="E266" s="30">
        <v>603359</v>
      </c>
      <c r="F266" s="30">
        <v>620530</v>
      </c>
      <c r="G266" s="30">
        <v>635163</v>
      </c>
      <c r="H266" s="30">
        <v>649391</v>
      </c>
      <c r="I266" s="30">
        <v>664582</v>
      </c>
      <c r="J266" s="30">
        <v>683285</v>
      </c>
      <c r="K266" s="30">
        <v>696159</v>
      </c>
      <c r="L266" s="30">
        <v>704961</v>
      </c>
      <c r="M266" s="30">
        <v>716265</v>
      </c>
      <c r="N266" s="30">
        <v>727211</v>
      </c>
      <c r="O266" s="24" t="str">
        <f t="shared" si="9"/>
        <v>Denver County, Colorado</v>
      </c>
    </row>
    <row r="267" spans="1:15" x14ac:dyDescent="0.25">
      <c r="A267" s="35" t="s">
        <v>743</v>
      </c>
      <c r="B267" s="28" t="str">
        <f t="shared" si="8"/>
        <v>Dolores</v>
      </c>
      <c r="C267" s="30">
        <v>2064</v>
      </c>
      <c r="D267" s="30">
        <v>2064</v>
      </c>
      <c r="E267" s="30">
        <v>2069</v>
      </c>
      <c r="F267" s="30">
        <v>2044</v>
      </c>
      <c r="G267" s="30">
        <v>2009</v>
      </c>
      <c r="H267" s="30">
        <v>2033</v>
      </c>
      <c r="I267" s="30">
        <v>1977</v>
      </c>
      <c r="J267" s="30">
        <v>1981</v>
      </c>
      <c r="K267" s="30">
        <v>2056</v>
      </c>
      <c r="L267" s="30">
        <v>2045</v>
      </c>
      <c r="M267" s="30">
        <v>2060</v>
      </c>
      <c r="N267" s="30">
        <v>2055</v>
      </c>
      <c r="O267" s="24" t="str">
        <f t="shared" si="9"/>
        <v>Dolores County, Colorado</v>
      </c>
    </row>
    <row r="268" spans="1:15" x14ac:dyDescent="0.25">
      <c r="A268" s="35" t="s">
        <v>744</v>
      </c>
      <c r="B268" s="28" t="str">
        <f t="shared" si="8"/>
        <v>Douglas</v>
      </c>
      <c r="C268" s="30">
        <v>285465</v>
      </c>
      <c r="D268" s="30">
        <v>285465</v>
      </c>
      <c r="E268" s="30">
        <v>286977</v>
      </c>
      <c r="F268" s="30">
        <v>292548</v>
      </c>
      <c r="G268" s="30">
        <v>298708</v>
      </c>
      <c r="H268" s="30">
        <v>306234</v>
      </c>
      <c r="I268" s="30">
        <v>314545</v>
      </c>
      <c r="J268" s="30">
        <v>322025</v>
      </c>
      <c r="K268" s="30">
        <v>328219</v>
      </c>
      <c r="L268" s="30">
        <v>335816</v>
      </c>
      <c r="M268" s="30">
        <v>342989</v>
      </c>
      <c r="N268" s="30">
        <v>351154</v>
      </c>
      <c r="O268" s="24" t="str">
        <f t="shared" si="9"/>
        <v>Douglas County, Colorado</v>
      </c>
    </row>
    <row r="269" spans="1:15" x14ac:dyDescent="0.25">
      <c r="A269" s="35" t="s">
        <v>745</v>
      </c>
      <c r="B269" s="28" t="str">
        <f t="shared" si="8"/>
        <v>Eagle</v>
      </c>
      <c r="C269" s="30">
        <v>52197</v>
      </c>
      <c r="D269" s="30">
        <v>52201</v>
      </c>
      <c r="E269" s="30">
        <v>52099</v>
      </c>
      <c r="F269" s="30">
        <v>52051</v>
      </c>
      <c r="G269" s="30">
        <v>52334</v>
      </c>
      <c r="H269" s="30">
        <v>52816</v>
      </c>
      <c r="I269" s="30">
        <v>53276</v>
      </c>
      <c r="J269" s="30">
        <v>53865</v>
      </c>
      <c r="K269" s="30">
        <v>54541</v>
      </c>
      <c r="L269" s="30">
        <v>54929</v>
      </c>
      <c r="M269" s="30">
        <v>54943</v>
      </c>
      <c r="N269" s="30">
        <v>55127</v>
      </c>
      <c r="O269" s="24" t="str">
        <f t="shared" si="9"/>
        <v>Eagle County, Colorado</v>
      </c>
    </row>
    <row r="270" spans="1:15" x14ac:dyDescent="0.25">
      <c r="A270" s="35" t="s">
        <v>746</v>
      </c>
      <c r="B270" s="28" t="str">
        <f t="shared" si="8"/>
        <v>Elbert</v>
      </c>
      <c r="C270" s="30">
        <v>23086</v>
      </c>
      <c r="D270" s="30">
        <v>23088</v>
      </c>
      <c r="E270" s="30">
        <v>23142</v>
      </c>
      <c r="F270" s="30">
        <v>23178</v>
      </c>
      <c r="G270" s="30">
        <v>23274</v>
      </c>
      <c r="H270" s="30">
        <v>23541</v>
      </c>
      <c r="I270" s="30">
        <v>24031</v>
      </c>
      <c r="J270" s="30">
        <v>24630</v>
      </c>
      <c r="K270" s="30">
        <v>25157</v>
      </c>
      <c r="L270" s="30">
        <v>25765</v>
      </c>
      <c r="M270" s="30">
        <v>26303</v>
      </c>
      <c r="N270" s="30">
        <v>26729</v>
      </c>
      <c r="O270" s="24" t="str">
        <f t="shared" si="9"/>
        <v>Elbert County, Colorado</v>
      </c>
    </row>
    <row r="271" spans="1:15" x14ac:dyDescent="0.25">
      <c r="A271" s="35" t="s">
        <v>747</v>
      </c>
      <c r="B271" s="28" t="str">
        <f t="shared" si="8"/>
        <v>El Paso</v>
      </c>
      <c r="C271" s="30">
        <v>622263</v>
      </c>
      <c r="D271" s="30">
        <v>622253</v>
      </c>
      <c r="E271" s="30">
        <v>627031</v>
      </c>
      <c r="F271" s="30">
        <v>637305</v>
      </c>
      <c r="G271" s="30">
        <v>646003</v>
      </c>
      <c r="H271" s="30">
        <v>655209</v>
      </c>
      <c r="I271" s="30">
        <v>663129</v>
      </c>
      <c r="J271" s="30">
        <v>674001</v>
      </c>
      <c r="K271" s="30">
        <v>688277</v>
      </c>
      <c r="L271" s="30">
        <v>700099</v>
      </c>
      <c r="M271" s="30">
        <v>712089</v>
      </c>
      <c r="N271" s="30">
        <v>720403</v>
      </c>
      <c r="O271" s="24" t="str">
        <f t="shared" si="9"/>
        <v>El Paso County, Colorado</v>
      </c>
    </row>
    <row r="272" spans="1:15" x14ac:dyDescent="0.25">
      <c r="A272" s="35" t="s">
        <v>748</v>
      </c>
      <c r="B272" s="28" t="str">
        <f t="shared" si="8"/>
        <v>Fremont</v>
      </c>
      <c r="C272" s="30">
        <v>46824</v>
      </c>
      <c r="D272" s="30">
        <v>46828</v>
      </c>
      <c r="E272" s="30">
        <v>46837</v>
      </c>
      <c r="F272" s="30">
        <v>47379</v>
      </c>
      <c r="G272" s="30">
        <v>47052</v>
      </c>
      <c r="H272" s="30">
        <v>46332</v>
      </c>
      <c r="I272" s="30">
        <v>46147</v>
      </c>
      <c r="J272" s="30">
        <v>46282</v>
      </c>
      <c r="K272" s="30">
        <v>46976</v>
      </c>
      <c r="L272" s="30">
        <v>47548</v>
      </c>
      <c r="M272" s="30">
        <v>47959</v>
      </c>
      <c r="N272" s="30">
        <v>47839</v>
      </c>
      <c r="O272" s="24" t="str">
        <f t="shared" si="9"/>
        <v>Fremont County, Colorado</v>
      </c>
    </row>
    <row r="273" spans="1:15" x14ac:dyDescent="0.25">
      <c r="A273" s="35" t="s">
        <v>749</v>
      </c>
      <c r="B273" s="28" t="str">
        <f t="shared" si="8"/>
        <v>Garfield</v>
      </c>
      <c r="C273" s="30">
        <v>56389</v>
      </c>
      <c r="D273" s="30">
        <v>56373</v>
      </c>
      <c r="E273" s="30">
        <v>56072</v>
      </c>
      <c r="F273" s="30">
        <v>56048</v>
      </c>
      <c r="G273" s="30">
        <v>56761</v>
      </c>
      <c r="H273" s="30">
        <v>56938</v>
      </c>
      <c r="I273" s="30">
        <v>57161</v>
      </c>
      <c r="J273" s="30">
        <v>57698</v>
      </c>
      <c r="K273" s="30">
        <v>58785</v>
      </c>
      <c r="L273" s="30">
        <v>59032</v>
      </c>
      <c r="M273" s="30">
        <v>59701</v>
      </c>
      <c r="N273" s="30">
        <v>60061</v>
      </c>
      <c r="O273" s="24" t="str">
        <f t="shared" si="9"/>
        <v>Garfield County, Colorado</v>
      </c>
    </row>
    <row r="274" spans="1:15" x14ac:dyDescent="0.25">
      <c r="A274" s="35" t="s">
        <v>750</v>
      </c>
      <c r="B274" s="28" t="str">
        <f t="shared" si="8"/>
        <v>Gilpin</v>
      </c>
      <c r="C274" s="30">
        <v>5441</v>
      </c>
      <c r="D274" s="30">
        <v>5449</v>
      </c>
      <c r="E274" s="30">
        <v>5471</v>
      </c>
      <c r="F274" s="30">
        <v>5428</v>
      </c>
      <c r="G274" s="30">
        <v>5431</v>
      </c>
      <c r="H274" s="30">
        <v>5530</v>
      </c>
      <c r="I274" s="30">
        <v>5747</v>
      </c>
      <c r="J274" s="30">
        <v>5805</v>
      </c>
      <c r="K274" s="30">
        <v>5914</v>
      </c>
      <c r="L274" s="30">
        <v>6018</v>
      </c>
      <c r="M274" s="30">
        <v>6112</v>
      </c>
      <c r="N274" s="30">
        <v>6243</v>
      </c>
      <c r="O274" s="24" t="str">
        <f t="shared" si="9"/>
        <v>Gilpin County, Colorado</v>
      </c>
    </row>
    <row r="275" spans="1:15" x14ac:dyDescent="0.25">
      <c r="A275" s="35" t="s">
        <v>751</v>
      </c>
      <c r="B275" s="28" t="str">
        <f t="shared" si="8"/>
        <v>Grand</v>
      </c>
      <c r="C275" s="30">
        <v>14843</v>
      </c>
      <c r="D275" s="30">
        <v>14843</v>
      </c>
      <c r="E275" s="30">
        <v>14796</v>
      </c>
      <c r="F275" s="30">
        <v>14563</v>
      </c>
      <c r="G275" s="30">
        <v>14221</v>
      </c>
      <c r="H275" s="30">
        <v>14312</v>
      </c>
      <c r="I275" s="30">
        <v>14559</v>
      </c>
      <c r="J275" s="30">
        <v>14726</v>
      </c>
      <c r="K275" s="30">
        <v>15179</v>
      </c>
      <c r="L275" s="30">
        <v>15364</v>
      </c>
      <c r="M275" s="30">
        <v>15511</v>
      </c>
      <c r="N275" s="30">
        <v>15734</v>
      </c>
      <c r="O275" s="24" t="str">
        <f t="shared" si="9"/>
        <v>Grand County, Colorado</v>
      </c>
    </row>
    <row r="276" spans="1:15" x14ac:dyDescent="0.25">
      <c r="A276" s="35" t="s">
        <v>752</v>
      </c>
      <c r="B276" s="28" t="str">
        <f t="shared" si="8"/>
        <v>Gunnison</v>
      </c>
      <c r="C276" s="30">
        <v>15324</v>
      </c>
      <c r="D276" s="30">
        <v>15324</v>
      </c>
      <c r="E276" s="30">
        <v>15291</v>
      </c>
      <c r="F276" s="30">
        <v>15261</v>
      </c>
      <c r="G276" s="30">
        <v>15378</v>
      </c>
      <c r="H276" s="30">
        <v>15575</v>
      </c>
      <c r="I276" s="30">
        <v>15765</v>
      </c>
      <c r="J276" s="30">
        <v>16104</v>
      </c>
      <c r="K276" s="30">
        <v>16414</v>
      </c>
      <c r="L276" s="30">
        <v>16863</v>
      </c>
      <c r="M276" s="30">
        <v>17167</v>
      </c>
      <c r="N276" s="30">
        <v>17462</v>
      </c>
      <c r="O276" s="24" t="str">
        <f t="shared" si="9"/>
        <v>Gunnison County, Colorado</v>
      </c>
    </row>
    <row r="277" spans="1:15" x14ac:dyDescent="0.25">
      <c r="A277" s="35" t="s">
        <v>753</v>
      </c>
      <c r="B277" s="28" t="str">
        <f t="shared" si="8"/>
        <v>Hinsdale</v>
      </c>
      <c r="C277" s="30">
        <v>843</v>
      </c>
      <c r="D277" s="30">
        <v>843</v>
      </c>
      <c r="E277" s="30">
        <v>844</v>
      </c>
      <c r="F277" s="30">
        <v>825</v>
      </c>
      <c r="G277" s="30">
        <v>802</v>
      </c>
      <c r="H277" s="30">
        <v>804</v>
      </c>
      <c r="I277" s="30">
        <v>773</v>
      </c>
      <c r="J277" s="30">
        <v>764</v>
      </c>
      <c r="K277" s="30">
        <v>788</v>
      </c>
      <c r="L277" s="30">
        <v>791</v>
      </c>
      <c r="M277" s="30">
        <v>808</v>
      </c>
      <c r="N277" s="30">
        <v>820</v>
      </c>
      <c r="O277" s="24" t="str">
        <f t="shared" si="9"/>
        <v>Hinsdale County, Colorado</v>
      </c>
    </row>
    <row r="278" spans="1:15" x14ac:dyDescent="0.25">
      <c r="A278" s="35" t="s">
        <v>754</v>
      </c>
      <c r="B278" s="28" t="str">
        <f t="shared" si="8"/>
        <v>Huerfano</v>
      </c>
      <c r="C278" s="30">
        <v>6711</v>
      </c>
      <c r="D278" s="30">
        <v>6711</v>
      </c>
      <c r="E278" s="30">
        <v>6681</v>
      </c>
      <c r="F278" s="30">
        <v>6528</v>
      </c>
      <c r="G278" s="30">
        <v>6565</v>
      </c>
      <c r="H278" s="30">
        <v>6460</v>
      </c>
      <c r="I278" s="30">
        <v>6393</v>
      </c>
      <c r="J278" s="30">
        <v>6404</v>
      </c>
      <c r="K278" s="30">
        <v>6580</v>
      </c>
      <c r="L278" s="30">
        <v>6628</v>
      </c>
      <c r="M278" s="30">
        <v>6887</v>
      </c>
      <c r="N278" s="30">
        <v>6897</v>
      </c>
      <c r="O278" s="24" t="str">
        <f t="shared" si="9"/>
        <v>Huerfano County, Colorado</v>
      </c>
    </row>
    <row r="279" spans="1:15" x14ac:dyDescent="0.25">
      <c r="A279" s="35" t="s">
        <v>755</v>
      </c>
      <c r="B279" s="28" t="str">
        <f t="shared" si="8"/>
        <v>Jackson</v>
      </c>
      <c r="C279" s="30">
        <v>1394</v>
      </c>
      <c r="D279" s="30">
        <v>1393</v>
      </c>
      <c r="E279" s="30">
        <v>1389</v>
      </c>
      <c r="F279" s="30">
        <v>1357</v>
      </c>
      <c r="G279" s="30">
        <v>1325</v>
      </c>
      <c r="H279" s="30">
        <v>1336</v>
      </c>
      <c r="I279" s="30">
        <v>1385</v>
      </c>
      <c r="J279" s="30">
        <v>1353</v>
      </c>
      <c r="K279" s="30">
        <v>1358</v>
      </c>
      <c r="L279" s="30">
        <v>1375</v>
      </c>
      <c r="M279" s="30">
        <v>1395</v>
      </c>
      <c r="N279" s="30">
        <v>1392</v>
      </c>
      <c r="O279" s="24" t="str">
        <f t="shared" si="9"/>
        <v>Jackson County, Colorado</v>
      </c>
    </row>
    <row r="280" spans="1:15" x14ac:dyDescent="0.25">
      <c r="A280" s="35" t="s">
        <v>756</v>
      </c>
      <c r="B280" s="28" t="str">
        <f t="shared" si="8"/>
        <v>Jefferson</v>
      </c>
      <c r="C280" s="30">
        <v>534543</v>
      </c>
      <c r="D280" s="30">
        <v>534829</v>
      </c>
      <c r="E280" s="30">
        <v>535548</v>
      </c>
      <c r="F280" s="30">
        <v>540506</v>
      </c>
      <c r="G280" s="30">
        <v>546602</v>
      </c>
      <c r="H280" s="30">
        <v>552031</v>
      </c>
      <c r="I280" s="30">
        <v>558819</v>
      </c>
      <c r="J280" s="30">
        <v>564888</v>
      </c>
      <c r="K280" s="30">
        <v>571413</v>
      </c>
      <c r="L280" s="30">
        <v>575417</v>
      </c>
      <c r="M280" s="30">
        <v>579392</v>
      </c>
      <c r="N280" s="30">
        <v>582881</v>
      </c>
      <c r="O280" s="24" t="str">
        <f t="shared" si="9"/>
        <v>Jefferson County, Colorado</v>
      </c>
    </row>
    <row r="281" spans="1:15" x14ac:dyDescent="0.25">
      <c r="A281" s="35" t="s">
        <v>757</v>
      </c>
      <c r="B281" s="28" t="str">
        <f t="shared" si="8"/>
        <v>Kiowa</v>
      </c>
      <c r="C281" s="30">
        <v>1398</v>
      </c>
      <c r="D281" s="30">
        <v>1398</v>
      </c>
      <c r="E281" s="30">
        <v>1404</v>
      </c>
      <c r="F281" s="30">
        <v>1431</v>
      </c>
      <c r="G281" s="30">
        <v>1409</v>
      </c>
      <c r="H281" s="30">
        <v>1392</v>
      </c>
      <c r="I281" s="30">
        <v>1380</v>
      </c>
      <c r="J281" s="30">
        <v>1384</v>
      </c>
      <c r="K281" s="30">
        <v>1342</v>
      </c>
      <c r="L281" s="30">
        <v>1365</v>
      </c>
      <c r="M281" s="30">
        <v>1379</v>
      </c>
      <c r="N281" s="30">
        <v>1406</v>
      </c>
      <c r="O281" s="24" t="str">
        <f t="shared" si="9"/>
        <v>Kiowa County, Colorado</v>
      </c>
    </row>
    <row r="282" spans="1:15" x14ac:dyDescent="0.25">
      <c r="A282" s="35" t="s">
        <v>758</v>
      </c>
      <c r="B282" s="28" t="str">
        <f t="shared" si="8"/>
        <v>Kit Carson</v>
      </c>
      <c r="C282" s="30">
        <v>8270</v>
      </c>
      <c r="D282" s="30">
        <v>8270</v>
      </c>
      <c r="E282" s="30">
        <v>8263</v>
      </c>
      <c r="F282" s="30">
        <v>8172</v>
      </c>
      <c r="G282" s="30">
        <v>8072</v>
      </c>
      <c r="H282" s="30">
        <v>8245</v>
      </c>
      <c r="I282" s="30">
        <v>8018</v>
      </c>
      <c r="J282" s="30">
        <v>8215</v>
      </c>
      <c r="K282" s="30">
        <v>7626</v>
      </c>
      <c r="L282" s="30">
        <v>7137</v>
      </c>
      <c r="M282" s="30">
        <v>7159</v>
      </c>
      <c r="N282" s="30">
        <v>7097</v>
      </c>
      <c r="O282" s="24" t="str">
        <f t="shared" si="9"/>
        <v>Kit Carson County, Colorado</v>
      </c>
    </row>
    <row r="283" spans="1:15" x14ac:dyDescent="0.25">
      <c r="A283" s="35" t="s">
        <v>759</v>
      </c>
      <c r="B283" s="28" t="str">
        <f t="shared" si="8"/>
        <v>Lake</v>
      </c>
      <c r="C283" s="30">
        <v>7310</v>
      </c>
      <c r="D283" s="30">
        <v>7310</v>
      </c>
      <c r="E283" s="30">
        <v>7264</v>
      </c>
      <c r="F283" s="30">
        <v>7343</v>
      </c>
      <c r="G283" s="30">
        <v>7253</v>
      </c>
      <c r="H283" s="30">
        <v>7263</v>
      </c>
      <c r="I283" s="30">
        <v>7317</v>
      </c>
      <c r="J283" s="30">
        <v>7442</v>
      </c>
      <c r="K283" s="30">
        <v>7590</v>
      </c>
      <c r="L283" s="30">
        <v>7750</v>
      </c>
      <c r="M283" s="30">
        <v>7846</v>
      </c>
      <c r="N283" s="30">
        <v>8127</v>
      </c>
      <c r="O283" s="24" t="str">
        <f t="shared" si="9"/>
        <v>Lake County, Colorado</v>
      </c>
    </row>
    <row r="284" spans="1:15" x14ac:dyDescent="0.25">
      <c r="A284" s="35" t="s">
        <v>760</v>
      </c>
      <c r="B284" s="28" t="str">
        <f t="shared" si="8"/>
        <v>La Plata</v>
      </c>
      <c r="C284" s="30">
        <v>51334</v>
      </c>
      <c r="D284" s="30">
        <v>51335</v>
      </c>
      <c r="E284" s="30">
        <v>51411</v>
      </c>
      <c r="F284" s="30">
        <v>51866</v>
      </c>
      <c r="G284" s="30">
        <v>52451</v>
      </c>
      <c r="H284" s="30">
        <v>53368</v>
      </c>
      <c r="I284" s="30">
        <v>53865</v>
      </c>
      <c r="J284" s="30">
        <v>54687</v>
      </c>
      <c r="K284" s="30">
        <v>55316</v>
      </c>
      <c r="L284" s="30">
        <v>55563</v>
      </c>
      <c r="M284" s="30">
        <v>56299</v>
      </c>
      <c r="N284" s="30">
        <v>56221</v>
      </c>
      <c r="O284" s="24" t="str">
        <f t="shared" si="9"/>
        <v>La Plata County, Colorado</v>
      </c>
    </row>
    <row r="285" spans="1:15" x14ac:dyDescent="0.25">
      <c r="A285" s="35" t="s">
        <v>761</v>
      </c>
      <c r="B285" s="28" t="str">
        <f t="shared" si="8"/>
        <v>Larimer</v>
      </c>
      <c r="C285" s="30">
        <v>299630</v>
      </c>
      <c r="D285" s="30">
        <v>299630</v>
      </c>
      <c r="E285" s="30">
        <v>300441</v>
      </c>
      <c r="F285" s="30">
        <v>305246</v>
      </c>
      <c r="G285" s="30">
        <v>310842</v>
      </c>
      <c r="H285" s="30">
        <v>316225</v>
      </c>
      <c r="I285" s="30">
        <v>324008</v>
      </c>
      <c r="J285" s="30">
        <v>333303</v>
      </c>
      <c r="K285" s="30">
        <v>338984</v>
      </c>
      <c r="L285" s="30">
        <v>344084</v>
      </c>
      <c r="M285" s="30">
        <v>350660</v>
      </c>
      <c r="N285" s="30">
        <v>356899</v>
      </c>
      <c r="O285" s="24" t="str">
        <f t="shared" si="9"/>
        <v>Larimer County, Colorado</v>
      </c>
    </row>
    <row r="286" spans="1:15" x14ac:dyDescent="0.25">
      <c r="A286" s="35" t="s">
        <v>762</v>
      </c>
      <c r="B286" s="28" t="str">
        <f t="shared" si="8"/>
        <v>Las Animas</v>
      </c>
      <c r="C286" s="30">
        <v>15507</v>
      </c>
      <c r="D286" s="30">
        <v>15507</v>
      </c>
      <c r="E286" s="30">
        <v>15422</v>
      </c>
      <c r="F286" s="30">
        <v>15053</v>
      </c>
      <c r="G286" s="30">
        <v>14992</v>
      </c>
      <c r="H286" s="30">
        <v>14396</v>
      </c>
      <c r="I286" s="30">
        <v>14048</v>
      </c>
      <c r="J286" s="30">
        <v>14043</v>
      </c>
      <c r="K286" s="30">
        <v>14073</v>
      </c>
      <c r="L286" s="30">
        <v>14201</v>
      </c>
      <c r="M286" s="30">
        <v>14508</v>
      </c>
      <c r="N286" s="30">
        <v>14506</v>
      </c>
      <c r="O286" s="24" t="str">
        <f t="shared" si="9"/>
        <v>Las Animas County, Colorado</v>
      </c>
    </row>
    <row r="287" spans="1:15" x14ac:dyDescent="0.25">
      <c r="A287" s="35" t="s">
        <v>763</v>
      </c>
      <c r="B287" s="28" t="str">
        <f t="shared" si="8"/>
        <v>Lincoln</v>
      </c>
      <c r="C287" s="30">
        <v>5467</v>
      </c>
      <c r="D287" s="30">
        <v>5469</v>
      </c>
      <c r="E287" s="30">
        <v>5471</v>
      </c>
      <c r="F287" s="30">
        <v>5419</v>
      </c>
      <c r="G287" s="30">
        <v>5440</v>
      </c>
      <c r="H287" s="30">
        <v>5435</v>
      </c>
      <c r="I287" s="30">
        <v>5501</v>
      </c>
      <c r="J287" s="30">
        <v>5543</v>
      </c>
      <c r="K287" s="30">
        <v>5551</v>
      </c>
      <c r="L287" s="30">
        <v>5523</v>
      </c>
      <c r="M287" s="30">
        <v>5606</v>
      </c>
      <c r="N287" s="30">
        <v>5701</v>
      </c>
      <c r="O287" s="24" t="str">
        <f t="shared" si="9"/>
        <v>Lincoln County, Colorado</v>
      </c>
    </row>
    <row r="288" spans="1:15" x14ac:dyDescent="0.25">
      <c r="A288" s="35" t="s">
        <v>764</v>
      </c>
      <c r="B288" s="28" t="str">
        <f t="shared" si="8"/>
        <v>Logan</v>
      </c>
      <c r="C288" s="30">
        <v>22709</v>
      </c>
      <c r="D288" s="30">
        <v>22709</v>
      </c>
      <c r="E288" s="30">
        <v>22750</v>
      </c>
      <c r="F288" s="30">
        <v>22577</v>
      </c>
      <c r="G288" s="30">
        <v>22356</v>
      </c>
      <c r="H288" s="30">
        <v>22174</v>
      </c>
      <c r="I288" s="30">
        <v>22440</v>
      </c>
      <c r="J288" s="30">
        <v>22472</v>
      </c>
      <c r="K288" s="30">
        <v>22435</v>
      </c>
      <c r="L288" s="30">
        <v>22317</v>
      </c>
      <c r="M288" s="30">
        <v>22268</v>
      </c>
      <c r="N288" s="30">
        <v>22409</v>
      </c>
      <c r="O288" s="24" t="str">
        <f t="shared" si="9"/>
        <v>Logan County, Colorado</v>
      </c>
    </row>
    <row r="289" spans="1:15" x14ac:dyDescent="0.25">
      <c r="A289" s="35" t="s">
        <v>765</v>
      </c>
      <c r="B289" s="28" t="str">
        <f t="shared" si="8"/>
        <v>Mesa</v>
      </c>
      <c r="C289" s="30">
        <v>146723</v>
      </c>
      <c r="D289" s="30">
        <v>146733</v>
      </c>
      <c r="E289" s="30">
        <v>146259</v>
      </c>
      <c r="F289" s="30">
        <v>147174</v>
      </c>
      <c r="G289" s="30">
        <v>147317</v>
      </c>
      <c r="H289" s="30">
        <v>147175</v>
      </c>
      <c r="I289" s="30">
        <v>147113</v>
      </c>
      <c r="J289" s="30">
        <v>148025</v>
      </c>
      <c r="K289" s="30">
        <v>149736</v>
      </c>
      <c r="L289" s="30">
        <v>151170</v>
      </c>
      <c r="M289" s="30">
        <v>152951</v>
      </c>
      <c r="N289" s="30">
        <v>154210</v>
      </c>
      <c r="O289" s="24" t="str">
        <f t="shared" si="9"/>
        <v>Mesa County, Colorado</v>
      </c>
    </row>
    <row r="290" spans="1:15" x14ac:dyDescent="0.25">
      <c r="A290" s="35" t="s">
        <v>766</v>
      </c>
      <c r="B290" s="28" t="str">
        <f t="shared" si="8"/>
        <v>Mineral</v>
      </c>
      <c r="C290" s="30">
        <v>712</v>
      </c>
      <c r="D290" s="30">
        <v>712</v>
      </c>
      <c r="E290" s="30">
        <v>704</v>
      </c>
      <c r="F290" s="30">
        <v>711</v>
      </c>
      <c r="G290" s="30">
        <v>719</v>
      </c>
      <c r="H290" s="30">
        <v>732</v>
      </c>
      <c r="I290" s="30">
        <v>704</v>
      </c>
      <c r="J290" s="30">
        <v>744</v>
      </c>
      <c r="K290" s="30">
        <v>756</v>
      </c>
      <c r="L290" s="30">
        <v>753</v>
      </c>
      <c r="M290" s="30">
        <v>772</v>
      </c>
      <c r="N290" s="30">
        <v>769</v>
      </c>
      <c r="O290" s="24" t="str">
        <f t="shared" si="9"/>
        <v>Mineral County, Colorado</v>
      </c>
    </row>
    <row r="291" spans="1:15" x14ac:dyDescent="0.25">
      <c r="A291" s="35" t="s">
        <v>767</v>
      </c>
      <c r="B291" s="28" t="str">
        <f t="shared" si="8"/>
        <v>Moffat</v>
      </c>
      <c r="C291" s="30">
        <v>13795</v>
      </c>
      <c r="D291" s="30">
        <v>13791</v>
      </c>
      <c r="E291" s="30">
        <v>13794</v>
      </c>
      <c r="F291" s="30">
        <v>13423</v>
      </c>
      <c r="G291" s="30">
        <v>13171</v>
      </c>
      <c r="H291" s="30">
        <v>13126</v>
      </c>
      <c r="I291" s="30">
        <v>12934</v>
      </c>
      <c r="J291" s="30">
        <v>12939</v>
      </c>
      <c r="K291" s="30">
        <v>13144</v>
      </c>
      <c r="L291" s="30">
        <v>13088</v>
      </c>
      <c r="M291" s="30">
        <v>13183</v>
      </c>
      <c r="N291" s="30">
        <v>13283</v>
      </c>
      <c r="O291" s="24" t="str">
        <f t="shared" si="9"/>
        <v>Moffat County, Colorado</v>
      </c>
    </row>
    <row r="292" spans="1:15" x14ac:dyDescent="0.25">
      <c r="A292" s="35" t="s">
        <v>768</v>
      </c>
      <c r="B292" s="28" t="str">
        <f t="shared" si="8"/>
        <v>Montezuma</v>
      </c>
      <c r="C292" s="30">
        <v>25535</v>
      </c>
      <c r="D292" s="30">
        <v>25541</v>
      </c>
      <c r="E292" s="30">
        <v>25576</v>
      </c>
      <c r="F292" s="30">
        <v>25476</v>
      </c>
      <c r="G292" s="30">
        <v>25476</v>
      </c>
      <c r="H292" s="30">
        <v>25542</v>
      </c>
      <c r="I292" s="30">
        <v>25514</v>
      </c>
      <c r="J292" s="30">
        <v>25716</v>
      </c>
      <c r="K292" s="30">
        <v>25994</v>
      </c>
      <c r="L292" s="30">
        <v>26112</v>
      </c>
      <c r="M292" s="30">
        <v>26152</v>
      </c>
      <c r="N292" s="30">
        <v>26183</v>
      </c>
      <c r="O292" s="24" t="str">
        <f t="shared" si="9"/>
        <v>Montezuma County, Colorado</v>
      </c>
    </row>
    <row r="293" spans="1:15" x14ac:dyDescent="0.25">
      <c r="A293" s="35" t="s">
        <v>769</v>
      </c>
      <c r="B293" s="28" t="str">
        <f t="shared" si="8"/>
        <v>Montrose</v>
      </c>
      <c r="C293" s="30">
        <v>41276</v>
      </c>
      <c r="D293" s="30">
        <v>41276</v>
      </c>
      <c r="E293" s="30">
        <v>41186</v>
      </c>
      <c r="F293" s="30">
        <v>40974</v>
      </c>
      <c r="G293" s="30">
        <v>40650</v>
      </c>
      <c r="H293" s="30">
        <v>40549</v>
      </c>
      <c r="I293" s="30">
        <v>40585</v>
      </c>
      <c r="J293" s="30">
        <v>40562</v>
      </c>
      <c r="K293" s="30">
        <v>41151</v>
      </c>
      <c r="L293" s="30">
        <v>41753</v>
      </c>
      <c r="M293" s="30">
        <v>42206</v>
      </c>
      <c r="N293" s="30">
        <v>42758</v>
      </c>
      <c r="O293" s="24" t="str">
        <f t="shared" si="9"/>
        <v>Montrose County, Colorado</v>
      </c>
    </row>
    <row r="294" spans="1:15" x14ac:dyDescent="0.25">
      <c r="A294" s="35" t="s">
        <v>770</v>
      </c>
      <c r="B294" s="28" t="str">
        <f t="shared" si="8"/>
        <v>Morgan</v>
      </c>
      <c r="C294" s="30">
        <v>28159</v>
      </c>
      <c r="D294" s="30">
        <v>28159</v>
      </c>
      <c r="E294" s="30">
        <v>28241</v>
      </c>
      <c r="F294" s="30">
        <v>28452</v>
      </c>
      <c r="G294" s="30">
        <v>28248</v>
      </c>
      <c r="H294" s="30">
        <v>28223</v>
      </c>
      <c r="I294" s="30">
        <v>28103</v>
      </c>
      <c r="J294" s="30">
        <v>28252</v>
      </c>
      <c r="K294" s="30">
        <v>28199</v>
      </c>
      <c r="L294" s="30">
        <v>28295</v>
      </c>
      <c r="M294" s="30">
        <v>28769</v>
      </c>
      <c r="N294" s="30">
        <v>29068</v>
      </c>
      <c r="O294" s="24" t="str">
        <f t="shared" si="9"/>
        <v>Morgan County, Colorado</v>
      </c>
    </row>
    <row r="295" spans="1:15" x14ac:dyDescent="0.25">
      <c r="A295" s="35" t="s">
        <v>771</v>
      </c>
      <c r="B295" s="28" t="str">
        <f t="shared" si="8"/>
        <v>Otero</v>
      </c>
      <c r="C295" s="30">
        <v>18831</v>
      </c>
      <c r="D295" s="30">
        <v>18833</v>
      </c>
      <c r="E295" s="30">
        <v>18859</v>
      </c>
      <c r="F295" s="30">
        <v>18839</v>
      </c>
      <c r="G295" s="30">
        <v>18634</v>
      </c>
      <c r="H295" s="30">
        <v>18452</v>
      </c>
      <c r="I295" s="30">
        <v>18336</v>
      </c>
      <c r="J295" s="30">
        <v>18182</v>
      </c>
      <c r="K295" s="30">
        <v>18266</v>
      </c>
      <c r="L295" s="30">
        <v>18345</v>
      </c>
      <c r="M295" s="30">
        <v>18338</v>
      </c>
      <c r="N295" s="30">
        <v>18278</v>
      </c>
      <c r="O295" s="24" t="str">
        <f t="shared" si="9"/>
        <v>Otero County, Colorado</v>
      </c>
    </row>
    <row r="296" spans="1:15" x14ac:dyDescent="0.25">
      <c r="A296" s="35" t="s">
        <v>772</v>
      </c>
      <c r="B296" s="28" t="str">
        <f t="shared" si="8"/>
        <v>Ouray</v>
      </c>
      <c r="C296" s="30">
        <v>4436</v>
      </c>
      <c r="D296" s="30">
        <v>4442</v>
      </c>
      <c r="E296" s="30">
        <v>4456</v>
      </c>
      <c r="F296" s="30">
        <v>4423</v>
      </c>
      <c r="G296" s="30">
        <v>4507</v>
      </c>
      <c r="H296" s="30">
        <v>4552</v>
      </c>
      <c r="I296" s="30">
        <v>4574</v>
      </c>
      <c r="J296" s="30">
        <v>4608</v>
      </c>
      <c r="K296" s="30">
        <v>4789</v>
      </c>
      <c r="L296" s="30">
        <v>4813</v>
      </c>
      <c r="M296" s="30">
        <v>4822</v>
      </c>
      <c r="N296" s="30">
        <v>4952</v>
      </c>
      <c r="O296" s="24" t="str">
        <f t="shared" si="9"/>
        <v>Ouray County, Colorado</v>
      </c>
    </row>
    <row r="297" spans="1:15" x14ac:dyDescent="0.25">
      <c r="A297" s="35" t="s">
        <v>773</v>
      </c>
      <c r="B297" s="28" t="str">
        <f t="shared" si="8"/>
        <v>Park</v>
      </c>
      <c r="C297" s="30">
        <v>16206</v>
      </c>
      <c r="D297" s="30">
        <v>16203</v>
      </c>
      <c r="E297" s="30">
        <v>16279</v>
      </c>
      <c r="F297" s="30">
        <v>16055</v>
      </c>
      <c r="G297" s="30">
        <v>16049</v>
      </c>
      <c r="H297" s="30">
        <v>16184</v>
      </c>
      <c r="I297" s="30">
        <v>16381</v>
      </c>
      <c r="J297" s="30">
        <v>16726</v>
      </c>
      <c r="K297" s="30">
        <v>17343</v>
      </c>
      <c r="L297" s="30">
        <v>17894</v>
      </c>
      <c r="M297" s="30">
        <v>18525</v>
      </c>
      <c r="N297" s="30">
        <v>18845</v>
      </c>
      <c r="O297" s="24" t="str">
        <f t="shared" si="9"/>
        <v>Park County, Colorado</v>
      </c>
    </row>
    <row r="298" spans="1:15" x14ac:dyDescent="0.25">
      <c r="A298" s="35" t="s">
        <v>774</v>
      </c>
      <c r="B298" s="28" t="str">
        <f t="shared" si="8"/>
        <v>Phillips</v>
      </c>
      <c r="C298" s="30">
        <v>4442</v>
      </c>
      <c r="D298" s="30">
        <v>4442</v>
      </c>
      <c r="E298" s="30">
        <v>4469</v>
      </c>
      <c r="F298" s="30">
        <v>4401</v>
      </c>
      <c r="G298" s="30">
        <v>4417</v>
      </c>
      <c r="H298" s="30">
        <v>4383</v>
      </c>
      <c r="I298" s="30">
        <v>4392</v>
      </c>
      <c r="J298" s="30">
        <v>4327</v>
      </c>
      <c r="K298" s="30">
        <v>4280</v>
      </c>
      <c r="L298" s="30">
        <v>4288</v>
      </c>
      <c r="M298" s="30">
        <v>4285</v>
      </c>
      <c r="N298" s="30">
        <v>4265</v>
      </c>
      <c r="O298" s="24" t="str">
        <f t="shared" si="9"/>
        <v>Phillips County, Colorado</v>
      </c>
    </row>
    <row r="299" spans="1:15" x14ac:dyDescent="0.25">
      <c r="A299" s="35" t="s">
        <v>775</v>
      </c>
      <c r="B299" s="28" t="str">
        <f t="shared" si="8"/>
        <v>Pitkin</v>
      </c>
      <c r="C299" s="30">
        <v>17148</v>
      </c>
      <c r="D299" s="30">
        <v>17144</v>
      </c>
      <c r="E299" s="30">
        <v>17154</v>
      </c>
      <c r="F299" s="30">
        <v>17169</v>
      </c>
      <c r="G299" s="30">
        <v>17292</v>
      </c>
      <c r="H299" s="30">
        <v>17460</v>
      </c>
      <c r="I299" s="30">
        <v>17712</v>
      </c>
      <c r="J299" s="30">
        <v>17940</v>
      </c>
      <c r="K299" s="30">
        <v>17975</v>
      </c>
      <c r="L299" s="30">
        <v>17973</v>
      </c>
      <c r="M299" s="30">
        <v>17976</v>
      </c>
      <c r="N299" s="30">
        <v>17767</v>
      </c>
      <c r="O299" s="24" t="str">
        <f t="shared" si="9"/>
        <v>Pitkin County, Colorado</v>
      </c>
    </row>
    <row r="300" spans="1:15" x14ac:dyDescent="0.25">
      <c r="A300" s="35" t="s">
        <v>776</v>
      </c>
      <c r="B300" s="28" t="str">
        <f t="shared" si="8"/>
        <v>Prowers</v>
      </c>
      <c r="C300" s="30">
        <v>12551</v>
      </c>
      <c r="D300" s="30">
        <v>12551</v>
      </c>
      <c r="E300" s="30">
        <v>12545</v>
      </c>
      <c r="F300" s="30">
        <v>12502</v>
      </c>
      <c r="G300" s="30">
        <v>12421</v>
      </c>
      <c r="H300" s="30">
        <v>12317</v>
      </c>
      <c r="I300" s="30">
        <v>12062</v>
      </c>
      <c r="J300" s="30">
        <v>11936</v>
      </c>
      <c r="K300" s="30">
        <v>11926</v>
      </c>
      <c r="L300" s="30">
        <v>11998</v>
      </c>
      <c r="M300" s="30">
        <v>12079</v>
      </c>
      <c r="N300" s="30">
        <v>12172</v>
      </c>
      <c r="O300" s="24" t="str">
        <f t="shared" si="9"/>
        <v>Prowers County, Colorado</v>
      </c>
    </row>
    <row r="301" spans="1:15" x14ac:dyDescent="0.25">
      <c r="A301" s="35" t="s">
        <v>777</v>
      </c>
      <c r="B301" s="28" t="str">
        <f t="shared" si="8"/>
        <v>Pueblo</v>
      </c>
      <c r="C301" s="30">
        <v>159063</v>
      </c>
      <c r="D301" s="30">
        <v>159063</v>
      </c>
      <c r="E301" s="30">
        <v>159390</v>
      </c>
      <c r="F301" s="30">
        <v>160184</v>
      </c>
      <c r="G301" s="30">
        <v>160721</v>
      </c>
      <c r="H301" s="30">
        <v>161033</v>
      </c>
      <c r="I301" s="30">
        <v>161356</v>
      </c>
      <c r="J301" s="30">
        <v>163006</v>
      </c>
      <c r="K301" s="30">
        <v>164774</v>
      </c>
      <c r="L301" s="30">
        <v>166283</v>
      </c>
      <c r="M301" s="30">
        <v>167422</v>
      </c>
      <c r="N301" s="30">
        <v>168424</v>
      </c>
      <c r="O301" s="24" t="str">
        <f t="shared" si="9"/>
        <v>Pueblo County, Colorado</v>
      </c>
    </row>
    <row r="302" spans="1:15" x14ac:dyDescent="0.25">
      <c r="A302" s="35" t="s">
        <v>778</v>
      </c>
      <c r="B302" s="28" t="str">
        <f t="shared" si="8"/>
        <v>Rio Blanco</v>
      </c>
      <c r="C302" s="30">
        <v>6666</v>
      </c>
      <c r="D302" s="30">
        <v>6673</v>
      </c>
      <c r="E302" s="30">
        <v>6623</v>
      </c>
      <c r="F302" s="30">
        <v>6747</v>
      </c>
      <c r="G302" s="30">
        <v>6758</v>
      </c>
      <c r="H302" s="30">
        <v>6693</v>
      </c>
      <c r="I302" s="30">
        <v>6595</v>
      </c>
      <c r="J302" s="30">
        <v>6478</v>
      </c>
      <c r="K302" s="30">
        <v>6436</v>
      </c>
      <c r="L302" s="30">
        <v>6352</v>
      </c>
      <c r="M302" s="30">
        <v>6330</v>
      </c>
      <c r="N302" s="30">
        <v>6324</v>
      </c>
      <c r="O302" s="24" t="str">
        <f t="shared" si="9"/>
        <v>Rio Blanco County, Colorado</v>
      </c>
    </row>
    <row r="303" spans="1:15" x14ac:dyDescent="0.25">
      <c r="A303" s="35" t="s">
        <v>779</v>
      </c>
      <c r="B303" s="28" t="str">
        <f t="shared" si="8"/>
        <v>Rio Grande</v>
      </c>
      <c r="C303" s="30">
        <v>11982</v>
      </c>
      <c r="D303" s="30">
        <v>11982</v>
      </c>
      <c r="E303" s="30">
        <v>12023</v>
      </c>
      <c r="F303" s="30">
        <v>11913</v>
      </c>
      <c r="G303" s="30">
        <v>11866</v>
      </c>
      <c r="H303" s="30">
        <v>11676</v>
      </c>
      <c r="I303" s="30">
        <v>11504</v>
      </c>
      <c r="J303" s="30">
        <v>11352</v>
      </c>
      <c r="K303" s="30">
        <v>11337</v>
      </c>
      <c r="L303" s="30">
        <v>11297</v>
      </c>
      <c r="M303" s="30">
        <v>11271</v>
      </c>
      <c r="N303" s="30">
        <v>11267</v>
      </c>
      <c r="O303" s="24" t="str">
        <f t="shared" si="9"/>
        <v>Rio Grande County, Colorado</v>
      </c>
    </row>
    <row r="304" spans="1:15" x14ac:dyDescent="0.25">
      <c r="A304" s="35" t="s">
        <v>780</v>
      </c>
      <c r="B304" s="28" t="str">
        <f t="shared" si="8"/>
        <v>Routt</v>
      </c>
      <c r="C304" s="30">
        <v>23509</v>
      </c>
      <c r="D304" s="30">
        <v>23506</v>
      </c>
      <c r="E304" s="30">
        <v>23434</v>
      </c>
      <c r="F304" s="30">
        <v>23252</v>
      </c>
      <c r="G304" s="30">
        <v>23272</v>
      </c>
      <c r="H304" s="30">
        <v>23599</v>
      </c>
      <c r="I304" s="30">
        <v>24067</v>
      </c>
      <c r="J304" s="30">
        <v>24360</v>
      </c>
      <c r="K304" s="30">
        <v>24682</v>
      </c>
      <c r="L304" s="30">
        <v>25171</v>
      </c>
      <c r="M304" s="30">
        <v>25507</v>
      </c>
      <c r="N304" s="30">
        <v>25638</v>
      </c>
      <c r="O304" s="24" t="str">
        <f t="shared" si="9"/>
        <v>Routt County, Colorado</v>
      </c>
    </row>
    <row r="305" spans="1:15" x14ac:dyDescent="0.25">
      <c r="A305" s="35" t="s">
        <v>781</v>
      </c>
      <c r="B305" s="28" t="str">
        <f t="shared" si="8"/>
        <v>Saguache</v>
      </c>
      <c r="C305" s="30">
        <v>6108</v>
      </c>
      <c r="D305" s="30">
        <v>6108</v>
      </c>
      <c r="E305" s="30">
        <v>6136</v>
      </c>
      <c r="F305" s="30">
        <v>6188</v>
      </c>
      <c r="G305" s="30">
        <v>6333</v>
      </c>
      <c r="H305" s="30">
        <v>6242</v>
      </c>
      <c r="I305" s="30">
        <v>6198</v>
      </c>
      <c r="J305" s="30">
        <v>6253</v>
      </c>
      <c r="K305" s="30">
        <v>6412</v>
      </c>
      <c r="L305" s="30">
        <v>6633</v>
      </c>
      <c r="M305" s="30">
        <v>6840</v>
      </c>
      <c r="N305" s="30">
        <v>6824</v>
      </c>
      <c r="O305" s="24" t="str">
        <f t="shared" si="9"/>
        <v>Saguache County, Colorado</v>
      </c>
    </row>
    <row r="306" spans="1:15" x14ac:dyDescent="0.25">
      <c r="A306" s="35" t="s">
        <v>782</v>
      </c>
      <c r="B306" s="28" t="str">
        <f t="shared" si="8"/>
        <v>San Juan</v>
      </c>
      <c r="C306" s="30">
        <v>699</v>
      </c>
      <c r="D306" s="30">
        <v>699</v>
      </c>
      <c r="E306" s="30">
        <v>708</v>
      </c>
      <c r="F306" s="30">
        <v>690</v>
      </c>
      <c r="G306" s="30">
        <v>692</v>
      </c>
      <c r="H306" s="30">
        <v>692</v>
      </c>
      <c r="I306" s="30">
        <v>712</v>
      </c>
      <c r="J306" s="30">
        <v>689</v>
      </c>
      <c r="K306" s="30">
        <v>691</v>
      </c>
      <c r="L306" s="30">
        <v>712</v>
      </c>
      <c r="M306" s="30">
        <v>764</v>
      </c>
      <c r="N306" s="30">
        <v>728</v>
      </c>
      <c r="O306" s="24" t="str">
        <f t="shared" si="9"/>
        <v>San Juan County, Colorado</v>
      </c>
    </row>
    <row r="307" spans="1:15" x14ac:dyDescent="0.25">
      <c r="A307" s="35" t="s">
        <v>783</v>
      </c>
      <c r="B307" s="28" t="str">
        <f t="shared" si="8"/>
        <v>San Miguel</v>
      </c>
      <c r="C307" s="30">
        <v>7359</v>
      </c>
      <c r="D307" s="30">
        <v>7359</v>
      </c>
      <c r="E307" s="30">
        <v>7357</v>
      </c>
      <c r="F307" s="30">
        <v>7487</v>
      </c>
      <c r="G307" s="30">
        <v>7581</v>
      </c>
      <c r="H307" s="30">
        <v>7621</v>
      </c>
      <c r="I307" s="30">
        <v>7738</v>
      </c>
      <c r="J307" s="30">
        <v>7836</v>
      </c>
      <c r="K307" s="30">
        <v>8017</v>
      </c>
      <c r="L307" s="30">
        <v>8034</v>
      </c>
      <c r="M307" s="30">
        <v>8180</v>
      </c>
      <c r="N307" s="30">
        <v>8179</v>
      </c>
      <c r="O307" s="24" t="str">
        <f t="shared" si="9"/>
        <v>San Miguel County, Colorado</v>
      </c>
    </row>
    <row r="308" spans="1:15" x14ac:dyDescent="0.25">
      <c r="A308" s="35" t="s">
        <v>784</v>
      </c>
      <c r="B308" s="28" t="str">
        <f t="shared" si="8"/>
        <v>Sedgwick</v>
      </c>
      <c r="C308" s="30">
        <v>2379</v>
      </c>
      <c r="D308" s="30">
        <v>2382</v>
      </c>
      <c r="E308" s="30">
        <v>2371</v>
      </c>
      <c r="F308" s="30">
        <v>2372</v>
      </c>
      <c r="G308" s="30">
        <v>2378</v>
      </c>
      <c r="H308" s="30">
        <v>2340</v>
      </c>
      <c r="I308" s="30">
        <v>2334</v>
      </c>
      <c r="J308" s="30">
        <v>2373</v>
      </c>
      <c r="K308" s="30">
        <v>2400</v>
      </c>
      <c r="L308" s="30">
        <v>2311</v>
      </c>
      <c r="M308" s="30">
        <v>2276</v>
      </c>
      <c r="N308" s="30">
        <v>2248</v>
      </c>
      <c r="O308" s="24" t="str">
        <f t="shared" si="9"/>
        <v>Sedgwick County, Colorado</v>
      </c>
    </row>
    <row r="309" spans="1:15" x14ac:dyDescent="0.25">
      <c r="A309" s="35" t="s">
        <v>785</v>
      </c>
      <c r="B309" s="28" t="str">
        <f t="shared" si="8"/>
        <v>Summit</v>
      </c>
      <c r="C309" s="30">
        <v>27994</v>
      </c>
      <c r="D309" s="30">
        <v>27994</v>
      </c>
      <c r="E309" s="30">
        <v>28073</v>
      </c>
      <c r="F309" s="30">
        <v>28042</v>
      </c>
      <c r="G309" s="30">
        <v>28298</v>
      </c>
      <c r="H309" s="30">
        <v>28728</v>
      </c>
      <c r="I309" s="30">
        <v>29317</v>
      </c>
      <c r="J309" s="30">
        <v>30045</v>
      </c>
      <c r="K309" s="30">
        <v>30552</v>
      </c>
      <c r="L309" s="30">
        <v>30820</v>
      </c>
      <c r="M309" s="30">
        <v>30817</v>
      </c>
      <c r="N309" s="30">
        <v>31011</v>
      </c>
      <c r="O309" s="24" t="str">
        <f t="shared" si="9"/>
        <v>Summit County, Colorado</v>
      </c>
    </row>
    <row r="310" spans="1:15" x14ac:dyDescent="0.25">
      <c r="A310" s="35" t="s">
        <v>786</v>
      </c>
      <c r="B310" s="28" t="str">
        <f t="shared" si="8"/>
        <v>Teller</v>
      </c>
      <c r="C310" s="30">
        <v>23350</v>
      </c>
      <c r="D310" s="30">
        <v>23359</v>
      </c>
      <c r="E310" s="30">
        <v>23469</v>
      </c>
      <c r="F310" s="30">
        <v>23369</v>
      </c>
      <c r="G310" s="30">
        <v>23445</v>
      </c>
      <c r="H310" s="30">
        <v>23356</v>
      </c>
      <c r="I310" s="30">
        <v>23433</v>
      </c>
      <c r="J310" s="30">
        <v>23388</v>
      </c>
      <c r="K310" s="30">
        <v>24058</v>
      </c>
      <c r="L310" s="30">
        <v>24674</v>
      </c>
      <c r="M310" s="30">
        <v>25113</v>
      </c>
      <c r="N310" s="30">
        <v>25388</v>
      </c>
      <c r="O310" s="24" t="str">
        <f t="shared" si="9"/>
        <v>Teller County, Colorado</v>
      </c>
    </row>
    <row r="311" spans="1:15" x14ac:dyDescent="0.25">
      <c r="A311" s="35" t="s">
        <v>787</v>
      </c>
      <c r="B311" s="28" t="str">
        <f t="shared" si="8"/>
        <v>Washington</v>
      </c>
      <c r="C311" s="30">
        <v>4814</v>
      </c>
      <c r="D311" s="30">
        <v>4812</v>
      </c>
      <c r="E311" s="30">
        <v>4821</v>
      </c>
      <c r="F311" s="30">
        <v>4762</v>
      </c>
      <c r="G311" s="30">
        <v>4701</v>
      </c>
      <c r="H311" s="30">
        <v>4743</v>
      </c>
      <c r="I311" s="30">
        <v>4733</v>
      </c>
      <c r="J311" s="30">
        <v>4786</v>
      </c>
      <c r="K311" s="30">
        <v>4834</v>
      </c>
      <c r="L311" s="30">
        <v>4921</v>
      </c>
      <c r="M311" s="30">
        <v>4888</v>
      </c>
      <c r="N311" s="30">
        <v>4908</v>
      </c>
      <c r="O311" s="24" t="str">
        <f t="shared" si="9"/>
        <v>Washington County, Colorado</v>
      </c>
    </row>
    <row r="312" spans="1:15" x14ac:dyDescent="0.25">
      <c r="A312" s="35" t="s">
        <v>788</v>
      </c>
      <c r="B312" s="28" t="str">
        <f t="shared" si="8"/>
        <v>Weld</v>
      </c>
      <c r="C312" s="30">
        <v>252825</v>
      </c>
      <c r="D312" s="30">
        <v>252827</v>
      </c>
      <c r="E312" s="30">
        <v>254207</v>
      </c>
      <c r="F312" s="30">
        <v>258827</v>
      </c>
      <c r="G312" s="30">
        <v>264131</v>
      </c>
      <c r="H312" s="30">
        <v>270165</v>
      </c>
      <c r="I312" s="30">
        <v>277112</v>
      </c>
      <c r="J312" s="30">
        <v>285819</v>
      </c>
      <c r="K312" s="30">
        <v>295712</v>
      </c>
      <c r="L312" s="30">
        <v>305885</v>
      </c>
      <c r="M312" s="30">
        <v>314815</v>
      </c>
      <c r="N312" s="30">
        <v>324492</v>
      </c>
      <c r="O312" s="24" t="str">
        <f t="shared" si="9"/>
        <v>Weld County, Colorado</v>
      </c>
    </row>
    <row r="313" spans="1:15" x14ac:dyDescent="0.25">
      <c r="A313" s="35" t="s">
        <v>789</v>
      </c>
      <c r="B313" s="28" t="str">
        <f t="shared" si="8"/>
        <v>Yuma</v>
      </c>
      <c r="C313" s="30">
        <v>10043</v>
      </c>
      <c r="D313" s="30">
        <v>10043</v>
      </c>
      <c r="E313" s="30">
        <v>10049</v>
      </c>
      <c r="F313" s="30">
        <v>10134</v>
      </c>
      <c r="G313" s="30">
        <v>10100</v>
      </c>
      <c r="H313" s="30">
        <v>10132</v>
      </c>
      <c r="I313" s="30">
        <v>10184</v>
      </c>
      <c r="J313" s="30">
        <v>10037</v>
      </c>
      <c r="K313" s="30">
        <v>10055</v>
      </c>
      <c r="L313" s="30">
        <v>9959</v>
      </c>
      <c r="M313" s="30">
        <v>9947</v>
      </c>
      <c r="N313" s="30">
        <v>10019</v>
      </c>
      <c r="O313" s="24" t="str">
        <f t="shared" si="9"/>
        <v>Yuma County, Colorado</v>
      </c>
    </row>
    <row r="314" spans="1:15" x14ac:dyDescent="0.25">
      <c r="A314" s="35" t="s">
        <v>790</v>
      </c>
      <c r="B314" s="28" t="str">
        <f t="shared" si="8"/>
        <v>Fairfield</v>
      </c>
      <c r="C314" s="30">
        <v>916829</v>
      </c>
      <c r="D314" s="30">
        <v>916904</v>
      </c>
      <c r="E314" s="30">
        <v>919355</v>
      </c>
      <c r="F314" s="30">
        <v>928000</v>
      </c>
      <c r="G314" s="30">
        <v>935099</v>
      </c>
      <c r="H314" s="30">
        <v>939924</v>
      </c>
      <c r="I314" s="30">
        <v>944196</v>
      </c>
      <c r="J314" s="30">
        <v>944943</v>
      </c>
      <c r="K314" s="30">
        <v>944347</v>
      </c>
      <c r="L314" s="30">
        <v>943038</v>
      </c>
      <c r="M314" s="30">
        <v>943971</v>
      </c>
      <c r="N314" s="30">
        <v>943332</v>
      </c>
      <c r="O314" s="24" t="str">
        <f t="shared" si="9"/>
        <v>Fairfield County, Connecticut</v>
      </c>
    </row>
    <row r="315" spans="1:15" x14ac:dyDescent="0.25">
      <c r="A315" s="35" t="s">
        <v>791</v>
      </c>
      <c r="B315" s="28" t="str">
        <f t="shared" si="8"/>
        <v>Hartford</v>
      </c>
      <c r="C315" s="30">
        <v>894014</v>
      </c>
      <c r="D315" s="30">
        <v>894052</v>
      </c>
      <c r="E315" s="30">
        <v>895236</v>
      </c>
      <c r="F315" s="30">
        <v>896864</v>
      </c>
      <c r="G315" s="30">
        <v>897706</v>
      </c>
      <c r="H315" s="30">
        <v>897678</v>
      </c>
      <c r="I315" s="30">
        <v>897407</v>
      </c>
      <c r="J315" s="30">
        <v>896290</v>
      </c>
      <c r="K315" s="30">
        <v>894141</v>
      </c>
      <c r="L315" s="30">
        <v>893076</v>
      </c>
      <c r="M315" s="30">
        <v>892580</v>
      </c>
      <c r="N315" s="30">
        <v>891720</v>
      </c>
      <c r="O315" s="24" t="str">
        <f t="shared" si="9"/>
        <v>Hartford County, Connecticut</v>
      </c>
    </row>
    <row r="316" spans="1:15" x14ac:dyDescent="0.25">
      <c r="A316" s="35" t="s">
        <v>792</v>
      </c>
      <c r="B316" s="28" t="str">
        <f t="shared" si="8"/>
        <v>Litchfield</v>
      </c>
      <c r="C316" s="30">
        <v>189927</v>
      </c>
      <c r="D316" s="30">
        <v>189880</v>
      </c>
      <c r="E316" s="30">
        <v>189763</v>
      </c>
      <c r="F316" s="30">
        <v>188972</v>
      </c>
      <c r="G316" s="30">
        <v>187570</v>
      </c>
      <c r="H316" s="30">
        <v>186836</v>
      </c>
      <c r="I316" s="30">
        <v>185343</v>
      </c>
      <c r="J316" s="30">
        <v>184122</v>
      </c>
      <c r="K316" s="30">
        <v>182793</v>
      </c>
      <c r="L316" s="30">
        <v>181667</v>
      </c>
      <c r="M316" s="30">
        <v>181095</v>
      </c>
      <c r="N316" s="30">
        <v>180333</v>
      </c>
      <c r="O316" s="24" t="str">
        <f t="shared" si="9"/>
        <v>Litchfield County, Connecticut</v>
      </c>
    </row>
    <row r="317" spans="1:15" x14ac:dyDescent="0.25">
      <c r="A317" s="35" t="s">
        <v>793</v>
      </c>
      <c r="B317" s="28" t="str">
        <f t="shared" si="8"/>
        <v>Middlesex</v>
      </c>
      <c r="C317" s="30">
        <v>165676</v>
      </c>
      <c r="D317" s="30">
        <v>165672</v>
      </c>
      <c r="E317" s="30">
        <v>165616</v>
      </c>
      <c r="F317" s="30">
        <v>166174</v>
      </c>
      <c r="G317" s="30">
        <v>165634</v>
      </c>
      <c r="H317" s="30">
        <v>165329</v>
      </c>
      <c r="I317" s="30">
        <v>164786</v>
      </c>
      <c r="J317" s="30">
        <v>163724</v>
      </c>
      <c r="K317" s="30">
        <v>163292</v>
      </c>
      <c r="L317" s="30">
        <v>162942</v>
      </c>
      <c r="M317" s="30">
        <v>162870</v>
      </c>
      <c r="N317" s="30">
        <v>162436</v>
      </c>
      <c r="O317" s="24" t="str">
        <f t="shared" si="9"/>
        <v>Middlesex County, Connecticut</v>
      </c>
    </row>
    <row r="318" spans="1:15" x14ac:dyDescent="0.25">
      <c r="A318" s="35" t="s">
        <v>794</v>
      </c>
      <c r="B318" s="28" t="str">
        <f t="shared" si="8"/>
        <v>New Haven</v>
      </c>
      <c r="C318" s="30">
        <v>862477</v>
      </c>
      <c r="D318" s="30">
        <v>862442</v>
      </c>
      <c r="E318" s="30">
        <v>863357</v>
      </c>
      <c r="F318" s="30">
        <v>863871</v>
      </c>
      <c r="G318" s="30">
        <v>864566</v>
      </c>
      <c r="H318" s="30">
        <v>862820</v>
      </c>
      <c r="I318" s="30">
        <v>862885</v>
      </c>
      <c r="J318" s="30">
        <v>860186</v>
      </c>
      <c r="K318" s="30">
        <v>857901</v>
      </c>
      <c r="L318" s="30">
        <v>857748</v>
      </c>
      <c r="M318" s="30">
        <v>856971</v>
      </c>
      <c r="N318" s="30">
        <v>854757</v>
      </c>
      <c r="O318" s="24" t="str">
        <f t="shared" si="9"/>
        <v>New Haven County, Connecticut</v>
      </c>
    </row>
    <row r="319" spans="1:15" x14ac:dyDescent="0.25">
      <c r="A319" s="35" t="s">
        <v>795</v>
      </c>
      <c r="B319" s="28" t="str">
        <f t="shared" si="8"/>
        <v>New London</v>
      </c>
      <c r="C319" s="30">
        <v>274055</v>
      </c>
      <c r="D319" s="30">
        <v>274070</v>
      </c>
      <c r="E319" s="30">
        <v>274004</v>
      </c>
      <c r="F319" s="30">
        <v>273037</v>
      </c>
      <c r="G319" s="30">
        <v>274091</v>
      </c>
      <c r="H319" s="30">
        <v>272976</v>
      </c>
      <c r="I319" s="30">
        <v>271462</v>
      </c>
      <c r="J319" s="30">
        <v>269636</v>
      </c>
      <c r="K319" s="30">
        <v>268403</v>
      </c>
      <c r="L319" s="30">
        <v>267419</v>
      </c>
      <c r="M319" s="30">
        <v>266285</v>
      </c>
      <c r="N319" s="30">
        <v>265206</v>
      </c>
      <c r="O319" s="24" t="str">
        <f t="shared" si="9"/>
        <v>New London County, Connecticut</v>
      </c>
    </row>
    <row r="320" spans="1:15" x14ac:dyDescent="0.25">
      <c r="A320" s="35" t="s">
        <v>796</v>
      </c>
      <c r="B320" s="28" t="str">
        <f t="shared" si="8"/>
        <v>Tolland</v>
      </c>
      <c r="C320" s="30">
        <v>152691</v>
      </c>
      <c r="D320" s="30">
        <v>152747</v>
      </c>
      <c r="E320" s="30">
        <v>153239</v>
      </c>
      <c r="F320" s="30">
        <v>153050</v>
      </c>
      <c r="G320" s="30">
        <v>151967</v>
      </c>
      <c r="H320" s="30">
        <v>151778</v>
      </c>
      <c r="I320" s="30">
        <v>151693</v>
      </c>
      <c r="J320" s="30">
        <v>151734</v>
      </c>
      <c r="K320" s="30">
        <v>151162</v>
      </c>
      <c r="L320" s="30">
        <v>151009</v>
      </c>
      <c r="M320" s="30">
        <v>150689</v>
      </c>
      <c r="N320" s="30">
        <v>150721</v>
      </c>
      <c r="O320" s="24" t="str">
        <f t="shared" si="9"/>
        <v>Tolland County, Connecticut</v>
      </c>
    </row>
    <row r="321" spans="1:15" x14ac:dyDescent="0.25">
      <c r="A321" s="35" t="s">
        <v>797</v>
      </c>
      <c r="B321" s="28" t="str">
        <f t="shared" si="8"/>
        <v>Windham</v>
      </c>
      <c r="C321" s="30">
        <v>118428</v>
      </c>
      <c r="D321" s="30">
        <v>118380</v>
      </c>
      <c r="E321" s="30">
        <v>118544</v>
      </c>
      <c r="F321" s="30">
        <v>118315</v>
      </c>
      <c r="G321" s="30">
        <v>117914</v>
      </c>
      <c r="H321" s="30">
        <v>117500</v>
      </c>
      <c r="I321" s="30">
        <v>116752</v>
      </c>
      <c r="J321" s="30">
        <v>116487</v>
      </c>
      <c r="K321" s="30">
        <v>116102</v>
      </c>
      <c r="L321" s="30">
        <v>116398</v>
      </c>
      <c r="M321" s="30">
        <v>117059</v>
      </c>
      <c r="N321" s="30">
        <v>116782</v>
      </c>
      <c r="O321" s="24" t="str">
        <f t="shared" si="9"/>
        <v>Windham County, Connecticut</v>
      </c>
    </row>
    <row r="322" spans="1:15" x14ac:dyDescent="0.25">
      <c r="A322" s="35" t="s">
        <v>798</v>
      </c>
      <c r="B322" s="28" t="str">
        <f t="shared" si="8"/>
        <v>Kent</v>
      </c>
      <c r="C322" s="30">
        <v>162310</v>
      </c>
      <c r="D322" s="30">
        <v>162350</v>
      </c>
      <c r="E322" s="30">
        <v>162956</v>
      </c>
      <c r="F322" s="30">
        <v>165110</v>
      </c>
      <c r="G322" s="30">
        <v>167297</v>
      </c>
      <c r="H322" s="30">
        <v>169038</v>
      </c>
      <c r="I322" s="30">
        <v>171456</v>
      </c>
      <c r="J322" s="30">
        <v>173128</v>
      </c>
      <c r="K322" s="30">
        <v>174542</v>
      </c>
      <c r="L322" s="30">
        <v>176499</v>
      </c>
      <c r="M322" s="30">
        <v>178540</v>
      </c>
      <c r="N322" s="30">
        <v>180786</v>
      </c>
      <c r="O322" s="24" t="str">
        <f t="shared" si="9"/>
        <v>Kent County, Delaware</v>
      </c>
    </row>
    <row r="323" spans="1:15" x14ac:dyDescent="0.25">
      <c r="A323" s="35" t="s">
        <v>799</v>
      </c>
      <c r="B323" s="28" t="str">
        <f t="shared" si="8"/>
        <v>New Castle</v>
      </c>
      <c r="C323" s="30">
        <v>538479</v>
      </c>
      <c r="D323" s="30">
        <v>538484</v>
      </c>
      <c r="E323" s="30">
        <v>538752</v>
      </c>
      <c r="F323" s="30">
        <v>541909</v>
      </c>
      <c r="G323" s="30">
        <v>544848</v>
      </c>
      <c r="H323" s="30">
        <v>548331</v>
      </c>
      <c r="I323" s="30">
        <v>550768</v>
      </c>
      <c r="J323" s="30">
        <v>553488</v>
      </c>
      <c r="K323" s="30">
        <v>555058</v>
      </c>
      <c r="L323" s="30">
        <v>555976</v>
      </c>
      <c r="M323" s="30">
        <v>557550</v>
      </c>
      <c r="N323" s="30">
        <v>558753</v>
      </c>
      <c r="O323" s="24" t="str">
        <f t="shared" si="9"/>
        <v>New Castle County, Delaware</v>
      </c>
    </row>
    <row r="324" spans="1:15" x14ac:dyDescent="0.25">
      <c r="A324" s="35" t="s">
        <v>800</v>
      </c>
      <c r="B324" s="28" t="str">
        <f t="shared" si="8"/>
        <v>Sussex</v>
      </c>
      <c r="C324" s="30">
        <v>197145</v>
      </c>
      <c r="D324" s="30">
        <v>197103</v>
      </c>
      <c r="E324" s="30">
        <v>197885</v>
      </c>
      <c r="F324" s="30">
        <v>200362</v>
      </c>
      <c r="G324" s="30">
        <v>203034</v>
      </c>
      <c r="H324" s="30">
        <v>206207</v>
      </c>
      <c r="I324" s="30">
        <v>210263</v>
      </c>
      <c r="J324" s="30">
        <v>214636</v>
      </c>
      <c r="K324" s="30">
        <v>219321</v>
      </c>
      <c r="L324" s="30">
        <v>224348</v>
      </c>
      <c r="M324" s="30">
        <v>229389</v>
      </c>
      <c r="N324" s="30">
        <v>234225</v>
      </c>
      <c r="O324" s="24" t="str">
        <f t="shared" si="9"/>
        <v>Sussex County, Delaware</v>
      </c>
    </row>
    <row r="325" spans="1:15" x14ac:dyDescent="0.25">
      <c r="A325" s="35" t="s">
        <v>801</v>
      </c>
      <c r="B325" s="28" t="e">
        <f t="shared" si="8"/>
        <v>#VALUE!</v>
      </c>
      <c r="C325" s="30">
        <v>601723</v>
      </c>
      <c r="D325" s="30">
        <v>601767</v>
      </c>
      <c r="E325" s="30">
        <v>605226</v>
      </c>
      <c r="F325" s="30">
        <v>619800</v>
      </c>
      <c r="G325" s="30">
        <v>634924</v>
      </c>
      <c r="H325" s="30">
        <v>650581</v>
      </c>
      <c r="I325" s="30">
        <v>662328</v>
      </c>
      <c r="J325" s="30">
        <v>675400</v>
      </c>
      <c r="K325" s="30">
        <v>685815</v>
      </c>
      <c r="L325" s="30">
        <v>694906</v>
      </c>
      <c r="M325" s="30">
        <v>701547</v>
      </c>
      <c r="N325" s="30">
        <v>705749</v>
      </c>
      <c r="O325" s="24" t="str">
        <f t="shared" si="9"/>
        <v>District of Columbia, District of Columbia</v>
      </c>
    </row>
    <row r="326" spans="1:15" x14ac:dyDescent="0.25">
      <c r="A326" s="35" t="s">
        <v>802</v>
      </c>
      <c r="B326" s="28" t="str">
        <f t="shared" si="8"/>
        <v>Alachua</v>
      </c>
      <c r="C326" s="30">
        <v>247336</v>
      </c>
      <c r="D326" s="30">
        <v>247337</v>
      </c>
      <c r="E326" s="30">
        <v>247614</v>
      </c>
      <c r="F326" s="30">
        <v>249834</v>
      </c>
      <c r="G326" s="30">
        <v>251520</v>
      </c>
      <c r="H326" s="30">
        <v>252475</v>
      </c>
      <c r="I326" s="30">
        <v>255456</v>
      </c>
      <c r="J326" s="30">
        <v>259052</v>
      </c>
      <c r="K326" s="30">
        <v>263959</v>
      </c>
      <c r="L326" s="30">
        <v>266309</v>
      </c>
      <c r="M326" s="30">
        <v>268851</v>
      </c>
      <c r="N326" s="30">
        <v>269043</v>
      </c>
      <c r="O326" s="24" t="str">
        <f t="shared" si="9"/>
        <v>Alachua County, Florida</v>
      </c>
    </row>
    <row r="327" spans="1:15" x14ac:dyDescent="0.25">
      <c r="A327" s="35" t="s">
        <v>803</v>
      </c>
      <c r="B327" s="28" t="str">
        <f t="shared" ref="B327:B390" si="10">LEFT(A327,FIND("County",A327,1)-2)</f>
        <v>Baker</v>
      </c>
      <c r="C327" s="30">
        <v>27115</v>
      </c>
      <c r="D327" s="30">
        <v>27115</v>
      </c>
      <c r="E327" s="30">
        <v>27066</v>
      </c>
      <c r="F327" s="30">
        <v>27049</v>
      </c>
      <c r="G327" s="30">
        <v>27053</v>
      </c>
      <c r="H327" s="30">
        <v>27009</v>
      </c>
      <c r="I327" s="30">
        <v>27122</v>
      </c>
      <c r="J327" s="30">
        <v>27355</v>
      </c>
      <c r="K327" s="30">
        <v>27884</v>
      </c>
      <c r="L327" s="30">
        <v>28254</v>
      </c>
      <c r="M327" s="30">
        <v>28353</v>
      </c>
      <c r="N327" s="30">
        <v>29210</v>
      </c>
      <c r="O327" s="24" t="str">
        <f t="shared" ref="O327:O390" si="11">A327</f>
        <v>Baker County, Florida</v>
      </c>
    </row>
    <row r="328" spans="1:15" x14ac:dyDescent="0.25">
      <c r="A328" s="35" t="s">
        <v>804</v>
      </c>
      <c r="B328" s="28" t="str">
        <f t="shared" si="10"/>
        <v>Bay</v>
      </c>
      <c r="C328" s="30">
        <v>168852</v>
      </c>
      <c r="D328" s="30">
        <v>168850</v>
      </c>
      <c r="E328" s="30">
        <v>169206</v>
      </c>
      <c r="F328" s="30">
        <v>169555</v>
      </c>
      <c r="G328" s="30">
        <v>171757</v>
      </c>
      <c r="H328" s="30">
        <v>174596</v>
      </c>
      <c r="I328" s="30">
        <v>178289</v>
      </c>
      <c r="J328" s="30">
        <v>181488</v>
      </c>
      <c r="K328" s="30">
        <v>183634</v>
      </c>
      <c r="L328" s="30">
        <v>184736</v>
      </c>
      <c r="M328" s="30">
        <v>186240</v>
      </c>
      <c r="N328" s="30">
        <v>174705</v>
      </c>
      <c r="O328" s="24" t="str">
        <f t="shared" si="11"/>
        <v>Bay County, Florida</v>
      </c>
    </row>
    <row r="329" spans="1:15" x14ac:dyDescent="0.25">
      <c r="A329" s="35" t="s">
        <v>805</v>
      </c>
      <c r="B329" s="28" t="str">
        <f t="shared" si="10"/>
        <v>Bradford</v>
      </c>
      <c r="C329" s="30">
        <v>28520</v>
      </c>
      <c r="D329" s="30">
        <v>28519</v>
      </c>
      <c r="E329" s="30">
        <v>28536</v>
      </c>
      <c r="F329" s="30">
        <v>28431</v>
      </c>
      <c r="G329" s="30">
        <v>27051</v>
      </c>
      <c r="H329" s="30">
        <v>26802</v>
      </c>
      <c r="I329" s="30">
        <v>26552</v>
      </c>
      <c r="J329" s="30">
        <v>26748</v>
      </c>
      <c r="K329" s="30">
        <v>26740</v>
      </c>
      <c r="L329" s="30">
        <v>27142</v>
      </c>
      <c r="M329" s="30">
        <v>27752</v>
      </c>
      <c r="N329" s="30">
        <v>28201</v>
      </c>
      <c r="O329" s="24" t="str">
        <f t="shared" si="11"/>
        <v>Bradford County, Florida</v>
      </c>
    </row>
    <row r="330" spans="1:15" x14ac:dyDescent="0.25">
      <c r="A330" s="35" t="s">
        <v>806</v>
      </c>
      <c r="B330" s="28" t="str">
        <f t="shared" si="10"/>
        <v>Brevard</v>
      </c>
      <c r="C330" s="30">
        <v>543376</v>
      </c>
      <c r="D330" s="30">
        <v>543372</v>
      </c>
      <c r="E330" s="30">
        <v>543965</v>
      </c>
      <c r="F330" s="30">
        <v>544359</v>
      </c>
      <c r="G330" s="30">
        <v>546966</v>
      </c>
      <c r="H330" s="30">
        <v>550255</v>
      </c>
      <c r="I330" s="30">
        <v>555548</v>
      </c>
      <c r="J330" s="30">
        <v>565746</v>
      </c>
      <c r="K330" s="30">
        <v>576874</v>
      </c>
      <c r="L330" s="30">
        <v>587769</v>
      </c>
      <c r="M330" s="30">
        <v>595203</v>
      </c>
      <c r="N330" s="30">
        <v>601942</v>
      </c>
      <c r="O330" s="24" t="str">
        <f t="shared" si="11"/>
        <v>Brevard County, Florida</v>
      </c>
    </row>
    <row r="331" spans="1:15" x14ac:dyDescent="0.25">
      <c r="A331" s="35" t="s">
        <v>807</v>
      </c>
      <c r="B331" s="28" t="str">
        <f t="shared" si="10"/>
        <v>Broward</v>
      </c>
      <c r="C331" s="30">
        <v>1748066</v>
      </c>
      <c r="D331" s="30">
        <v>1748146</v>
      </c>
      <c r="E331" s="30">
        <v>1752803</v>
      </c>
      <c r="F331" s="30">
        <v>1786980</v>
      </c>
      <c r="G331" s="30">
        <v>1814253</v>
      </c>
      <c r="H331" s="30">
        <v>1836600</v>
      </c>
      <c r="I331" s="30">
        <v>1860933</v>
      </c>
      <c r="J331" s="30">
        <v>1885040</v>
      </c>
      <c r="K331" s="30">
        <v>1912583</v>
      </c>
      <c r="L331" s="30">
        <v>1934516</v>
      </c>
      <c r="M331" s="30">
        <v>1946107</v>
      </c>
      <c r="N331" s="30">
        <v>1952778</v>
      </c>
      <c r="O331" s="24" t="str">
        <f t="shared" si="11"/>
        <v>Broward County, Florida</v>
      </c>
    </row>
    <row r="332" spans="1:15" x14ac:dyDescent="0.25">
      <c r="A332" s="35" t="s">
        <v>808</v>
      </c>
      <c r="B332" s="28" t="str">
        <f t="shared" si="10"/>
        <v>Calhoun</v>
      </c>
      <c r="C332" s="30">
        <v>14625</v>
      </c>
      <c r="D332" s="30">
        <v>14627</v>
      </c>
      <c r="E332" s="30">
        <v>14647</v>
      </c>
      <c r="F332" s="30">
        <v>14717</v>
      </c>
      <c r="G332" s="30">
        <v>14665</v>
      </c>
      <c r="H332" s="30">
        <v>14578</v>
      </c>
      <c r="I332" s="30">
        <v>14450</v>
      </c>
      <c r="J332" s="30">
        <v>14406</v>
      </c>
      <c r="K332" s="30">
        <v>14330</v>
      </c>
      <c r="L332" s="30">
        <v>14428</v>
      </c>
      <c r="M332" s="30">
        <v>14543</v>
      </c>
      <c r="N332" s="30">
        <v>14105</v>
      </c>
      <c r="O332" s="24" t="str">
        <f t="shared" si="11"/>
        <v>Calhoun County, Florida</v>
      </c>
    </row>
    <row r="333" spans="1:15" x14ac:dyDescent="0.25">
      <c r="A333" s="35" t="s">
        <v>809</v>
      </c>
      <c r="B333" s="28" t="str">
        <f t="shared" si="10"/>
        <v>Charlotte</v>
      </c>
      <c r="C333" s="30">
        <v>159978</v>
      </c>
      <c r="D333" s="30">
        <v>159967</v>
      </c>
      <c r="E333" s="30">
        <v>159875</v>
      </c>
      <c r="F333" s="30">
        <v>159869</v>
      </c>
      <c r="G333" s="30">
        <v>162744</v>
      </c>
      <c r="H333" s="30">
        <v>164671</v>
      </c>
      <c r="I333" s="30">
        <v>168041</v>
      </c>
      <c r="J333" s="30">
        <v>172382</v>
      </c>
      <c r="K333" s="30">
        <v>177671</v>
      </c>
      <c r="L333" s="30">
        <v>181522</v>
      </c>
      <c r="M333" s="30">
        <v>184849</v>
      </c>
      <c r="N333" s="30">
        <v>188910</v>
      </c>
      <c r="O333" s="24" t="str">
        <f t="shared" si="11"/>
        <v>Charlotte County, Florida</v>
      </c>
    </row>
    <row r="334" spans="1:15" x14ac:dyDescent="0.25">
      <c r="A334" s="35" t="s">
        <v>810</v>
      </c>
      <c r="B334" s="28" t="str">
        <f t="shared" si="10"/>
        <v>Citrus</v>
      </c>
      <c r="C334" s="30">
        <v>141236</v>
      </c>
      <c r="D334" s="30">
        <v>141230</v>
      </c>
      <c r="E334" s="30">
        <v>141173</v>
      </c>
      <c r="F334" s="30">
        <v>139764</v>
      </c>
      <c r="G334" s="30">
        <v>139180</v>
      </c>
      <c r="H334" s="30">
        <v>138829</v>
      </c>
      <c r="I334" s="30">
        <v>138828</v>
      </c>
      <c r="J334" s="30">
        <v>140287</v>
      </c>
      <c r="K334" s="30">
        <v>142804</v>
      </c>
      <c r="L334" s="30">
        <v>145415</v>
      </c>
      <c r="M334" s="30">
        <v>147682</v>
      </c>
      <c r="N334" s="30">
        <v>149657</v>
      </c>
      <c r="O334" s="24" t="str">
        <f t="shared" si="11"/>
        <v>Citrus County, Florida</v>
      </c>
    </row>
    <row r="335" spans="1:15" x14ac:dyDescent="0.25">
      <c r="A335" s="35" t="s">
        <v>811</v>
      </c>
      <c r="B335" s="28" t="str">
        <f t="shared" si="10"/>
        <v>Clay</v>
      </c>
      <c r="C335" s="30">
        <v>190865</v>
      </c>
      <c r="D335" s="30">
        <v>190878</v>
      </c>
      <c r="E335" s="30">
        <v>191451</v>
      </c>
      <c r="F335" s="30">
        <v>192314</v>
      </c>
      <c r="G335" s="30">
        <v>193861</v>
      </c>
      <c r="H335" s="30">
        <v>195657</v>
      </c>
      <c r="I335" s="30">
        <v>198570</v>
      </c>
      <c r="J335" s="30">
        <v>202392</v>
      </c>
      <c r="K335" s="30">
        <v>207246</v>
      </c>
      <c r="L335" s="30">
        <v>212228</v>
      </c>
      <c r="M335" s="30">
        <v>215908</v>
      </c>
      <c r="N335" s="30">
        <v>219252</v>
      </c>
      <c r="O335" s="24" t="str">
        <f t="shared" si="11"/>
        <v>Clay County, Florida</v>
      </c>
    </row>
    <row r="336" spans="1:15" x14ac:dyDescent="0.25">
      <c r="A336" s="35" t="s">
        <v>812</v>
      </c>
      <c r="B336" s="28" t="str">
        <f t="shared" si="10"/>
        <v>Collier</v>
      </c>
      <c r="C336" s="30">
        <v>321520</v>
      </c>
      <c r="D336" s="30">
        <v>321522</v>
      </c>
      <c r="E336" s="30">
        <v>322581</v>
      </c>
      <c r="F336" s="30">
        <v>327629</v>
      </c>
      <c r="G336" s="30">
        <v>332233</v>
      </c>
      <c r="H336" s="30">
        <v>338987</v>
      </c>
      <c r="I336" s="30">
        <v>347211</v>
      </c>
      <c r="J336" s="30">
        <v>356041</v>
      </c>
      <c r="K336" s="30">
        <v>365445</v>
      </c>
      <c r="L336" s="30">
        <v>372678</v>
      </c>
      <c r="M336" s="30">
        <v>378201</v>
      </c>
      <c r="N336" s="30">
        <v>384902</v>
      </c>
      <c r="O336" s="24" t="str">
        <f t="shared" si="11"/>
        <v>Collier County, Florida</v>
      </c>
    </row>
    <row r="337" spans="1:15" x14ac:dyDescent="0.25">
      <c r="A337" s="35" t="s">
        <v>813</v>
      </c>
      <c r="B337" s="28" t="str">
        <f t="shared" si="10"/>
        <v>Columbia</v>
      </c>
      <c r="C337" s="30">
        <v>67531</v>
      </c>
      <c r="D337" s="30">
        <v>67526</v>
      </c>
      <c r="E337" s="30">
        <v>67553</v>
      </c>
      <c r="F337" s="30">
        <v>67317</v>
      </c>
      <c r="G337" s="30">
        <v>67884</v>
      </c>
      <c r="H337" s="30">
        <v>67417</v>
      </c>
      <c r="I337" s="30">
        <v>67779</v>
      </c>
      <c r="J337" s="30">
        <v>68222</v>
      </c>
      <c r="K337" s="30">
        <v>69265</v>
      </c>
      <c r="L337" s="30">
        <v>69999</v>
      </c>
      <c r="M337" s="30">
        <v>70668</v>
      </c>
      <c r="N337" s="30">
        <v>71686</v>
      </c>
      <c r="O337" s="24" t="str">
        <f t="shared" si="11"/>
        <v>Columbia County, Florida</v>
      </c>
    </row>
    <row r="338" spans="1:15" x14ac:dyDescent="0.25">
      <c r="A338" s="35" t="s">
        <v>814</v>
      </c>
      <c r="B338" s="28" t="str">
        <f t="shared" si="10"/>
        <v>DeSoto</v>
      </c>
      <c r="C338" s="30">
        <v>34862</v>
      </c>
      <c r="D338" s="30">
        <v>34862</v>
      </c>
      <c r="E338" s="30">
        <v>34934</v>
      </c>
      <c r="F338" s="30">
        <v>34845</v>
      </c>
      <c r="G338" s="30">
        <v>35005</v>
      </c>
      <c r="H338" s="30">
        <v>34905</v>
      </c>
      <c r="I338" s="30">
        <v>35338</v>
      </c>
      <c r="J338" s="30">
        <v>35648</v>
      </c>
      <c r="K338" s="30">
        <v>36255</v>
      </c>
      <c r="L338" s="30">
        <v>37241</v>
      </c>
      <c r="M338" s="30">
        <v>37368</v>
      </c>
      <c r="N338" s="30">
        <v>38001</v>
      </c>
      <c r="O338" s="24" t="str">
        <f t="shared" si="11"/>
        <v>DeSoto County, Florida</v>
      </c>
    </row>
    <row r="339" spans="1:15" x14ac:dyDescent="0.25">
      <c r="A339" s="35" t="s">
        <v>815</v>
      </c>
      <c r="B339" s="28" t="str">
        <f t="shared" si="10"/>
        <v>Dixie</v>
      </c>
      <c r="C339" s="30">
        <v>16422</v>
      </c>
      <c r="D339" s="30">
        <v>16422</v>
      </c>
      <c r="E339" s="30">
        <v>16400</v>
      </c>
      <c r="F339" s="30">
        <v>16406</v>
      </c>
      <c r="G339" s="30">
        <v>16153</v>
      </c>
      <c r="H339" s="30">
        <v>16084</v>
      </c>
      <c r="I339" s="30">
        <v>16041</v>
      </c>
      <c r="J339" s="30">
        <v>16353</v>
      </c>
      <c r="K339" s="30">
        <v>16465</v>
      </c>
      <c r="L339" s="30">
        <v>16615</v>
      </c>
      <c r="M339" s="30">
        <v>16685</v>
      </c>
      <c r="N339" s="30">
        <v>16826</v>
      </c>
      <c r="O339" s="24" t="str">
        <f t="shared" si="11"/>
        <v>Dixie County, Florida</v>
      </c>
    </row>
    <row r="340" spans="1:15" x14ac:dyDescent="0.25">
      <c r="A340" s="35" t="s">
        <v>816</v>
      </c>
      <c r="B340" s="28" t="str">
        <f t="shared" si="10"/>
        <v>Duval</v>
      </c>
      <c r="C340" s="30">
        <v>864263</v>
      </c>
      <c r="D340" s="30">
        <v>864253</v>
      </c>
      <c r="E340" s="30">
        <v>865628</v>
      </c>
      <c r="F340" s="30">
        <v>872355</v>
      </c>
      <c r="G340" s="30">
        <v>880108</v>
      </c>
      <c r="H340" s="30">
        <v>885943</v>
      </c>
      <c r="I340" s="30">
        <v>896668</v>
      </c>
      <c r="J340" s="30">
        <v>910578</v>
      </c>
      <c r="K340" s="30">
        <v>926010</v>
      </c>
      <c r="L340" s="30">
        <v>937933</v>
      </c>
      <c r="M340" s="30">
        <v>948652</v>
      </c>
      <c r="N340" s="30">
        <v>957755</v>
      </c>
      <c r="O340" s="24" t="str">
        <f t="shared" si="11"/>
        <v>Duval County, Florida</v>
      </c>
    </row>
    <row r="341" spans="1:15" x14ac:dyDescent="0.25">
      <c r="A341" s="35" t="s">
        <v>817</v>
      </c>
      <c r="B341" s="28" t="str">
        <f t="shared" si="10"/>
        <v>Escambia</v>
      </c>
      <c r="C341" s="30">
        <v>297619</v>
      </c>
      <c r="D341" s="30">
        <v>297620</v>
      </c>
      <c r="E341" s="30">
        <v>298038</v>
      </c>
      <c r="F341" s="30">
        <v>299401</v>
      </c>
      <c r="G341" s="30">
        <v>303423</v>
      </c>
      <c r="H341" s="30">
        <v>306694</v>
      </c>
      <c r="I341" s="30">
        <v>307960</v>
      </c>
      <c r="J341" s="30">
        <v>309311</v>
      </c>
      <c r="K341" s="30">
        <v>311473</v>
      </c>
      <c r="L341" s="30">
        <v>313249</v>
      </c>
      <c r="M341" s="30">
        <v>315104</v>
      </c>
      <c r="N341" s="30">
        <v>318316</v>
      </c>
      <c r="O341" s="24" t="str">
        <f t="shared" si="11"/>
        <v>Escambia County, Florida</v>
      </c>
    </row>
    <row r="342" spans="1:15" x14ac:dyDescent="0.25">
      <c r="A342" s="35" t="s">
        <v>818</v>
      </c>
      <c r="B342" s="28" t="str">
        <f t="shared" si="10"/>
        <v>Flagler</v>
      </c>
      <c r="C342" s="30">
        <v>95696</v>
      </c>
      <c r="D342" s="30">
        <v>95692</v>
      </c>
      <c r="E342" s="30">
        <v>96066</v>
      </c>
      <c r="F342" s="30">
        <v>97462</v>
      </c>
      <c r="G342" s="30">
        <v>98434</v>
      </c>
      <c r="H342" s="30">
        <v>99798</v>
      </c>
      <c r="I342" s="30">
        <v>101889</v>
      </c>
      <c r="J342" s="30">
        <v>104436</v>
      </c>
      <c r="K342" s="30">
        <v>107406</v>
      </c>
      <c r="L342" s="30">
        <v>109999</v>
      </c>
      <c r="M342" s="30">
        <v>112085</v>
      </c>
      <c r="N342" s="30">
        <v>115081</v>
      </c>
      <c r="O342" s="24" t="str">
        <f t="shared" si="11"/>
        <v>Flagler County, Florida</v>
      </c>
    </row>
    <row r="343" spans="1:15" x14ac:dyDescent="0.25">
      <c r="A343" s="35" t="s">
        <v>819</v>
      </c>
      <c r="B343" s="28" t="str">
        <f t="shared" si="10"/>
        <v>Franklin</v>
      </c>
      <c r="C343" s="30">
        <v>11549</v>
      </c>
      <c r="D343" s="30">
        <v>11549</v>
      </c>
      <c r="E343" s="30">
        <v>11522</v>
      </c>
      <c r="F343" s="30">
        <v>11472</v>
      </c>
      <c r="G343" s="30">
        <v>11612</v>
      </c>
      <c r="H343" s="30">
        <v>11521</v>
      </c>
      <c r="I343" s="30">
        <v>11661</v>
      </c>
      <c r="J343" s="30">
        <v>11707</v>
      </c>
      <c r="K343" s="30">
        <v>11823</v>
      </c>
      <c r="L343" s="30">
        <v>11724</v>
      </c>
      <c r="M343" s="30">
        <v>11676</v>
      </c>
      <c r="N343" s="30">
        <v>12125</v>
      </c>
      <c r="O343" s="24" t="str">
        <f t="shared" si="11"/>
        <v>Franklin County, Florida</v>
      </c>
    </row>
    <row r="344" spans="1:15" x14ac:dyDescent="0.25">
      <c r="A344" s="35" t="s">
        <v>820</v>
      </c>
      <c r="B344" s="28" t="str">
        <f t="shared" si="10"/>
        <v>Gadsden</v>
      </c>
      <c r="C344" s="30">
        <v>46389</v>
      </c>
      <c r="D344" s="30">
        <v>47744</v>
      </c>
      <c r="E344" s="30">
        <v>47794</v>
      </c>
      <c r="F344" s="30">
        <v>47373</v>
      </c>
      <c r="G344" s="30">
        <v>46574</v>
      </c>
      <c r="H344" s="30">
        <v>46087</v>
      </c>
      <c r="I344" s="30">
        <v>46114</v>
      </c>
      <c r="J344" s="30">
        <v>46060</v>
      </c>
      <c r="K344" s="30">
        <v>46086</v>
      </c>
      <c r="L344" s="30">
        <v>45993</v>
      </c>
      <c r="M344" s="30">
        <v>45927</v>
      </c>
      <c r="N344" s="30">
        <v>45660</v>
      </c>
      <c r="O344" s="24" t="str">
        <f t="shared" si="11"/>
        <v>Gadsden County, Florida</v>
      </c>
    </row>
    <row r="345" spans="1:15" x14ac:dyDescent="0.25">
      <c r="A345" s="35" t="s">
        <v>821</v>
      </c>
      <c r="B345" s="28" t="str">
        <f t="shared" si="10"/>
        <v>Gilchrist</v>
      </c>
      <c r="C345" s="30">
        <v>16939</v>
      </c>
      <c r="D345" s="30">
        <v>16941</v>
      </c>
      <c r="E345" s="30">
        <v>17000</v>
      </c>
      <c r="F345" s="30">
        <v>16994</v>
      </c>
      <c r="G345" s="30">
        <v>16897</v>
      </c>
      <c r="H345" s="30">
        <v>16957</v>
      </c>
      <c r="I345" s="30">
        <v>16991</v>
      </c>
      <c r="J345" s="30">
        <v>17378</v>
      </c>
      <c r="K345" s="30">
        <v>17622</v>
      </c>
      <c r="L345" s="30">
        <v>17900</v>
      </c>
      <c r="M345" s="30">
        <v>18284</v>
      </c>
      <c r="N345" s="30">
        <v>18582</v>
      </c>
      <c r="O345" s="24" t="str">
        <f t="shared" si="11"/>
        <v>Gilchrist County, Florida</v>
      </c>
    </row>
    <row r="346" spans="1:15" x14ac:dyDescent="0.25">
      <c r="A346" s="35" t="s">
        <v>822</v>
      </c>
      <c r="B346" s="28" t="str">
        <f t="shared" si="10"/>
        <v>Glades</v>
      </c>
      <c r="C346" s="30">
        <v>12884</v>
      </c>
      <c r="D346" s="30">
        <v>12881</v>
      </c>
      <c r="E346" s="30">
        <v>12869</v>
      </c>
      <c r="F346" s="30">
        <v>12837</v>
      </c>
      <c r="G346" s="30">
        <v>12669</v>
      </c>
      <c r="H346" s="30">
        <v>12670</v>
      </c>
      <c r="I346" s="30">
        <v>12943</v>
      </c>
      <c r="J346" s="30">
        <v>13099</v>
      </c>
      <c r="K346" s="30">
        <v>13406</v>
      </c>
      <c r="L346" s="30">
        <v>13580</v>
      </c>
      <c r="M346" s="30">
        <v>13686</v>
      </c>
      <c r="N346" s="30">
        <v>13811</v>
      </c>
      <c r="O346" s="24" t="str">
        <f t="shared" si="11"/>
        <v>Glades County, Florida</v>
      </c>
    </row>
    <row r="347" spans="1:15" x14ac:dyDescent="0.25">
      <c r="A347" s="35" t="s">
        <v>823</v>
      </c>
      <c r="B347" s="28" t="str">
        <f t="shared" si="10"/>
        <v>Gulf</v>
      </c>
      <c r="C347" s="30">
        <v>15863</v>
      </c>
      <c r="D347" s="30">
        <v>15863</v>
      </c>
      <c r="E347" s="30">
        <v>15825</v>
      </c>
      <c r="F347" s="30">
        <v>15764</v>
      </c>
      <c r="G347" s="30">
        <v>15770</v>
      </c>
      <c r="H347" s="30">
        <v>15884</v>
      </c>
      <c r="I347" s="30">
        <v>16002</v>
      </c>
      <c r="J347" s="30">
        <v>15929</v>
      </c>
      <c r="K347" s="30">
        <v>16062</v>
      </c>
      <c r="L347" s="30">
        <v>16105</v>
      </c>
      <c r="M347" s="30">
        <v>16146</v>
      </c>
      <c r="N347" s="30">
        <v>13639</v>
      </c>
      <c r="O347" s="24" t="str">
        <f t="shared" si="11"/>
        <v>Gulf County, Florida</v>
      </c>
    </row>
    <row r="348" spans="1:15" x14ac:dyDescent="0.25">
      <c r="A348" s="35" t="s">
        <v>824</v>
      </c>
      <c r="B348" s="28" t="str">
        <f t="shared" si="10"/>
        <v>Hamilton</v>
      </c>
      <c r="C348" s="30">
        <v>14799</v>
      </c>
      <c r="D348" s="30">
        <v>14799</v>
      </c>
      <c r="E348" s="30">
        <v>14683</v>
      </c>
      <c r="F348" s="30">
        <v>14595</v>
      </c>
      <c r="G348" s="30">
        <v>14721</v>
      </c>
      <c r="H348" s="30">
        <v>14342</v>
      </c>
      <c r="I348" s="30">
        <v>14071</v>
      </c>
      <c r="J348" s="30">
        <v>14272</v>
      </c>
      <c r="K348" s="30">
        <v>14303</v>
      </c>
      <c r="L348" s="30">
        <v>14364</v>
      </c>
      <c r="M348" s="30">
        <v>14262</v>
      </c>
      <c r="N348" s="30">
        <v>14428</v>
      </c>
      <c r="O348" s="24" t="str">
        <f t="shared" si="11"/>
        <v>Hamilton County, Florida</v>
      </c>
    </row>
    <row r="349" spans="1:15" x14ac:dyDescent="0.25">
      <c r="A349" s="35" t="s">
        <v>825</v>
      </c>
      <c r="B349" s="28" t="str">
        <f t="shared" si="10"/>
        <v>Hardee</v>
      </c>
      <c r="C349" s="30">
        <v>27731</v>
      </c>
      <c r="D349" s="30">
        <v>27737</v>
      </c>
      <c r="E349" s="30">
        <v>27730</v>
      </c>
      <c r="F349" s="30">
        <v>27684</v>
      </c>
      <c r="G349" s="30">
        <v>27439</v>
      </c>
      <c r="H349" s="30">
        <v>27311</v>
      </c>
      <c r="I349" s="30">
        <v>27266</v>
      </c>
      <c r="J349" s="30">
        <v>27177</v>
      </c>
      <c r="K349" s="30">
        <v>27219</v>
      </c>
      <c r="L349" s="30">
        <v>27154</v>
      </c>
      <c r="M349" s="30">
        <v>27168</v>
      </c>
      <c r="N349" s="30">
        <v>26937</v>
      </c>
      <c r="O349" s="24" t="str">
        <f t="shared" si="11"/>
        <v>Hardee County, Florida</v>
      </c>
    </row>
    <row r="350" spans="1:15" x14ac:dyDescent="0.25">
      <c r="A350" s="35" t="s">
        <v>826</v>
      </c>
      <c r="B350" s="28" t="str">
        <f t="shared" si="10"/>
        <v>Hendry</v>
      </c>
      <c r="C350" s="30">
        <v>39140</v>
      </c>
      <c r="D350" s="30">
        <v>39143</v>
      </c>
      <c r="E350" s="30">
        <v>39009</v>
      </c>
      <c r="F350" s="30">
        <v>38972</v>
      </c>
      <c r="G350" s="30">
        <v>37870</v>
      </c>
      <c r="H350" s="30">
        <v>37809</v>
      </c>
      <c r="I350" s="30">
        <v>38474</v>
      </c>
      <c r="J350" s="30">
        <v>39248</v>
      </c>
      <c r="K350" s="30">
        <v>40037</v>
      </c>
      <c r="L350" s="30">
        <v>41018</v>
      </c>
      <c r="M350" s="30">
        <v>41336</v>
      </c>
      <c r="N350" s="30">
        <v>42022</v>
      </c>
      <c r="O350" s="24" t="str">
        <f t="shared" si="11"/>
        <v>Hendry County, Florida</v>
      </c>
    </row>
    <row r="351" spans="1:15" x14ac:dyDescent="0.25">
      <c r="A351" s="35" t="s">
        <v>827</v>
      </c>
      <c r="B351" s="28" t="str">
        <f t="shared" si="10"/>
        <v>Hernando</v>
      </c>
      <c r="C351" s="30">
        <v>172778</v>
      </c>
      <c r="D351" s="30">
        <v>172778</v>
      </c>
      <c r="E351" s="30">
        <v>172969</v>
      </c>
      <c r="F351" s="30">
        <v>172847</v>
      </c>
      <c r="G351" s="30">
        <v>172718</v>
      </c>
      <c r="H351" s="30">
        <v>173639</v>
      </c>
      <c r="I351" s="30">
        <v>175298</v>
      </c>
      <c r="J351" s="30">
        <v>177900</v>
      </c>
      <c r="K351" s="30">
        <v>182459</v>
      </c>
      <c r="L351" s="30">
        <v>186704</v>
      </c>
      <c r="M351" s="30">
        <v>190582</v>
      </c>
      <c r="N351" s="30">
        <v>193920</v>
      </c>
      <c r="O351" s="24" t="str">
        <f t="shared" si="11"/>
        <v>Hernando County, Florida</v>
      </c>
    </row>
    <row r="352" spans="1:15" x14ac:dyDescent="0.25">
      <c r="A352" s="35" t="s">
        <v>828</v>
      </c>
      <c r="B352" s="28" t="str">
        <f t="shared" si="10"/>
        <v>Highlands</v>
      </c>
      <c r="C352" s="30">
        <v>98786</v>
      </c>
      <c r="D352" s="30">
        <v>98784</v>
      </c>
      <c r="E352" s="30">
        <v>98635</v>
      </c>
      <c r="F352" s="30">
        <v>98477</v>
      </c>
      <c r="G352" s="30">
        <v>98222</v>
      </c>
      <c r="H352" s="30">
        <v>98077</v>
      </c>
      <c r="I352" s="30">
        <v>98584</v>
      </c>
      <c r="J352" s="30">
        <v>100137</v>
      </c>
      <c r="K352" s="30">
        <v>102041</v>
      </c>
      <c r="L352" s="30">
        <v>103852</v>
      </c>
      <c r="M352" s="30">
        <v>104933</v>
      </c>
      <c r="N352" s="30">
        <v>106221</v>
      </c>
      <c r="O352" s="24" t="str">
        <f t="shared" si="11"/>
        <v>Highlands County, Florida</v>
      </c>
    </row>
    <row r="353" spans="1:15" x14ac:dyDescent="0.25">
      <c r="A353" s="35" t="s">
        <v>829</v>
      </c>
      <c r="B353" s="28" t="str">
        <f t="shared" si="10"/>
        <v>Hillsborough</v>
      </c>
      <c r="C353" s="30">
        <v>1229226</v>
      </c>
      <c r="D353" s="30">
        <v>1229202</v>
      </c>
      <c r="E353" s="30">
        <v>1233498</v>
      </c>
      <c r="F353" s="30">
        <v>1255503</v>
      </c>
      <c r="G353" s="30">
        <v>1279639</v>
      </c>
      <c r="H353" s="30">
        <v>1304131</v>
      </c>
      <c r="I353" s="30">
        <v>1332298</v>
      </c>
      <c r="J353" s="30">
        <v>1364073</v>
      </c>
      <c r="K353" s="30">
        <v>1396693</v>
      </c>
      <c r="L353" s="30">
        <v>1426736</v>
      </c>
      <c r="M353" s="30">
        <v>1451919</v>
      </c>
      <c r="N353" s="30">
        <v>1471968</v>
      </c>
      <c r="O353" s="24" t="str">
        <f t="shared" si="11"/>
        <v>Hillsborough County, Florida</v>
      </c>
    </row>
    <row r="354" spans="1:15" x14ac:dyDescent="0.25">
      <c r="A354" s="35" t="s">
        <v>830</v>
      </c>
      <c r="B354" s="28" t="str">
        <f t="shared" si="10"/>
        <v>Holmes</v>
      </c>
      <c r="C354" s="30">
        <v>19927</v>
      </c>
      <c r="D354" s="30">
        <v>19923</v>
      </c>
      <c r="E354" s="30">
        <v>19843</v>
      </c>
      <c r="F354" s="30">
        <v>19838</v>
      </c>
      <c r="G354" s="30">
        <v>19697</v>
      </c>
      <c r="H354" s="30">
        <v>19594</v>
      </c>
      <c r="I354" s="30">
        <v>19564</v>
      </c>
      <c r="J354" s="30">
        <v>19273</v>
      </c>
      <c r="K354" s="30">
        <v>19398</v>
      </c>
      <c r="L354" s="30">
        <v>19427</v>
      </c>
      <c r="M354" s="30">
        <v>19443</v>
      </c>
      <c r="N354" s="30">
        <v>19617</v>
      </c>
      <c r="O354" s="24" t="str">
        <f t="shared" si="11"/>
        <v>Holmes County, Florida</v>
      </c>
    </row>
    <row r="355" spans="1:15" x14ac:dyDescent="0.25">
      <c r="A355" s="35" t="s">
        <v>831</v>
      </c>
      <c r="B355" s="28" t="str">
        <f t="shared" si="10"/>
        <v>Indian River</v>
      </c>
      <c r="C355" s="30">
        <v>138028</v>
      </c>
      <c r="D355" s="30">
        <v>138028</v>
      </c>
      <c r="E355" s="30">
        <v>138270</v>
      </c>
      <c r="F355" s="30">
        <v>139103</v>
      </c>
      <c r="G355" s="30">
        <v>140473</v>
      </c>
      <c r="H355" s="30">
        <v>141895</v>
      </c>
      <c r="I355" s="30">
        <v>144445</v>
      </c>
      <c r="J355" s="30">
        <v>147434</v>
      </c>
      <c r="K355" s="30">
        <v>151159</v>
      </c>
      <c r="L355" s="30">
        <v>154241</v>
      </c>
      <c r="M355" s="30">
        <v>157187</v>
      </c>
      <c r="N355" s="30">
        <v>159923</v>
      </c>
      <c r="O355" s="24" t="str">
        <f t="shared" si="11"/>
        <v>Indian River County, Florida</v>
      </c>
    </row>
    <row r="356" spans="1:15" x14ac:dyDescent="0.25">
      <c r="A356" s="35" t="s">
        <v>832</v>
      </c>
      <c r="B356" s="28" t="str">
        <f t="shared" si="10"/>
        <v>Jackson</v>
      </c>
      <c r="C356" s="30">
        <v>49746</v>
      </c>
      <c r="D356" s="30">
        <v>49764</v>
      </c>
      <c r="E356" s="30">
        <v>49648</v>
      </c>
      <c r="F356" s="30">
        <v>49197</v>
      </c>
      <c r="G356" s="30">
        <v>49109</v>
      </c>
      <c r="H356" s="30">
        <v>48880</v>
      </c>
      <c r="I356" s="30">
        <v>48730</v>
      </c>
      <c r="J356" s="30">
        <v>48609</v>
      </c>
      <c r="K356" s="30">
        <v>48299</v>
      </c>
      <c r="L356" s="30">
        <v>48289</v>
      </c>
      <c r="M356" s="30">
        <v>48112</v>
      </c>
      <c r="N356" s="30">
        <v>46414</v>
      </c>
      <c r="O356" s="24" t="str">
        <f t="shared" si="11"/>
        <v>Jackson County, Florida</v>
      </c>
    </row>
    <row r="357" spans="1:15" x14ac:dyDescent="0.25">
      <c r="A357" s="35" t="s">
        <v>833</v>
      </c>
      <c r="B357" s="28" t="str">
        <f t="shared" si="10"/>
        <v>Jefferson</v>
      </c>
      <c r="C357" s="30">
        <v>14761</v>
      </c>
      <c r="D357" s="30">
        <v>14761</v>
      </c>
      <c r="E357" s="30">
        <v>14755</v>
      </c>
      <c r="F357" s="30">
        <v>14529</v>
      </c>
      <c r="G357" s="30">
        <v>14219</v>
      </c>
      <c r="H357" s="30">
        <v>14209</v>
      </c>
      <c r="I357" s="30">
        <v>14056</v>
      </c>
      <c r="J357" s="30">
        <v>14115</v>
      </c>
      <c r="K357" s="30">
        <v>13960</v>
      </c>
      <c r="L357" s="30">
        <v>14165</v>
      </c>
      <c r="M357" s="30">
        <v>14321</v>
      </c>
      <c r="N357" s="30">
        <v>14246</v>
      </c>
      <c r="O357" s="24" t="str">
        <f t="shared" si="11"/>
        <v>Jefferson County, Florida</v>
      </c>
    </row>
    <row r="358" spans="1:15" x14ac:dyDescent="0.25">
      <c r="A358" s="35" t="s">
        <v>834</v>
      </c>
      <c r="B358" s="28" t="str">
        <f t="shared" si="10"/>
        <v>Lafayette</v>
      </c>
      <c r="C358" s="30">
        <v>8870</v>
      </c>
      <c r="D358" s="30">
        <v>8868</v>
      </c>
      <c r="E358" s="30">
        <v>8808</v>
      </c>
      <c r="F358" s="30">
        <v>8798</v>
      </c>
      <c r="G358" s="30">
        <v>8791</v>
      </c>
      <c r="H358" s="30">
        <v>8819</v>
      </c>
      <c r="I358" s="30">
        <v>8862</v>
      </c>
      <c r="J358" s="30">
        <v>8724</v>
      </c>
      <c r="K358" s="30">
        <v>8747</v>
      </c>
      <c r="L358" s="30">
        <v>8602</v>
      </c>
      <c r="M358" s="30">
        <v>8691</v>
      </c>
      <c r="N358" s="30">
        <v>8422</v>
      </c>
      <c r="O358" s="24" t="str">
        <f t="shared" si="11"/>
        <v>Lafayette County, Florida</v>
      </c>
    </row>
    <row r="359" spans="1:15" x14ac:dyDescent="0.25">
      <c r="A359" s="35" t="s">
        <v>835</v>
      </c>
      <c r="B359" s="28" t="str">
        <f t="shared" si="10"/>
        <v>Lake</v>
      </c>
      <c r="C359" s="30">
        <v>297052</v>
      </c>
      <c r="D359" s="30">
        <v>297047</v>
      </c>
      <c r="E359" s="30">
        <v>297709</v>
      </c>
      <c r="F359" s="30">
        <v>300505</v>
      </c>
      <c r="G359" s="30">
        <v>303725</v>
      </c>
      <c r="H359" s="30">
        <v>307973</v>
      </c>
      <c r="I359" s="30">
        <v>315340</v>
      </c>
      <c r="J359" s="30">
        <v>325154</v>
      </c>
      <c r="K359" s="30">
        <v>334913</v>
      </c>
      <c r="L359" s="30">
        <v>345432</v>
      </c>
      <c r="M359" s="30">
        <v>356720</v>
      </c>
      <c r="N359" s="30">
        <v>367118</v>
      </c>
      <c r="O359" s="24" t="str">
        <f t="shared" si="11"/>
        <v>Lake County, Florida</v>
      </c>
    </row>
    <row r="360" spans="1:15" x14ac:dyDescent="0.25">
      <c r="A360" s="35" t="s">
        <v>836</v>
      </c>
      <c r="B360" s="28" t="str">
        <f t="shared" si="10"/>
        <v>Lee</v>
      </c>
      <c r="C360" s="30">
        <v>618754</v>
      </c>
      <c r="D360" s="30">
        <v>618755</v>
      </c>
      <c r="E360" s="30">
        <v>620449</v>
      </c>
      <c r="F360" s="30">
        <v>631053</v>
      </c>
      <c r="G360" s="30">
        <v>644197</v>
      </c>
      <c r="H360" s="30">
        <v>659834</v>
      </c>
      <c r="I360" s="30">
        <v>677232</v>
      </c>
      <c r="J360" s="30">
        <v>699644</v>
      </c>
      <c r="K360" s="30">
        <v>722649</v>
      </c>
      <c r="L360" s="30">
        <v>740000</v>
      </c>
      <c r="M360" s="30">
        <v>754470</v>
      </c>
      <c r="N360" s="30">
        <v>770577</v>
      </c>
      <c r="O360" s="24" t="str">
        <f t="shared" si="11"/>
        <v>Lee County, Florida</v>
      </c>
    </row>
    <row r="361" spans="1:15" x14ac:dyDescent="0.25">
      <c r="A361" s="35" t="s">
        <v>837</v>
      </c>
      <c r="B361" s="28" t="str">
        <f t="shared" si="10"/>
        <v>Leon</v>
      </c>
      <c r="C361" s="30">
        <v>275487</v>
      </c>
      <c r="D361" s="30">
        <v>275483</v>
      </c>
      <c r="E361" s="30">
        <v>275971</v>
      </c>
      <c r="F361" s="30">
        <v>278371</v>
      </c>
      <c r="G361" s="30">
        <v>283620</v>
      </c>
      <c r="H361" s="30">
        <v>281887</v>
      </c>
      <c r="I361" s="30">
        <v>283770</v>
      </c>
      <c r="J361" s="30">
        <v>285904</v>
      </c>
      <c r="K361" s="30">
        <v>286744</v>
      </c>
      <c r="L361" s="30">
        <v>290965</v>
      </c>
      <c r="M361" s="30">
        <v>291657</v>
      </c>
      <c r="N361" s="30">
        <v>293582</v>
      </c>
      <c r="O361" s="24" t="str">
        <f t="shared" si="11"/>
        <v>Leon County, Florida</v>
      </c>
    </row>
    <row r="362" spans="1:15" x14ac:dyDescent="0.25">
      <c r="A362" s="35" t="s">
        <v>838</v>
      </c>
      <c r="B362" s="28" t="str">
        <f t="shared" si="10"/>
        <v>Levy</v>
      </c>
      <c r="C362" s="30">
        <v>40801</v>
      </c>
      <c r="D362" s="30">
        <v>40798</v>
      </c>
      <c r="E362" s="30">
        <v>40720</v>
      </c>
      <c r="F362" s="30">
        <v>40151</v>
      </c>
      <c r="G362" s="30">
        <v>39823</v>
      </c>
      <c r="H362" s="30">
        <v>39433</v>
      </c>
      <c r="I362" s="30">
        <v>39296</v>
      </c>
      <c r="J362" s="30">
        <v>39601</v>
      </c>
      <c r="K362" s="30">
        <v>39837</v>
      </c>
      <c r="L362" s="30">
        <v>40276</v>
      </c>
      <c r="M362" s="30">
        <v>40798</v>
      </c>
      <c r="N362" s="30">
        <v>41503</v>
      </c>
      <c r="O362" s="24" t="str">
        <f t="shared" si="11"/>
        <v>Levy County, Florida</v>
      </c>
    </row>
    <row r="363" spans="1:15" x14ac:dyDescent="0.25">
      <c r="A363" s="35" t="s">
        <v>839</v>
      </c>
      <c r="B363" s="28" t="str">
        <f t="shared" si="10"/>
        <v>Liberty</v>
      </c>
      <c r="C363" s="30">
        <v>8365</v>
      </c>
      <c r="D363" s="30">
        <v>8365</v>
      </c>
      <c r="E363" s="30">
        <v>8349</v>
      </c>
      <c r="F363" s="30">
        <v>8264</v>
      </c>
      <c r="G363" s="30">
        <v>8301</v>
      </c>
      <c r="H363" s="30">
        <v>8357</v>
      </c>
      <c r="I363" s="30">
        <v>8418</v>
      </c>
      <c r="J363" s="30">
        <v>8409</v>
      </c>
      <c r="K363" s="30">
        <v>8300</v>
      </c>
      <c r="L363" s="30">
        <v>8236</v>
      </c>
      <c r="M363" s="30">
        <v>8427</v>
      </c>
      <c r="N363" s="30">
        <v>8354</v>
      </c>
      <c r="O363" s="24" t="str">
        <f t="shared" si="11"/>
        <v>Liberty County, Florida</v>
      </c>
    </row>
    <row r="364" spans="1:15" x14ac:dyDescent="0.25">
      <c r="A364" s="35" t="s">
        <v>840</v>
      </c>
      <c r="B364" s="28" t="str">
        <f t="shared" si="10"/>
        <v>Madison</v>
      </c>
      <c r="C364" s="30">
        <v>19224</v>
      </c>
      <c r="D364" s="30">
        <v>19226</v>
      </c>
      <c r="E364" s="30">
        <v>19248</v>
      </c>
      <c r="F364" s="30">
        <v>19130</v>
      </c>
      <c r="G364" s="30">
        <v>18972</v>
      </c>
      <c r="H364" s="30">
        <v>18753</v>
      </c>
      <c r="I364" s="30">
        <v>18601</v>
      </c>
      <c r="J364" s="30">
        <v>18478</v>
      </c>
      <c r="K364" s="30">
        <v>18316</v>
      </c>
      <c r="L364" s="30">
        <v>18474</v>
      </c>
      <c r="M364" s="30">
        <v>18540</v>
      </c>
      <c r="N364" s="30">
        <v>18493</v>
      </c>
      <c r="O364" s="24" t="str">
        <f t="shared" si="11"/>
        <v>Madison County, Florida</v>
      </c>
    </row>
    <row r="365" spans="1:15" x14ac:dyDescent="0.25">
      <c r="A365" s="35" t="s">
        <v>841</v>
      </c>
      <c r="B365" s="28" t="str">
        <f t="shared" si="10"/>
        <v>Manatee</v>
      </c>
      <c r="C365" s="30">
        <v>322833</v>
      </c>
      <c r="D365" s="30">
        <v>322879</v>
      </c>
      <c r="E365" s="30">
        <v>323424</v>
      </c>
      <c r="F365" s="30">
        <v>327549</v>
      </c>
      <c r="G365" s="30">
        <v>333844</v>
      </c>
      <c r="H365" s="30">
        <v>341855</v>
      </c>
      <c r="I365" s="30">
        <v>350865</v>
      </c>
      <c r="J365" s="30">
        <v>362548</v>
      </c>
      <c r="K365" s="30">
        <v>375373</v>
      </c>
      <c r="L365" s="30">
        <v>385506</v>
      </c>
      <c r="M365" s="30">
        <v>394387</v>
      </c>
      <c r="N365" s="30">
        <v>403253</v>
      </c>
      <c r="O365" s="24" t="str">
        <f t="shared" si="11"/>
        <v>Manatee County, Florida</v>
      </c>
    </row>
    <row r="366" spans="1:15" x14ac:dyDescent="0.25">
      <c r="A366" s="35" t="s">
        <v>842</v>
      </c>
      <c r="B366" s="28" t="str">
        <f t="shared" si="10"/>
        <v>Marion</v>
      </c>
      <c r="C366" s="30">
        <v>331298</v>
      </c>
      <c r="D366" s="30">
        <v>331299</v>
      </c>
      <c r="E366" s="30">
        <v>331331</v>
      </c>
      <c r="F366" s="30">
        <v>332286</v>
      </c>
      <c r="G366" s="30">
        <v>333873</v>
      </c>
      <c r="H366" s="30">
        <v>335083</v>
      </c>
      <c r="I366" s="30">
        <v>338005</v>
      </c>
      <c r="J366" s="30">
        <v>342182</v>
      </c>
      <c r="K366" s="30">
        <v>347469</v>
      </c>
      <c r="L366" s="30">
        <v>353339</v>
      </c>
      <c r="M366" s="30">
        <v>359062</v>
      </c>
      <c r="N366" s="30">
        <v>365579</v>
      </c>
      <c r="O366" s="24" t="str">
        <f t="shared" si="11"/>
        <v>Marion County, Florida</v>
      </c>
    </row>
    <row r="367" spans="1:15" x14ac:dyDescent="0.25">
      <c r="A367" s="35" t="s">
        <v>843</v>
      </c>
      <c r="B367" s="28" t="str">
        <f t="shared" si="10"/>
        <v>Martin</v>
      </c>
      <c r="C367" s="30">
        <v>146318</v>
      </c>
      <c r="D367" s="30">
        <v>146852</v>
      </c>
      <c r="E367" s="30">
        <v>146909</v>
      </c>
      <c r="F367" s="30">
        <v>147871</v>
      </c>
      <c r="G367" s="30">
        <v>148981</v>
      </c>
      <c r="H367" s="30">
        <v>151126</v>
      </c>
      <c r="I367" s="30">
        <v>153119</v>
      </c>
      <c r="J367" s="30">
        <v>155559</v>
      </c>
      <c r="K367" s="30">
        <v>158325</v>
      </c>
      <c r="L367" s="30">
        <v>159701</v>
      </c>
      <c r="M367" s="30">
        <v>160742</v>
      </c>
      <c r="N367" s="30">
        <v>161000</v>
      </c>
      <c r="O367" s="24" t="str">
        <f t="shared" si="11"/>
        <v>Martin County, Florida</v>
      </c>
    </row>
    <row r="368" spans="1:15" x14ac:dyDescent="0.25">
      <c r="A368" s="35" t="s">
        <v>844</v>
      </c>
      <c r="B368" s="28" t="str">
        <f t="shared" si="10"/>
        <v>Miami-Dade</v>
      </c>
      <c r="C368" s="30">
        <v>2496435</v>
      </c>
      <c r="D368" s="30">
        <v>2497993</v>
      </c>
      <c r="E368" s="30">
        <v>2506972</v>
      </c>
      <c r="F368" s="30">
        <v>2544531</v>
      </c>
      <c r="G368" s="30">
        <v>2576554</v>
      </c>
      <c r="H368" s="30">
        <v>2609692</v>
      </c>
      <c r="I368" s="30">
        <v>2634269</v>
      </c>
      <c r="J368" s="30">
        <v>2659839</v>
      </c>
      <c r="K368" s="30">
        <v>2692213</v>
      </c>
      <c r="L368" s="30">
        <v>2713295</v>
      </c>
      <c r="M368" s="30">
        <v>2714854</v>
      </c>
      <c r="N368" s="30">
        <v>2716940</v>
      </c>
      <c r="O368" s="24" t="str">
        <f t="shared" si="11"/>
        <v>Miami-Dade County, Florida</v>
      </c>
    </row>
    <row r="369" spans="1:15" x14ac:dyDescent="0.25">
      <c r="A369" s="35" t="s">
        <v>845</v>
      </c>
      <c r="B369" s="28" t="str">
        <f t="shared" si="10"/>
        <v>Monroe</v>
      </c>
      <c r="C369" s="30">
        <v>73090</v>
      </c>
      <c r="D369" s="30">
        <v>73090</v>
      </c>
      <c r="E369" s="30">
        <v>73220</v>
      </c>
      <c r="F369" s="30">
        <v>73967</v>
      </c>
      <c r="G369" s="30">
        <v>74560</v>
      </c>
      <c r="H369" s="30">
        <v>75813</v>
      </c>
      <c r="I369" s="30">
        <v>76261</v>
      </c>
      <c r="J369" s="30">
        <v>76648</v>
      </c>
      <c r="K369" s="30">
        <v>76872</v>
      </c>
      <c r="L369" s="30">
        <v>76483</v>
      </c>
      <c r="M369" s="30">
        <v>74757</v>
      </c>
      <c r="N369" s="30">
        <v>74228</v>
      </c>
      <c r="O369" s="24" t="str">
        <f t="shared" si="11"/>
        <v>Monroe County, Florida</v>
      </c>
    </row>
    <row r="370" spans="1:15" x14ac:dyDescent="0.25">
      <c r="A370" s="35" t="s">
        <v>846</v>
      </c>
      <c r="B370" s="28" t="str">
        <f t="shared" si="10"/>
        <v>Nassau</v>
      </c>
      <c r="C370" s="30">
        <v>73314</v>
      </c>
      <c r="D370" s="30">
        <v>73310</v>
      </c>
      <c r="E370" s="30">
        <v>73513</v>
      </c>
      <c r="F370" s="30">
        <v>74148</v>
      </c>
      <c r="G370" s="30">
        <v>74519</v>
      </c>
      <c r="H370" s="30">
        <v>75384</v>
      </c>
      <c r="I370" s="30">
        <v>76250</v>
      </c>
      <c r="J370" s="30">
        <v>77951</v>
      </c>
      <c r="K370" s="30">
        <v>80055</v>
      </c>
      <c r="L370" s="30">
        <v>82925</v>
      </c>
      <c r="M370" s="30">
        <v>85936</v>
      </c>
      <c r="N370" s="30">
        <v>88625</v>
      </c>
      <c r="O370" s="24" t="str">
        <f t="shared" si="11"/>
        <v>Nassau County, Florida</v>
      </c>
    </row>
    <row r="371" spans="1:15" x14ac:dyDescent="0.25">
      <c r="A371" s="35" t="s">
        <v>847</v>
      </c>
      <c r="B371" s="28" t="str">
        <f t="shared" si="10"/>
        <v>Okaloosa</v>
      </c>
      <c r="C371" s="30">
        <v>180822</v>
      </c>
      <c r="D371" s="30">
        <v>180824</v>
      </c>
      <c r="E371" s="30">
        <v>180715</v>
      </c>
      <c r="F371" s="30">
        <v>183102</v>
      </c>
      <c r="G371" s="30">
        <v>189762</v>
      </c>
      <c r="H371" s="30">
        <v>192688</v>
      </c>
      <c r="I371" s="30">
        <v>194615</v>
      </c>
      <c r="J371" s="30">
        <v>197748</v>
      </c>
      <c r="K371" s="30">
        <v>200071</v>
      </c>
      <c r="L371" s="30">
        <v>203478</v>
      </c>
      <c r="M371" s="30">
        <v>206934</v>
      </c>
      <c r="N371" s="30">
        <v>210738</v>
      </c>
      <c r="O371" s="24" t="str">
        <f t="shared" si="11"/>
        <v>Okaloosa County, Florida</v>
      </c>
    </row>
    <row r="372" spans="1:15" x14ac:dyDescent="0.25">
      <c r="A372" s="35" t="s">
        <v>848</v>
      </c>
      <c r="B372" s="28" t="str">
        <f t="shared" si="10"/>
        <v>Okeechobee</v>
      </c>
      <c r="C372" s="30">
        <v>39996</v>
      </c>
      <c r="D372" s="30">
        <v>39996</v>
      </c>
      <c r="E372" s="30">
        <v>40025</v>
      </c>
      <c r="F372" s="30">
        <v>39869</v>
      </c>
      <c r="G372" s="30">
        <v>39710</v>
      </c>
      <c r="H372" s="30">
        <v>39482</v>
      </c>
      <c r="I372" s="30">
        <v>39569</v>
      </c>
      <c r="J372" s="30">
        <v>39854</v>
      </c>
      <c r="K372" s="30">
        <v>40769</v>
      </c>
      <c r="L372" s="30">
        <v>41275</v>
      </c>
      <c r="M372" s="30">
        <v>41654</v>
      </c>
      <c r="N372" s="30">
        <v>42168</v>
      </c>
      <c r="O372" s="24" t="str">
        <f t="shared" si="11"/>
        <v>Okeechobee County, Florida</v>
      </c>
    </row>
    <row r="373" spans="1:15" x14ac:dyDescent="0.25">
      <c r="A373" s="35" t="s">
        <v>849</v>
      </c>
      <c r="B373" s="28" t="str">
        <f t="shared" si="10"/>
        <v>Orange</v>
      </c>
      <c r="C373" s="30">
        <v>1145956</v>
      </c>
      <c r="D373" s="30">
        <v>1145957</v>
      </c>
      <c r="E373" s="30">
        <v>1148564</v>
      </c>
      <c r="F373" s="30">
        <v>1170579</v>
      </c>
      <c r="G373" s="30">
        <v>1202498</v>
      </c>
      <c r="H373" s="30">
        <v>1227435</v>
      </c>
      <c r="I373" s="30">
        <v>1256606</v>
      </c>
      <c r="J373" s="30">
        <v>1291301</v>
      </c>
      <c r="K373" s="30">
        <v>1326516</v>
      </c>
      <c r="L373" s="30">
        <v>1355921</v>
      </c>
      <c r="M373" s="30">
        <v>1381540</v>
      </c>
      <c r="N373" s="30">
        <v>1393452</v>
      </c>
      <c r="O373" s="24" t="str">
        <f t="shared" si="11"/>
        <v>Orange County, Florida</v>
      </c>
    </row>
    <row r="374" spans="1:15" x14ac:dyDescent="0.25">
      <c r="A374" s="35" t="s">
        <v>850</v>
      </c>
      <c r="B374" s="28" t="str">
        <f t="shared" si="10"/>
        <v>Osceola</v>
      </c>
      <c r="C374" s="30">
        <v>268685</v>
      </c>
      <c r="D374" s="30">
        <v>268685</v>
      </c>
      <c r="E374" s="30">
        <v>269837</v>
      </c>
      <c r="F374" s="30">
        <v>278636</v>
      </c>
      <c r="G374" s="30">
        <v>288876</v>
      </c>
      <c r="H374" s="30">
        <v>299238</v>
      </c>
      <c r="I374" s="30">
        <v>311046</v>
      </c>
      <c r="J374" s="30">
        <v>323736</v>
      </c>
      <c r="K374" s="30">
        <v>338209</v>
      </c>
      <c r="L374" s="30">
        <v>353623</v>
      </c>
      <c r="M374" s="30">
        <v>368456</v>
      </c>
      <c r="N374" s="30">
        <v>375751</v>
      </c>
      <c r="O374" s="24" t="str">
        <f t="shared" si="11"/>
        <v>Osceola County, Florida</v>
      </c>
    </row>
    <row r="375" spans="1:15" x14ac:dyDescent="0.25">
      <c r="A375" s="35" t="s">
        <v>851</v>
      </c>
      <c r="B375" s="28" t="str">
        <f t="shared" si="10"/>
        <v>Palm Beach</v>
      </c>
      <c r="C375" s="30">
        <v>1320134</v>
      </c>
      <c r="D375" s="30">
        <v>1320135</v>
      </c>
      <c r="E375" s="30">
        <v>1323619</v>
      </c>
      <c r="F375" s="30">
        <v>1336760</v>
      </c>
      <c r="G375" s="30">
        <v>1354936</v>
      </c>
      <c r="H375" s="30">
        <v>1376462</v>
      </c>
      <c r="I375" s="30">
        <v>1398656</v>
      </c>
      <c r="J375" s="30">
        <v>1424256</v>
      </c>
      <c r="K375" s="30">
        <v>1450890</v>
      </c>
      <c r="L375" s="30">
        <v>1470344</v>
      </c>
      <c r="M375" s="30">
        <v>1482876</v>
      </c>
      <c r="N375" s="30">
        <v>1496770</v>
      </c>
      <c r="O375" s="24" t="str">
        <f t="shared" si="11"/>
        <v>Palm Beach County, Florida</v>
      </c>
    </row>
    <row r="376" spans="1:15" x14ac:dyDescent="0.25">
      <c r="A376" s="35" t="s">
        <v>852</v>
      </c>
      <c r="B376" s="28" t="str">
        <f t="shared" si="10"/>
        <v>Pasco</v>
      </c>
      <c r="C376" s="30">
        <v>464697</v>
      </c>
      <c r="D376" s="30">
        <v>464705</v>
      </c>
      <c r="E376" s="30">
        <v>465487</v>
      </c>
      <c r="F376" s="30">
        <v>466464</v>
      </c>
      <c r="G376" s="30">
        <v>469637</v>
      </c>
      <c r="H376" s="30">
        <v>474352</v>
      </c>
      <c r="I376" s="30">
        <v>483399</v>
      </c>
      <c r="J376" s="30">
        <v>494895</v>
      </c>
      <c r="K376" s="30">
        <v>509937</v>
      </c>
      <c r="L376" s="30">
        <v>525141</v>
      </c>
      <c r="M376" s="30">
        <v>539090</v>
      </c>
      <c r="N376" s="30">
        <v>553947</v>
      </c>
      <c r="O376" s="24" t="str">
        <f t="shared" si="11"/>
        <v>Pasco County, Florida</v>
      </c>
    </row>
    <row r="377" spans="1:15" x14ac:dyDescent="0.25">
      <c r="A377" s="35" t="s">
        <v>853</v>
      </c>
      <c r="B377" s="28" t="str">
        <f t="shared" si="10"/>
        <v>Pinellas</v>
      </c>
      <c r="C377" s="30">
        <v>916542</v>
      </c>
      <c r="D377" s="30">
        <v>916800</v>
      </c>
      <c r="E377" s="30">
        <v>916412</v>
      </c>
      <c r="F377" s="30">
        <v>918455</v>
      </c>
      <c r="G377" s="30">
        <v>921642</v>
      </c>
      <c r="H377" s="30">
        <v>928414</v>
      </c>
      <c r="I377" s="30">
        <v>936400</v>
      </c>
      <c r="J377" s="30">
        <v>947060</v>
      </c>
      <c r="K377" s="30">
        <v>959874</v>
      </c>
      <c r="L377" s="30">
        <v>968341</v>
      </c>
      <c r="M377" s="30">
        <v>973058</v>
      </c>
      <c r="N377" s="30">
        <v>974996</v>
      </c>
      <c r="O377" s="24" t="str">
        <f t="shared" si="11"/>
        <v>Pinellas County, Florida</v>
      </c>
    </row>
    <row r="378" spans="1:15" x14ac:dyDescent="0.25">
      <c r="A378" s="35" t="s">
        <v>854</v>
      </c>
      <c r="B378" s="28" t="str">
        <f t="shared" si="10"/>
        <v>Polk</v>
      </c>
      <c r="C378" s="30">
        <v>602095</v>
      </c>
      <c r="D378" s="30">
        <v>602073</v>
      </c>
      <c r="E378" s="30">
        <v>603102</v>
      </c>
      <c r="F378" s="30">
        <v>609948</v>
      </c>
      <c r="G378" s="30">
        <v>615453</v>
      </c>
      <c r="H378" s="30">
        <v>622633</v>
      </c>
      <c r="I378" s="30">
        <v>634398</v>
      </c>
      <c r="J378" s="30">
        <v>648523</v>
      </c>
      <c r="K378" s="30">
        <v>665823</v>
      </c>
      <c r="L378" s="30">
        <v>685368</v>
      </c>
      <c r="M378" s="30">
        <v>706597</v>
      </c>
      <c r="N378" s="30">
        <v>724777</v>
      </c>
      <c r="O378" s="24" t="str">
        <f t="shared" si="11"/>
        <v>Polk County, Florida</v>
      </c>
    </row>
    <row r="379" spans="1:15" x14ac:dyDescent="0.25">
      <c r="A379" s="35" t="s">
        <v>855</v>
      </c>
      <c r="B379" s="28" t="str">
        <f t="shared" si="10"/>
        <v>Putnam</v>
      </c>
      <c r="C379" s="30">
        <v>74364</v>
      </c>
      <c r="D379" s="30">
        <v>74377</v>
      </c>
      <c r="E379" s="30">
        <v>74220</v>
      </c>
      <c r="F379" s="30">
        <v>73652</v>
      </c>
      <c r="G379" s="30">
        <v>72927</v>
      </c>
      <c r="H379" s="30">
        <v>72370</v>
      </c>
      <c r="I379" s="30">
        <v>71971</v>
      </c>
      <c r="J379" s="30">
        <v>71939</v>
      </c>
      <c r="K379" s="30">
        <v>72373</v>
      </c>
      <c r="L379" s="30">
        <v>73384</v>
      </c>
      <c r="M379" s="30">
        <v>74043</v>
      </c>
      <c r="N379" s="30">
        <v>74521</v>
      </c>
      <c r="O379" s="24" t="str">
        <f t="shared" si="11"/>
        <v>Putnam County, Florida</v>
      </c>
    </row>
    <row r="380" spans="1:15" x14ac:dyDescent="0.25">
      <c r="A380" s="35" t="s">
        <v>856</v>
      </c>
      <c r="B380" s="28" t="str">
        <f t="shared" si="10"/>
        <v>St Johns</v>
      </c>
      <c r="C380" s="30">
        <v>190039</v>
      </c>
      <c r="D380" s="30">
        <v>190038</v>
      </c>
      <c r="E380" s="30">
        <v>191249</v>
      </c>
      <c r="F380" s="30">
        <v>196106</v>
      </c>
      <c r="G380" s="30">
        <v>202066</v>
      </c>
      <c r="H380" s="30">
        <v>209439</v>
      </c>
      <c r="I380" s="30">
        <v>217836</v>
      </c>
      <c r="J380" s="30">
        <v>226362</v>
      </c>
      <c r="K380" s="30">
        <v>234828</v>
      </c>
      <c r="L380" s="30">
        <v>243693</v>
      </c>
      <c r="M380" s="30">
        <v>253814</v>
      </c>
      <c r="N380" s="30">
        <v>264672</v>
      </c>
      <c r="O380" s="24" t="str">
        <f t="shared" si="11"/>
        <v>St Johns County, Florida</v>
      </c>
    </row>
    <row r="381" spans="1:15" x14ac:dyDescent="0.25">
      <c r="A381" s="35" t="s">
        <v>857</v>
      </c>
      <c r="B381" s="28" t="str">
        <f t="shared" si="10"/>
        <v>St Lucie</v>
      </c>
      <c r="C381" s="30">
        <v>277789</v>
      </c>
      <c r="D381" s="30">
        <v>277255</v>
      </c>
      <c r="E381" s="30">
        <v>278264</v>
      </c>
      <c r="F381" s="30">
        <v>280416</v>
      </c>
      <c r="G381" s="30">
        <v>282931</v>
      </c>
      <c r="H381" s="30">
        <v>285299</v>
      </c>
      <c r="I381" s="30">
        <v>290045</v>
      </c>
      <c r="J381" s="30">
        <v>297282</v>
      </c>
      <c r="K381" s="30">
        <v>305566</v>
      </c>
      <c r="L381" s="30">
        <v>313163</v>
      </c>
      <c r="M381" s="30">
        <v>320425</v>
      </c>
      <c r="N381" s="30">
        <v>328297</v>
      </c>
      <c r="O381" s="24" t="str">
        <f t="shared" si="11"/>
        <v>St Lucie County, Florida</v>
      </c>
    </row>
    <row r="382" spans="1:15" x14ac:dyDescent="0.25">
      <c r="A382" s="35" t="s">
        <v>858</v>
      </c>
      <c r="B382" s="28" t="str">
        <f t="shared" si="10"/>
        <v>Santa Rosa</v>
      </c>
      <c r="C382" s="30">
        <v>151372</v>
      </c>
      <c r="D382" s="30">
        <v>151371</v>
      </c>
      <c r="E382" s="30">
        <v>152908</v>
      </c>
      <c r="F382" s="30">
        <v>155738</v>
      </c>
      <c r="G382" s="30">
        <v>158190</v>
      </c>
      <c r="H382" s="30">
        <v>160392</v>
      </c>
      <c r="I382" s="30">
        <v>162668</v>
      </c>
      <c r="J382" s="30">
        <v>166226</v>
      </c>
      <c r="K382" s="30">
        <v>169894</v>
      </c>
      <c r="L382" s="30">
        <v>174049</v>
      </c>
      <c r="M382" s="30">
        <v>179295</v>
      </c>
      <c r="N382" s="30">
        <v>184313</v>
      </c>
      <c r="O382" s="24" t="str">
        <f t="shared" si="11"/>
        <v>Santa Rosa County, Florida</v>
      </c>
    </row>
    <row r="383" spans="1:15" x14ac:dyDescent="0.25">
      <c r="A383" s="35" t="s">
        <v>859</v>
      </c>
      <c r="B383" s="28" t="str">
        <f t="shared" si="10"/>
        <v>Sarasota</v>
      </c>
      <c r="C383" s="30">
        <v>379448</v>
      </c>
      <c r="D383" s="30">
        <v>379433</v>
      </c>
      <c r="E383" s="30">
        <v>379930</v>
      </c>
      <c r="F383" s="30">
        <v>382226</v>
      </c>
      <c r="G383" s="30">
        <v>386437</v>
      </c>
      <c r="H383" s="30">
        <v>389941</v>
      </c>
      <c r="I383" s="30">
        <v>396363</v>
      </c>
      <c r="J383" s="30">
        <v>404761</v>
      </c>
      <c r="K383" s="30">
        <v>412968</v>
      </c>
      <c r="L383" s="30">
        <v>419680</v>
      </c>
      <c r="M383" s="30">
        <v>426329</v>
      </c>
      <c r="N383" s="30">
        <v>433742</v>
      </c>
      <c r="O383" s="24" t="str">
        <f t="shared" si="11"/>
        <v>Sarasota County, Florida</v>
      </c>
    </row>
    <row r="384" spans="1:15" x14ac:dyDescent="0.25">
      <c r="A384" s="35" t="s">
        <v>860</v>
      </c>
      <c r="B384" s="28" t="str">
        <f t="shared" si="10"/>
        <v>Seminole</v>
      </c>
      <c r="C384" s="30">
        <v>422718</v>
      </c>
      <c r="D384" s="30">
        <v>422710</v>
      </c>
      <c r="E384" s="30">
        <v>423051</v>
      </c>
      <c r="F384" s="30">
        <v>426334</v>
      </c>
      <c r="G384" s="30">
        <v>430537</v>
      </c>
      <c r="H384" s="30">
        <v>435503</v>
      </c>
      <c r="I384" s="30">
        <v>441399</v>
      </c>
      <c r="J384" s="30">
        <v>448318</v>
      </c>
      <c r="K384" s="30">
        <v>455945</v>
      </c>
      <c r="L384" s="30">
        <v>462801</v>
      </c>
      <c r="M384" s="30">
        <v>468122</v>
      </c>
      <c r="N384" s="30">
        <v>471826</v>
      </c>
      <c r="O384" s="24" t="str">
        <f t="shared" si="11"/>
        <v>Seminole County, Florida</v>
      </c>
    </row>
    <row r="385" spans="1:15" x14ac:dyDescent="0.25">
      <c r="A385" s="35" t="s">
        <v>861</v>
      </c>
      <c r="B385" s="28" t="str">
        <f t="shared" si="10"/>
        <v>Sumter</v>
      </c>
      <c r="C385" s="30">
        <v>93420</v>
      </c>
      <c r="D385" s="30">
        <v>93420</v>
      </c>
      <c r="E385" s="30">
        <v>94278</v>
      </c>
      <c r="F385" s="30">
        <v>97975</v>
      </c>
      <c r="G385" s="30">
        <v>101669</v>
      </c>
      <c r="H385" s="30">
        <v>106898</v>
      </c>
      <c r="I385" s="30">
        <v>112236</v>
      </c>
      <c r="J385" s="30">
        <v>117076</v>
      </c>
      <c r="K385" s="30">
        <v>122009</v>
      </c>
      <c r="L385" s="30">
        <v>124995</v>
      </c>
      <c r="M385" s="30">
        <v>128719</v>
      </c>
      <c r="N385" s="30">
        <v>132420</v>
      </c>
      <c r="O385" s="24" t="str">
        <f t="shared" si="11"/>
        <v>Sumter County, Florida</v>
      </c>
    </row>
    <row r="386" spans="1:15" x14ac:dyDescent="0.25">
      <c r="A386" s="35" t="s">
        <v>862</v>
      </c>
      <c r="B386" s="28" t="str">
        <f t="shared" si="10"/>
        <v>Suwannee</v>
      </c>
      <c r="C386" s="30">
        <v>41551</v>
      </c>
      <c r="D386" s="30">
        <v>41555</v>
      </c>
      <c r="E386" s="30">
        <v>42328</v>
      </c>
      <c r="F386" s="30">
        <v>43368</v>
      </c>
      <c r="G386" s="30">
        <v>43534</v>
      </c>
      <c r="H386" s="30">
        <v>43588</v>
      </c>
      <c r="I386" s="30">
        <v>43786</v>
      </c>
      <c r="J386" s="30">
        <v>43677</v>
      </c>
      <c r="K386" s="30">
        <v>43834</v>
      </c>
      <c r="L386" s="30">
        <v>44124</v>
      </c>
      <c r="M386" s="30">
        <v>44179</v>
      </c>
      <c r="N386" s="30">
        <v>44417</v>
      </c>
      <c r="O386" s="24" t="str">
        <f t="shared" si="11"/>
        <v>Suwannee County, Florida</v>
      </c>
    </row>
    <row r="387" spans="1:15" x14ac:dyDescent="0.25">
      <c r="A387" s="35" t="s">
        <v>863</v>
      </c>
      <c r="B387" s="28" t="str">
        <f t="shared" si="10"/>
        <v>Taylor</v>
      </c>
      <c r="C387" s="30">
        <v>22570</v>
      </c>
      <c r="D387" s="30">
        <v>22574</v>
      </c>
      <c r="E387" s="30">
        <v>22595</v>
      </c>
      <c r="F387" s="30">
        <v>22662</v>
      </c>
      <c r="G387" s="30">
        <v>22758</v>
      </c>
      <c r="H387" s="30">
        <v>22873</v>
      </c>
      <c r="I387" s="30">
        <v>22584</v>
      </c>
      <c r="J387" s="30">
        <v>22355</v>
      </c>
      <c r="K387" s="30">
        <v>22099</v>
      </c>
      <c r="L387" s="30">
        <v>21781</v>
      </c>
      <c r="M387" s="30">
        <v>21545</v>
      </c>
      <c r="N387" s="30">
        <v>21569</v>
      </c>
      <c r="O387" s="24" t="str">
        <f t="shared" si="11"/>
        <v>Taylor County, Florida</v>
      </c>
    </row>
    <row r="388" spans="1:15" x14ac:dyDescent="0.25">
      <c r="A388" s="35" t="s">
        <v>864</v>
      </c>
      <c r="B388" s="28" t="str">
        <f t="shared" si="10"/>
        <v>Union</v>
      </c>
      <c r="C388" s="30">
        <v>15535</v>
      </c>
      <c r="D388" s="30">
        <v>15535</v>
      </c>
      <c r="E388" s="30">
        <v>15542</v>
      </c>
      <c r="F388" s="30">
        <v>15302</v>
      </c>
      <c r="G388" s="30">
        <v>15255</v>
      </c>
      <c r="H388" s="30">
        <v>15160</v>
      </c>
      <c r="I388" s="30">
        <v>15258</v>
      </c>
      <c r="J388" s="30">
        <v>15265</v>
      </c>
      <c r="K388" s="30">
        <v>15238</v>
      </c>
      <c r="L388" s="30">
        <v>15448</v>
      </c>
      <c r="M388" s="30">
        <v>15328</v>
      </c>
      <c r="N388" s="30">
        <v>15237</v>
      </c>
      <c r="O388" s="24" t="str">
        <f t="shared" si="11"/>
        <v>Union County, Florida</v>
      </c>
    </row>
    <row r="389" spans="1:15" x14ac:dyDescent="0.25">
      <c r="A389" s="35" t="s">
        <v>865</v>
      </c>
      <c r="B389" s="28" t="str">
        <f t="shared" si="10"/>
        <v>Volusia</v>
      </c>
      <c r="C389" s="30">
        <v>494593</v>
      </c>
      <c r="D389" s="30">
        <v>494596</v>
      </c>
      <c r="E389" s="30">
        <v>494440</v>
      </c>
      <c r="F389" s="30">
        <v>494464</v>
      </c>
      <c r="G389" s="30">
        <v>496535</v>
      </c>
      <c r="H389" s="30">
        <v>500438</v>
      </c>
      <c r="I389" s="30">
        <v>506715</v>
      </c>
      <c r="J389" s="30">
        <v>516730</v>
      </c>
      <c r="K389" s="30">
        <v>528453</v>
      </c>
      <c r="L389" s="30">
        <v>537868</v>
      </c>
      <c r="M389" s="30">
        <v>546101</v>
      </c>
      <c r="N389" s="30">
        <v>553284</v>
      </c>
      <c r="O389" s="24" t="str">
        <f t="shared" si="11"/>
        <v>Volusia County, Florida</v>
      </c>
    </row>
    <row r="390" spans="1:15" x14ac:dyDescent="0.25">
      <c r="A390" s="35" t="s">
        <v>866</v>
      </c>
      <c r="B390" s="28" t="str">
        <f t="shared" si="10"/>
        <v>Wakulla</v>
      </c>
      <c r="C390" s="30">
        <v>30776</v>
      </c>
      <c r="D390" s="30">
        <v>30783</v>
      </c>
      <c r="E390" s="30">
        <v>30825</v>
      </c>
      <c r="F390" s="30">
        <v>30973</v>
      </c>
      <c r="G390" s="30">
        <v>30859</v>
      </c>
      <c r="H390" s="30">
        <v>31004</v>
      </c>
      <c r="I390" s="30">
        <v>31416</v>
      </c>
      <c r="J390" s="30">
        <v>31523</v>
      </c>
      <c r="K390" s="30">
        <v>31882</v>
      </c>
      <c r="L390" s="30">
        <v>32050</v>
      </c>
      <c r="M390" s="30">
        <v>32413</v>
      </c>
      <c r="N390" s="30">
        <v>33739</v>
      </c>
      <c r="O390" s="24" t="str">
        <f t="shared" si="11"/>
        <v>Wakulla County, Florida</v>
      </c>
    </row>
    <row r="391" spans="1:15" x14ac:dyDescent="0.25">
      <c r="A391" s="35" t="s">
        <v>867</v>
      </c>
      <c r="B391" s="28" t="str">
        <f t="shared" ref="B391:B454" si="12">LEFT(A391,FIND("County",A391,1)-2)</f>
        <v>Walton</v>
      </c>
      <c r="C391" s="30">
        <v>55043</v>
      </c>
      <c r="D391" s="30">
        <v>55046</v>
      </c>
      <c r="E391" s="30">
        <v>55217</v>
      </c>
      <c r="F391" s="30">
        <v>55602</v>
      </c>
      <c r="G391" s="30">
        <v>57190</v>
      </c>
      <c r="H391" s="30">
        <v>59193</v>
      </c>
      <c r="I391" s="30">
        <v>61186</v>
      </c>
      <c r="J391" s="30">
        <v>63066</v>
      </c>
      <c r="K391" s="30">
        <v>65421</v>
      </c>
      <c r="L391" s="30">
        <v>68021</v>
      </c>
      <c r="M391" s="30">
        <v>70732</v>
      </c>
      <c r="N391" s="30">
        <v>74071</v>
      </c>
      <c r="O391" s="24" t="str">
        <f t="shared" ref="O391:O454" si="13">A391</f>
        <v>Walton County, Florida</v>
      </c>
    </row>
    <row r="392" spans="1:15" x14ac:dyDescent="0.25">
      <c r="A392" s="35" t="s">
        <v>868</v>
      </c>
      <c r="B392" s="28" t="str">
        <f t="shared" si="12"/>
        <v>Washington</v>
      </c>
      <c r="C392" s="30">
        <v>24896</v>
      </c>
      <c r="D392" s="30">
        <v>24896</v>
      </c>
      <c r="E392" s="30">
        <v>24720</v>
      </c>
      <c r="F392" s="30">
        <v>24510</v>
      </c>
      <c r="G392" s="30">
        <v>24741</v>
      </c>
      <c r="H392" s="30">
        <v>24504</v>
      </c>
      <c r="I392" s="30">
        <v>24299</v>
      </c>
      <c r="J392" s="30">
        <v>24552</v>
      </c>
      <c r="K392" s="30">
        <v>24454</v>
      </c>
      <c r="L392" s="30">
        <v>24546</v>
      </c>
      <c r="M392" s="30">
        <v>24793</v>
      </c>
      <c r="N392" s="30">
        <v>25473</v>
      </c>
      <c r="O392" s="24" t="str">
        <f t="shared" si="13"/>
        <v>Washington County, Florida</v>
      </c>
    </row>
    <row r="393" spans="1:15" x14ac:dyDescent="0.25">
      <c r="A393" s="35" t="s">
        <v>869</v>
      </c>
      <c r="B393" s="28" t="str">
        <f t="shared" si="12"/>
        <v>Appling</v>
      </c>
      <c r="C393" s="30">
        <v>18236</v>
      </c>
      <c r="D393" s="30">
        <v>18238</v>
      </c>
      <c r="E393" s="30">
        <v>18334</v>
      </c>
      <c r="F393" s="30">
        <v>18459</v>
      </c>
      <c r="G393" s="30">
        <v>18385</v>
      </c>
      <c r="H393" s="30">
        <v>18370</v>
      </c>
      <c r="I393" s="30">
        <v>18472</v>
      </c>
      <c r="J393" s="30">
        <v>18423</v>
      </c>
      <c r="K393" s="30">
        <v>18428</v>
      </c>
      <c r="L393" s="30">
        <v>18438</v>
      </c>
      <c r="M393" s="30">
        <v>18526</v>
      </c>
      <c r="N393" s="30">
        <v>18386</v>
      </c>
      <c r="O393" s="24" t="str">
        <f t="shared" si="13"/>
        <v>Appling County, Georgia</v>
      </c>
    </row>
    <row r="394" spans="1:15" x14ac:dyDescent="0.25">
      <c r="A394" s="35" t="s">
        <v>870</v>
      </c>
      <c r="B394" s="28" t="str">
        <f t="shared" si="12"/>
        <v>Atkinson</v>
      </c>
      <c r="C394" s="30">
        <v>8375</v>
      </c>
      <c r="D394" s="30">
        <v>8380</v>
      </c>
      <c r="E394" s="30">
        <v>8364</v>
      </c>
      <c r="F394" s="30">
        <v>8360</v>
      </c>
      <c r="G394" s="30">
        <v>8255</v>
      </c>
      <c r="H394" s="30">
        <v>8264</v>
      </c>
      <c r="I394" s="30">
        <v>8215</v>
      </c>
      <c r="J394" s="30">
        <v>8340</v>
      </c>
      <c r="K394" s="30">
        <v>8244</v>
      </c>
      <c r="L394" s="30">
        <v>8182</v>
      </c>
      <c r="M394" s="30">
        <v>8262</v>
      </c>
      <c r="N394" s="30">
        <v>8165</v>
      </c>
      <c r="O394" s="24" t="str">
        <f t="shared" si="13"/>
        <v>Atkinson County, Georgia</v>
      </c>
    </row>
    <row r="395" spans="1:15" x14ac:dyDescent="0.25">
      <c r="A395" s="35" t="s">
        <v>871</v>
      </c>
      <c r="B395" s="28" t="str">
        <f t="shared" si="12"/>
        <v>Bacon</v>
      </c>
      <c r="C395" s="30">
        <v>11096</v>
      </c>
      <c r="D395" s="30">
        <v>11097</v>
      </c>
      <c r="E395" s="30">
        <v>11062</v>
      </c>
      <c r="F395" s="30">
        <v>11145</v>
      </c>
      <c r="G395" s="30">
        <v>11150</v>
      </c>
      <c r="H395" s="30">
        <v>11173</v>
      </c>
      <c r="I395" s="30">
        <v>11178</v>
      </c>
      <c r="J395" s="30">
        <v>11231</v>
      </c>
      <c r="K395" s="30">
        <v>11275</v>
      </c>
      <c r="L395" s="30">
        <v>11205</v>
      </c>
      <c r="M395" s="30">
        <v>11132</v>
      </c>
      <c r="N395" s="30">
        <v>11164</v>
      </c>
      <c r="O395" s="24" t="str">
        <f t="shared" si="13"/>
        <v>Bacon County, Georgia</v>
      </c>
    </row>
    <row r="396" spans="1:15" x14ac:dyDescent="0.25">
      <c r="A396" s="35" t="s">
        <v>872</v>
      </c>
      <c r="B396" s="28" t="str">
        <f t="shared" si="12"/>
        <v>Baker</v>
      </c>
      <c r="C396" s="30">
        <v>3451</v>
      </c>
      <c r="D396" s="30">
        <v>3447</v>
      </c>
      <c r="E396" s="30">
        <v>3431</v>
      </c>
      <c r="F396" s="30">
        <v>3311</v>
      </c>
      <c r="G396" s="30">
        <v>3372</v>
      </c>
      <c r="H396" s="30">
        <v>3348</v>
      </c>
      <c r="I396" s="30">
        <v>3288</v>
      </c>
      <c r="J396" s="30">
        <v>3194</v>
      </c>
      <c r="K396" s="30">
        <v>3183</v>
      </c>
      <c r="L396" s="30">
        <v>3159</v>
      </c>
      <c r="M396" s="30">
        <v>3086</v>
      </c>
      <c r="N396" s="30">
        <v>3038</v>
      </c>
      <c r="O396" s="24" t="str">
        <f t="shared" si="13"/>
        <v>Baker County, Georgia</v>
      </c>
    </row>
    <row r="397" spans="1:15" x14ac:dyDescent="0.25">
      <c r="A397" s="35" t="s">
        <v>873</v>
      </c>
      <c r="B397" s="28" t="str">
        <f t="shared" si="12"/>
        <v>Baldwin</v>
      </c>
      <c r="C397" s="30">
        <v>45720</v>
      </c>
      <c r="D397" s="30">
        <v>45840</v>
      </c>
      <c r="E397" s="30">
        <v>45704</v>
      </c>
      <c r="F397" s="30">
        <v>45175</v>
      </c>
      <c r="G397" s="30">
        <v>46510</v>
      </c>
      <c r="H397" s="30">
        <v>46178</v>
      </c>
      <c r="I397" s="30">
        <v>45910</v>
      </c>
      <c r="J397" s="30">
        <v>45549</v>
      </c>
      <c r="K397" s="30">
        <v>45259</v>
      </c>
      <c r="L397" s="30">
        <v>44963</v>
      </c>
      <c r="M397" s="30">
        <v>44893</v>
      </c>
      <c r="N397" s="30">
        <v>44890</v>
      </c>
      <c r="O397" s="24" t="str">
        <f t="shared" si="13"/>
        <v>Baldwin County, Georgia</v>
      </c>
    </row>
    <row r="398" spans="1:15" x14ac:dyDescent="0.25">
      <c r="A398" s="35" t="s">
        <v>874</v>
      </c>
      <c r="B398" s="28" t="str">
        <f t="shared" si="12"/>
        <v>Banks</v>
      </c>
      <c r="C398" s="30">
        <v>18395</v>
      </c>
      <c r="D398" s="30">
        <v>18379</v>
      </c>
      <c r="E398" s="30">
        <v>18410</v>
      </c>
      <c r="F398" s="30">
        <v>18249</v>
      </c>
      <c r="G398" s="30">
        <v>18131</v>
      </c>
      <c r="H398" s="30">
        <v>18221</v>
      </c>
      <c r="I398" s="30">
        <v>18226</v>
      </c>
      <c r="J398" s="30">
        <v>18381</v>
      </c>
      <c r="K398" s="30">
        <v>18325</v>
      </c>
      <c r="L398" s="30">
        <v>18628</v>
      </c>
      <c r="M398" s="30">
        <v>18972</v>
      </c>
      <c r="N398" s="30">
        <v>19234</v>
      </c>
      <c r="O398" s="24" t="str">
        <f t="shared" si="13"/>
        <v>Banks County, Georgia</v>
      </c>
    </row>
    <row r="399" spans="1:15" x14ac:dyDescent="0.25">
      <c r="A399" s="35" t="s">
        <v>875</v>
      </c>
      <c r="B399" s="28" t="str">
        <f t="shared" si="12"/>
        <v>Barrow</v>
      </c>
      <c r="C399" s="30">
        <v>69367</v>
      </c>
      <c r="D399" s="30">
        <v>69356</v>
      </c>
      <c r="E399" s="30">
        <v>69676</v>
      </c>
      <c r="F399" s="30">
        <v>69844</v>
      </c>
      <c r="G399" s="30">
        <v>70135</v>
      </c>
      <c r="H399" s="30">
        <v>71239</v>
      </c>
      <c r="I399" s="30">
        <v>72849</v>
      </c>
      <c r="J399" s="30">
        <v>74979</v>
      </c>
      <c r="K399" s="30">
        <v>77000</v>
      </c>
      <c r="L399" s="30">
        <v>78899</v>
      </c>
      <c r="M399" s="30">
        <v>80834</v>
      </c>
      <c r="N399" s="30">
        <v>83240</v>
      </c>
      <c r="O399" s="24" t="str">
        <f t="shared" si="13"/>
        <v>Barrow County, Georgia</v>
      </c>
    </row>
    <row r="400" spans="1:15" x14ac:dyDescent="0.25">
      <c r="A400" s="35" t="s">
        <v>876</v>
      </c>
      <c r="B400" s="28" t="str">
        <f t="shared" si="12"/>
        <v>Bartow</v>
      </c>
      <c r="C400" s="30">
        <v>100157</v>
      </c>
      <c r="D400" s="30">
        <v>100092</v>
      </c>
      <c r="E400" s="30">
        <v>100050</v>
      </c>
      <c r="F400" s="30">
        <v>100116</v>
      </c>
      <c r="G400" s="30">
        <v>100240</v>
      </c>
      <c r="H400" s="30">
        <v>100917</v>
      </c>
      <c r="I400" s="30">
        <v>101233</v>
      </c>
      <c r="J400" s="30">
        <v>102043</v>
      </c>
      <c r="K400" s="30">
        <v>103338</v>
      </c>
      <c r="L400" s="30">
        <v>105098</v>
      </c>
      <c r="M400" s="30">
        <v>106378</v>
      </c>
      <c r="N400" s="30">
        <v>107738</v>
      </c>
      <c r="O400" s="24" t="str">
        <f t="shared" si="13"/>
        <v>Bartow County, Georgia</v>
      </c>
    </row>
    <row r="401" spans="1:15" x14ac:dyDescent="0.25">
      <c r="A401" s="35" t="s">
        <v>877</v>
      </c>
      <c r="B401" s="28" t="str">
        <f t="shared" si="12"/>
        <v>Ben Hill</v>
      </c>
      <c r="C401" s="30">
        <v>17634</v>
      </c>
      <c r="D401" s="30">
        <v>17660</v>
      </c>
      <c r="E401" s="30">
        <v>17645</v>
      </c>
      <c r="F401" s="30">
        <v>17591</v>
      </c>
      <c r="G401" s="30">
        <v>17601</v>
      </c>
      <c r="H401" s="30">
        <v>17450</v>
      </c>
      <c r="I401" s="30">
        <v>17449</v>
      </c>
      <c r="J401" s="30">
        <v>17357</v>
      </c>
      <c r="K401" s="30">
        <v>17251</v>
      </c>
      <c r="L401" s="30">
        <v>17037</v>
      </c>
      <c r="M401" s="30">
        <v>16822</v>
      </c>
      <c r="N401" s="30">
        <v>16700</v>
      </c>
      <c r="O401" s="24" t="str">
        <f t="shared" si="13"/>
        <v>Ben Hill County, Georgia</v>
      </c>
    </row>
    <row r="402" spans="1:15" x14ac:dyDescent="0.25">
      <c r="A402" s="35" t="s">
        <v>878</v>
      </c>
      <c r="B402" s="28" t="str">
        <f t="shared" si="12"/>
        <v>Berrien</v>
      </c>
      <c r="C402" s="30">
        <v>19286</v>
      </c>
      <c r="D402" s="30">
        <v>19293</v>
      </c>
      <c r="E402" s="30">
        <v>19361</v>
      </c>
      <c r="F402" s="30">
        <v>19378</v>
      </c>
      <c r="G402" s="30">
        <v>19160</v>
      </c>
      <c r="H402" s="30">
        <v>19059</v>
      </c>
      <c r="I402" s="30">
        <v>18813</v>
      </c>
      <c r="J402" s="30">
        <v>18991</v>
      </c>
      <c r="K402" s="30">
        <v>18996</v>
      </c>
      <c r="L402" s="30">
        <v>19108</v>
      </c>
      <c r="M402" s="30">
        <v>19266</v>
      </c>
      <c r="N402" s="30">
        <v>19397</v>
      </c>
      <c r="O402" s="24" t="str">
        <f t="shared" si="13"/>
        <v>Berrien County, Georgia</v>
      </c>
    </row>
    <row r="403" spans="1:15" x14ac:dyDescent="0.25">
      <c r="A403" s="35" t="s">
        <v>879</v>
      </c>
      <c r="B403" s="28" t="str">
        <f t="shared" si="12"/>
        <v>Bibb</v>
      </c>
      <c r="C403" s="30">
        <v>155547</v>
      </c>
      <c r="D403" s="30">
        <v>155783</v>
      </c>
      <c r="E403" s="30">
        <v>155814</v>
      </c>
      <c r="F403" s="30">
        <v>156211</v>
      </c>
      <c r="G403" s="30">
        <v>156606</v>
      </c>
      <c r="H403" s="30">
        <v>155031</v>
      </c>
      <c r="I403" s="30">
        <v>154329</v>
      </c>
      <c r="J403" s="30">
        <v>153945</v>
      </c>
      <c r="K403" s="30">
        <v>153152</v>
      </c>
      <c r="L403" s="30">
        <v>152840</v>
      </c>
      <c r="M403" s="30">
        <v>152903</v>
      </c>
      <c r="N403" s="30">
        <v>153159</v>
      </c>
      <c r="O403" s="24" t="str">
        <f t="shared" si="13"/>
        <v>Bibb County, Georgia</v>
      </c>
    </row>
    <row r="404" spans="1:15" x14ac:dyDescent="0.25">
      <c r="A404" s="35" t="s">
        <v>880</v>
      </c>
      <c r="B404" s="28" t="str">
        <f t="shared" si="12"/>
        <v>Bleckley</v>
      </c>
      <c r="C404" s="30">
        <v>13063</v>
      </c>
      <c r="D404" s="30">
        <v>13064</v>
      </c>
      <c r="E404" s="30">
        <v>13036</v>
      </c>
      <c r="F404" s="30">
        <v>13082</v>
      </c>
      <c r="G404" s="30">
        <v>12890</v>
      </c>
      <c r="H404" s="30">
        <v>12744</v>
      </c>
      <c r="I404" s="30">
        <v>12713</v>
      </c>
      <c r="J404" s="30">
        <v>12714</v>
      </c>
      <c r="K404" s="30">
        <v>12864</v>
      </c>
      <c r="L404" s="30">
        <v>12764</v>
      </c>
      <c r="M404" s="30">
        <v>12821</v>
      </c>
      <c r="N404" s="30">
        <v>12873</v>
      </c>
      <c r="O404" s="24" t="str">
        <f t="shared" si="13"/>
        <v>Bleckley County, Georgia</v>
      </c>
    </row>
    <row r="405" spans="1:15" x14ac:dyDescent="0.25">
      <c r="A405" s="35" t="s">
        <v>881</v>
      </c>
      <c r="B405" s="28" t="str">
        <f t="shared" si="12"/>
        <v>Brantley</v>
      </c>
      <c r="C405" s="30">
        <v>18411</v>
      </c>
      <c r="D405" s="30">
        <v>18428</v>
      </c>
      <c r="E405" s="30">
        <v>18479</v>
      </c>
      <c r="F405" s="30">
        <v>18561</v>
      </c>
      <c r="G405" s="30">
        <v>18532</v>
      </c>
      <c r="H405" s="30">
        <v>18257</v>
      </c>
      <c r="I405" s="30">
        <v>18366</v>
      </c>
      <c r="J405" s="30">
        <v>18437</v>
      </c>
      <c r="K405" s="30">
        <v>18415</v>
      </c>
      <c r="L405" s="30">
        <v>18832</v>
      </c>
      <c r="M405" s="30">
        <v>18985</v>
      </c>
      <c r="N405" s="30">
        <v>19109</v>
      </c>
      <c r="O405" s="24" t="str">
        <f t="shared" si="13"/>
        <v>Brantley County, Georgia</v>
      </c>
    </row>
    <row r="406" spans="1:15" x14ac:dyDescent="0.25">
      <c r="A406" s="35" t="s">
        <v>882</v>
      </c>
      <c r="B406" s="28" t="str">
        <f t="shared" si="12"/>
        <v>Brooks</v>
      </c>
      <c r="C406" s="30">
        <v>16243</v>
      </c>
      <c r="D406" s="30">
        <v>16314</v>
      </c>
      <c r="E406" s="30">
        <v>16246</v>
      </c>
      <c r="F406" s="30">
        <v>15982</v>
      </c>
      <c r="G406" s="30">
        <v>15617</v>
      </c>
      <c r="H406" s="30">
        <v>15649</v>
      </c>
      <c r="I406" s="30">
        <v>15526</v>
      </c>
      <c r="J406" s="30">
        <v>15670</v>
      </c>
      <c r="K406" s="30">
        <v>15725</v>
      </c>
      <c r="L406" s="30">
        <v>15617</v>
      </c>
      <c r="M406" s="30">
        <v>15479</v>
      </c>
      <c r="N406" s="30">
        <v>15457</v>
      </c>
      <c r="O406" s="24" t="str">
        <f t="shared" si="13"/>
        <v>Brooks County, Georgia</v>
      </c>
    </row>
    <row r="407" spans="1:15" x14ac:dyDescent="0.25">
      <c r="A407" s="35" t="s">
        <v>883</v>
      </c>
      <c r="B407" s="28" t="str">
        <f t="shared" si="12"/>
        <v>Bryan</v>
      </c>
      <c r="C407" s="30">
        <v>30233</v>
      </c>
      <c r="D407" s="30">
        <v>30215</v>
      </c>
      <c r="E407" s="30">
        <v>30377</v>
      </c>
      <c r="F407" s="30">
        <v>31267</v>
      </c>
      <c r="G407" s="30">
        <v>32251</v>
      </c>
      <c r="H407" s="30">
        <v>33034</v>
      </c>
      <c r="I407" s="30">
        <v>33664</v>
      </c>
      <c r="J407" s="30">
        <v>34792</v>
      </c>
      <c r="K407" s="30">
        <v>35839</v>
      </c>
      <c r="L407" s="30">
        <v>36999</v>
      </c>
      <c r="M407" s="30">
        <v>38059</v>
      </c>
      <c r="N407" s="30">
        <v>39627</v>
      </c>
      <c r="O407" s="24" t="str">
        <f t="shared" si="13"/>
        <v>Bryan County, Georgia</v>
      </c>
    </row>
    <row r="408" spans="1:15" x14ac:dyDescent="0.25">
      <c r="A408" s="35" t="s">
        <v>884</v>
      </c>
      <c r="B408" s="28" t="str">
        <f t="shared" si="12"/>
        <v>Bulloch</v>
      </c>
      <c r="C408" s="30">
        <v>70217</v>
      </c>
      <c r="D408" s="30">
        <v>70243</v>
      </c>
      <c r="E408" s="30">
        <v>70559</v>
      </c>
      <c r="F408" s="30">
        <v>72637</v>
      </c>
      <c r="G408" s="30">
        <v>73102</v>
      </c>
      <c r="H408" s="30">
        <v>71816</v>
      </c>
      <c r="I408" s="30">
        <v>72651</v>
      </c>
      <c r="J408" s="30">
        <v>73116</v>
      </c>
      <c r="K408" s="30">
        <v>74642</v>
      </c>
      <c r="L408" s="30">
        <v>75991</v>
      </c>
      <c r="M408" s="30">
        <v>77242</v>
      </c>
      <c r="N408" s="30">
        <v>79608</v>
      </c>
      <c r="O408" s="24" t="str">
        <f t="shared" si="13"/>
        <v>Bulloch County, Georgia</v>
      </c>
    </row>
    <row r="409" spans="1:15" x14ac:dyDescent="0.25">
      <c r="A409" s="35" t="s">
        <v>885</v>
      </c>
      <c r="B409" s="28" t="str">
        <f t="shared" si="12"/>
        <v>Burke</v>
      </c>
      <c r="C409" s="30">
        <v>23316</v>
      </c>
      <c r="D409" s="30">
        <v>23326</v>
      </c>
      <c r="E409" s="30">
        <v>23336</v>
      </c>
      <c r="F409" s="30">
        <v>23506</v>
      </c>
      <c r="G409" s="30">
        <v>23048</v>
      </c>
      <c r="H409" s="30">
        <v>22824</v>
      </c>
      <c r="I409" s="30">
        <v>22621</v>
      </c>
      <c r="J409" s="30">
        <v>22632</v>
      </c>
      <c r="K409" s="30">
        <v>22601</v>
      </c>
      <c r="L409" s="30">
        <v>22545</v>
      </c>
      <c r="M409" s="30">
        <v>22439</v>
      </c>
      <c r="N409" s="30">
        <v>22383</v>
      </c>
      <c r="O409" s="24" t="str">
        <f t="shared" si="13"/>
        <v>Burke County, Georgia</v>
      </c>
    </row>
    <row r="410" spans="1:15" x14ac:dyDescent="0.25">
      <c r="A410" s="35" t="s">
        <v>886</v>
      </c>
      <c r="B410" s="28" t="str">
        <f t="shared" si="12"/>
        <v>Butts</v>
      </c>
      <c r="C410" s="30">
        <v>23655</v>
      </c>
      <c r="D410" s="30">
        <v>23695</v>
      </c>
      <c r="E410" s="30">
        <v>23786</v>
      </c>
      <c r="F410" s="30">
        <v>23609</v>
      </c>
      <c r="G410" s="30">
        <v>23438</v>
      </c>
      <c r="H410" s="30">
        <v>23218</v>
      </c>
      <c r="I410" s="30">
        <v>23341</v>
      </c>
      <c r="J410" s="30">
        <v>23520</v>
      </c>
      <c r="K410" s="30">
        <v>23736</v>
      </c>
      <c r="L410" s="30">
        <v>24067</v>
      </c>
      <c r="M410" s="30">
        <v>24192</v>
      </c>
      <c r="N410" s="30">
        <v>24936</v>
      </c>
      <c r="O410" s="24" t="str">
        <f t="shared" si="13"/>
        <v>Butts County, Georgia</v>
      </c>
    </row>
    <row r="411" spans="1:15" x14ac:dyDescent="0.25">
      <c r="A411" s="35" t="s">
        <v>887</v>
      </c>
      <c r="B411" s="28" t="str">
        <f t="shared" si="12"/>
        <v>Calhoun</v>
      </c>
      <c r="C411" s="30">
        <v>6694</v>
      </c>
      <c r="D411" s="30">
        <v>6697</v>
      </c>
      <c r="E411" s="30">
        <v>6697</v>
      </c>
      <c r="F411" s="30">
        <v>6625</v>
      </c>
      <c r="G411" s="30">
        <v>6565</v>
      </c>
      <c r="H411" s="30">
        <v>6596</v>
      </c>
      <c r="I411" s="30">
        <v>6506</v>
      </c>
      <c r="J411" s="30">
        <v>6534</v>
      </c>
      <c r="K411" s="30">
        <v>6359</v>
      </c>
      <c r="L411" s="30">
        <v>6389</v>
      </c>
      <c r="M411" s="30">
        <v>6353</v>
      </c>
      <c r="N411" s="30">
        <v>6189</v>
      </c>
      <c r="O411" s="24" t="str">
        <f t="shared" si="13"/>
        <v>Calhoun County, Georgia</v>
      </c>
    </row>
    <row r="412" spans="1:15" x14ac:dyDescent="0.25">
      <c r="A412" s="35" t="s">
        <v>888</v>
      </c>
      <c r="B412" s="28" t="str">
        <f t="shared" si="12"/>
        <v>Camden</v>
      </c>
      <c r="C412" s="30">
        <v>50513</v>
      </c>
      <c r="D412" s="30">
        <v>50512</v>
      </c>
      <c r="E412" s="30">
        <v>50661</v>
      </c>
      <c r="F412" s="30">
        <v>50303</v>
      </c>
      <c r="G412" s="30">
        <v>51351</v>
      </c>
      <c r="H412" s="30">
        <v>51404</v>
      </c>
      <c r="I412" s="30">
        <v>51909</v>
      </c>
      <c r="J412" s="30">
        <v>52439</v>
      </c>
      <c r="K412" s="30">
        <v>52394</v>
      </c>
      <c r="L412" s="30">
        <v>53005</v>
      </c>
      <c r="M412" s="30">
        <v>53651</v>
      </c>
      <c r="N412" s="30">
        <v>54666</v>
      </c>
      <c r="O412" s="24" t="str">
        <f t="shared" si="13"/>
        <v>Camden County, Georgia</v>
      </c>
    </row>
    <row r="413" spans="1:15" x14ac:dyDescent="0.25">
      <c r="A413" s="35" t="s">
        <v>889</v>
      </c>
      <c r="B413" s="28" t="str">
        <f t="shared" si="12"/>
        <v>Candler</v>
      </c>
      <c r="C413" s="30">
        <v>10998</v>
      </c>
      <c r="D413" s="30">
        <v>10999</v>
      </c>
      <c r="E413" s="30">
        <v>11025</v>
      </c>
      <c r="F413" s="30">
        <v>11209</v>
      </c>
      <c r="G413" s="30">
        <v>11102</v>
      </c>
      <c r="H413" s="30">
        <v>10960</v>
      </c>
      <c r="I413" s="30">
        <v>10865</v>
      </c>
      <c r="J413" s="30">
        <v>10873</v>
      </c>
      <c r="K413" s="30">
        <v>10849</v>
      </c>
      <c r="L413" s="30">
        <v>10706</v>
      </c>
      <c r="M413" s="30">
        <v>10827</v>
      </c>
      <c r="N413" s="30">
        <v>10803</v>
      </c>
      <c r="O413" s="24" t="str">
        <f t="shared" si="13"/>
        <v>Candler County, Georgia</v>
      </c>
    </row>
    <row r="414" spans="1:15" x14ac:dyDescent="0.25">
      <c r="A414" s="35" t="s">
        <v>890</v>
      </c>
      <c r="B414" s="28" t="str">
        <f t="shared" si="12"/>
        <v>Carroll</v>
      </c>
      <c r="C414" s="30">
        <v>110527</v>
      </c>
      <c r="D414" s="30">
        <v>110570</v>
      </c>
      <c r="E414" s="30">
        <v>110655</v>
      </c>
      <c r="F414" s="30">
        <v>110728</v>
      </c>
      <c r="G414" s="30">
        <v>111412</v>
      </c>
      <c r="H414" s="30">
        <v>112265</v>
      </c>
      <c r="I414" s="30">
        <v>113933</v>
      </c>
      <c r="J414" s="30">
        <v>114461</v>
      </c>
      <c r="K414" s="30">
        <v>116077</v>
      </c>
      <c r="L414" s="30">
        <v>117390</v>
      </c>
      <c r="M414" s="30">
        <v>117997</v>
      </c>
      <c r="N414" s="30">
        <v>119992</v>
      </c>
      <c r="O414" s="24" t="str">
        <f t="shared" si="13"/>
        <v>Carroll County, Georgia</v>
      </c>
    </row>
    <row r="415" spans="1:15" x14ac:dyDescent="0.25">
      <c r="A415" s="35" t="s">
        <v>891</v>
      </c>
      <c r="B415" s="28" t="str">
        <f t="shared" si="12"/>
        <v>Catoosa</v>
      </c>
      <c r="C415" s="30">
        <v>63942</v>
      </c>
      <c r="D415" s="30">
        <v>63925</v>
      </c>
      <c r="E415" s="30">
        <v>64069</v>
      </c>
      <c r="F415" s="30">
        <v>64753</v>
      </c>
      <c r="G415" s="30">
        <v>64864</v>
      </c>
      <c r="H415" s="30">
        <v>65221</v>
      </c>
      <c r="I415" s="30">
        <v>65467</v>
      </c>
      <c r="J415" s="30">
        <v>65778</v>
      </c>
      <c r="K415" s="30">
        <v>66265</v>
      </c>
      <c r="L415" s="30">
        <v>66495</v>
      </c>
      <c r="M415" s="30">
        <v>67380</v>
      </c>
      <c r="N415" s="30">
        <v>67580</v>
      </c>
      <c r="O415" s="24" t="str">
        <f t="shared" si="13"/>
        <v>Catoosa County, Georgia</v>
      </c>
    </row>
    <row r="416" spans="1:15" x14ac:dyDescent="0.25">
      <c r="A416" s="35" t="s">
        <v>892</v>
      </c>
      <c r="B416" s="28" t="str">
        <f t="shared" si="12"/>
        <v>Charlton</v>
      </c>
      <c r="C416" s="30">
        <v>12171</v>
      </c>
      <c r="D416" s="30">
        <v>12171</v>
      </c>
      <c r="E416" s="30">
        <v>12853</v>
      </c>
      <c r="F416" s="30">
        <v>13455</v>
      </c>
      <c r="G416" s="30">
        <v>13348</v>
      </c>
      <c r="H416" s="30">
        <v>13107</v>
      </c>
      <c r="I416" s="30">
        <v>13051</v>
      </c>
      <c r="J416" s="30">
        <v>13239</v>
      </c>
      <c r="K416" s="30">
        <v>12842</v>
      </c>
      <c r="L416" s="30">
        <v>12810</v>
      </c>
      <c r="M416" s="30">
        <v>12919</v>
      </c>
      <c r="N416" s="30">
        <v>13392</v>
      </c>
      <c r="O416" s="24" t="str">
        <f t="shared" si="13"/>
        <v>Charlton County, Georgia</v>
      </c>
    </row>
    <row r="417" spans="1:15" x14ac:dyDescent="0.25">
      <c r="A417" s="35" t="s">
        <v>893</v>
      </c>
      <c r="B417" s="28" t="str">
        <f t="shared" si="12"/>
        <v>Chatham</v>
      </c>
      <c r="C417" s="30">
        <v>265128</v>
      </c>
      <c r="D417" s="30">
        <v>265127</v>
      </c>
      <c r="E417" s="30">
        <v>265799</v>
      </c>
      <c r="F417" s="30">
        <v>271623</v>
      </c>
      <c r="G417" s="30">
        <v>276164</v>
      </c>
      <c r="H417" s="30">
        <v>277650</v>
      </c>
      <c r="I417" s="30">
        <v>282201</v>
      </c>
      <c r="J417" s="30">
        <v>285959</v>
      </c>
      <c r="K417" s="30">
        <v>288615</v>
      </c>
      <c r="L417" s="30">
        <v>289309</v>
      </c>
      <c r="M417" s="30">
        <v>289166</v>
      </c>
      <c r="N417" s="30">
        <v>289430</v>
      </c>
      <c r="O417" s="24" t="str">
        <f t="shared" si="13"/>
        <v>Chatham County, Georgia</v>
      </c>
    </row>
    <row r="418" spans="1:15" x14ac:dyDescent="0.25">
      <c r="A418" s="35" t="s">
        <v>894</v>
      </c>
      <c r="B418" s="28" t="str">
        <f t="shared" si="12"/>
        <v>Chattahoochee</v>
      </c>
      <c r="C418" s="30">
        <v>11267</v>
      </c>
      <c r="D418" s="30">
        <v>11263</v>
      </c>
      <c r="E418" s="30">
        <v>11182</v>
      </c>
      <c r="F418" s="30">
        <v>11257</v>
      </c>
      <c r="G418" s="30">
        <v>12265</v>
      </c>
      <c r="H418" s="30">
        <v>12245</v>
      </c>
      <c r="I418" s="30">
        <v>11696</v>
      </c>
      <c r="J418" s="30">
        <v>11042</v>
      </c>
      <c r="K418" s="30">
        <v>10047</v>
      </c>
      <c r="L418" s="30">
        <v>10205</v>
      </c>
      <c r="M418" s="30">
        <v>10600</v>
      </c>
      <c r="N418" s="30">
        <v>10907</v>
      </c>
      <c r="O418" s="24" t="str">
        <f t="shared" si="13"/>
        <v>Chattahoochee County, Georgia</v>
      </c>
    </row>
    <row r="419" spans="1:15" x14ac:dyDescent="0.25">
      <c r="A419" s="35" t="s">
        <v>895</v>
      </c>
      <c r="B419" s="28" t="str">
        <f t="shared" si="12"/>
        <v>Chattooga</v>
      </c>
      <c r="C419" s="30">
        <v>26015</v>
      </c>
      <c r="D419" s="30">
        <v>26022</v>
      </c>
      <c r="E419" s="30">
        <v>25959</v>
      </c>
      <c r="F419" s="30">
        <v>25685</v>
      </c>
      <c r="G419" s="30">
        <v>25627</v>
      </c>
      <c r="H419" s="30">
        <v>25049</v>
      </c>
      <c r="I419" s="30">
        <v>24861</v>
      </c>
      <c r="J419" s="30">
        <v>24905</v>
      </c>
      <c r="K419" s="30">
        <v>24836</v>
      </c>
      <c r="L419" s="30">
        <v>24746</v>
      </c>
      <c r="M419" s="30">
        <v>24782</v>
      </c>
      <c r="N419" s="30">
        <v>24789</v>
      </c>
      <c r="O419" s="24" t="str">
        <f t="shared" si="13"/>
        <v>Chattooga County, Georgia</v>
      </c>
    </row>
    <row r="420" spans="1:15" x14ac:dyDescent="0.25">
      <c r="A420" s="35" t="s">
        <v>896</v>
      </c>
      <c r="B420" s="28" t="str">
        <f t="shared" si="12"/>
        <v>Cherokee</v>
      </c>
      <c r="C420" s="30">
        <v>214346</v>
      </c>
      <c r="D420" s="30">
        <v>214381</v>
      </c>
      <c r="E420" s="30">
        <v>215197</v>
      </c>
      <c r="F420" s="30">
        <v>217732</v>
      </c>
      <c r="G420" s="30">
        <v>220643</v>
      </c>
      <c r="H420" s="30">
        <v>224314</v>
      </c>
      <c r="I420" s="30">
        <v>230167</v>
      </c>
      <c r="J420" s="30">
        <v>235329</v>
      </c>
      <c r="K420" s="30">
        <v>241795</v>
      </c>
      <c r="L420" s="30">
        <v>247763</v>
      </c>
      <c r="M420" s="30">
        <v>253914</v>
      </c>
      <c r="N420" s="30">
        <v>258773</v>
      </c>
      <c r="O420" s="24" t="str">
        <f t="shared" si="13"/>
        <v>Cherokee County, Georgia</v>
      </c>
    </row>
    <row r="421" spans="1:15" x14ac:dyDescent="0.25">
      <c r="A421" s="35" t="s">
        <v>897</v>
      </c>
      <c r="B421" s="28" t="str">
        <f t="shared" si="12"/>
        <v>Clarke</v>
      </c>
      <c r="C421" s="30">
        <v>116714</v>
      </c>
      <c r="D421" s="30">
        <v>116688</v>
      </c>
      <c r="E421" s="30">
        <v>117403</v>
      </c>
      <c r="F421" s="30">
        <v>118229</v>
      </c>
      <c r="G421" s="30">
        <v>119891</v>
      </c>
      <c r="H421" s="30">
        <v>120888</v>
      </c>
      <c r="I421" s="30">
        <v>120386</v>
      </c>
      <c r="J421" s="30">
        <v>123561</v>
      </c>
      <c r="K421" s="30">
        <v>124905</v>
      </c>
      <c r="L421" s="30">
        <v>126815</v>
      </c>
      <c r="M421" s="30">
        <v>127268</v>
      </c>
      <c r="N421" s="30">
        <v>128331</v>
      </c>
      <c r="O421" s="24" t="str">
        <f t="shared" si="13"/>
        <v>Clarke County, Georgia</v>
      </c>
    </row>
    <row r="422" spans="1:15" x14ac:dyDescent="0.25">
      <c r="A422" s="35" t="s">
        <v>898</v>
      </c>
      <c r="B422" s="28" t="str">
        <f t="shared" si="12"/>
        <v>Clay</v>
      </c>
      <c r="C422" s="30">
        <v>3183</v>
      </c>
      <c r="D422" s="30">
        <v>3186</v>
      </c>
      <c r="E422" s="30">
        <v>3177</v>
      </c>
      <c r="F422" s="30">
        <v>3162</v>
      </c>
      <c r="G422" s="30">
        <v>3106</v>
      </c>
      <c r="H422" s="30">
        <v>3015</v>
      </c>
      <c r="I422" s="30">
        <v>3072</v>
      </c>
      <c r="J422" s="30">
        <v>3077</v>
      </c>
      <c r="K422" s="30">
        <v>3005</v>
      </c>
      <c r="L422" s="30">
        <v>2955</v>
      </c>
      <c r="M422" s="30">
        <v>2884</v>
      </c>
      <c r="N422" s="30">
        <v>2834</v>
      </c>
      <c r="O422" s="24" t="str">
        <f t="shared" si="13"/>
        <v>Clay County, Georgia</v>
      </c>
    </row>
    <row r="423" spans="1:15" x14ac:dyDescent="0.25">
      <c r="A423" s="35" t="s">
        <v>899</v>
      </c>
      <c r="B423" s="28" t="str">
        <f t="shared" si="12"/>
        <v>Clayton</v>
      </c>
      <c r="C423" s="30">
        <v>259424</v>
      </c>
      <c r="D423" s="30">
        <v>259630</v>
      </c>
      <c r="E423" s="30">
        <v>259877</v>
      </c>
      <c r="F423" s="30">
        <v>262031</v>
      </c>
      <c r="G423" s="30">
        <v>265294</v>
      </c>
      <c r="H423" s="30">
        <v>264015</v>
      </c>
      <c r="I423" s="30">
        <v>266629</v>
      </c>
      <c r="J423" s="30">
        <v>272720</v>
      </c>
      <c r="K423" s="30">
        <v>279333</v>
      </c>
      <c r="L423" s="30">
        <v>284184</v>
      </c>
      <c r="M423" s="30">
        <v>289197</v>
      </c>
      <c r="N423" s="30">
        <v>292256</v>
      </c>
      <c r="O423" s="24" t="str">
        <f t="shared" si="13"/>
        <v>Clayton County, Georgia</v>
      </c>
    </row>
    <row r="424" spans="1:15" x14ac:dyDescent="0.25">
      <c r="A424" s="35" t="s">
        <v>900</v>
      </c>
      <c r="B424" s="28" t="str">
        <f t="shared" si="12"/>
        <v>Clinch</v>
      </c>
      <c r="C424" s="30">
        <v>6798</v>
      </c>
      <c r="D424" s="30">
        <v>6792</v>
      </c>
      <c r="E424" s="30">
        <v>6764</v>
      </c>
      <c r="F424" s="30">
        <v>6718</v>
      </c>
      <c r="G424" s="30">
        <v>6690</v>
      </c>
      <c r="H424" s="30">
        <v>6758</v>
      </c>
      <c r="I424" s="30">
        <v>6781</v>
      </c>
      <c r="J424" s="30">
        <v>6826</v>
      </c>
      <c r="K424" s="30">
        <v>6742</v>
      </c>
      <c r="L424" s="30">
        <v>6643</v>
      </c>
      <c r="M424" s="30">
        <v>6603</v>
      </c>
      <c r="N424" s="30">
        <v>6618</v>
      </c>
      <c r="O424" s="24" t="str">
        <f t="shared" si="13"/>
        <v>Clinch County, Georgia</v>
      </c>
    </row>
    <row r="425" spans="1:15" x14ac:dyDescent="0.25">
      <c r="A425" s="35" t="s">
        <v>901</v>
      </c>
      <c r="B425" s="28" t="str">
        <f t="shared" si="12"/>
        <v>Cobb</v>
      </c>
      <c r="C425" s="30">
        <v>688078</v>
      </c>
      <c r="D425" s="30">
        <v>688065</v>
      </c>
      <c r="E425" s="30">
        <v>689495</v>
      </c>
      <c r="F425" s="30">
        <v>696507</v>
      </c>
      <c r="G425" s="30">
        <v>706322</v>
      </c>
      <c r="H425" s="30">
        <v>716017</v>
      </c>
      <c r="I425" s="30">
        <v>727543</v>
      </c>
      <c r="J425" s="30">
        <v>739052</v>
      </c>
      <c r="K425" s="30">
        <v>748178</v>
      </c>
      <c r="L425" s="30">
        <v>752649</v>
      </c>
      <c r="M425" s="30">
        <v>756070</v>
      </c>
      <c r="N425" s="30">
        <v>760141</v>
      </c>
      <c r="O425" s="24" t="str">
        <f t="shared" si="13"/>
        <v>Cobb County, Georgia</v>
      </c>
    </row>
    <row r="426" spans="1:15" x14ac:dyDescent="0.25">
      <c r="A426" s="35" t="s">
        <v>902</v>
      </c>
      <c r="B426" s="28" t="str">
        <f t="shared" si="12"/>
        <v>Coffee</v>
      </c>
      <c r="C426" s="30">
        <v>42356</v>
      </c>
      <c r="D426" s="30">
        <v>42347</v>
      </c>
      <c r="E426" s="30">
        <v>42728</v>
      </c>
      <c r="F426" s="30">
        <v>42996</v>
      </c>
      <c r="G426" s="30">
        <v>43124</v>
      </c>
      <c r="H426" s="30">
        <v>43078</v>
      </c>
      <c r="I426" s="30">
        <v>42884</v>
      </c>
      <c r="J426" s="30">
        <v>42987</v>
      </c>
      <c r="K426" s="30">
        <v>42908</v>
      </c>
      <c r="L426" s="30">
        <v>42880</v>
      </c>
      <c r="M426" s="30">
        <v>43055</v>
      </c>
      <c r="N426" s="30">
        <v>43273</v>
      </c>
      <c r="O426" s="24" t="str">
        <f t="shared" si="13"/>
        <v>Coffee County, Georgia</v>
      </c>
    </row>
    <row r="427" spans="1:15" x14ac:dyDescent="0.25">
      <c r="A427" s="35" t="s">
        <v>903</v>
      </c>
      <c r="B427" s="28" t="str">
        <f t="shared" si="12"/>
        <v>Colquitt</v>
      </c>
      <c r="C427" s="30">
        <v>45498</v>
      </c>
      <c r="D427" s="30">
        <v>45496</v>
      </c>
      <c r="E427" s="30">
        <v>45634</v>
      </c>
      <c r="F427" s="30">
        <v>45772</v>
      </c>
      <c r="G427" s="30">
        <v>46013</v>
      </c>
      <c r="H427" s="30">
        <v>46126</v>
      </c>
      <c r="I427" s="30">
        <v>45864</v>
      </c>
      <c r="J427" s="30">
        <v>45466</v>
      </c>
      <c r="K427" s="30">
        <v>45429</v>
      </c>
      <c r="L427" s="30">
        <v>45480</v>
      </c>
      <c r="M427" s="30">
        <v>45455</v>
      </c>
      <c r="N427" s="30">
        <v>45600</v>
      </c>
      <c r="O427" s="24" t="str">
        <f t="shared" si="13"/>
        <v>Colquitt County, Georgia</v>
      </c>
    </row>
    <row r="428" spans="1:15" x14ac:dyDescent="0.25">
      <c r="A428" s="35" t="s">
        <v>904</v>
      </c>
      <c r="B428" s="28" t="str">
        <f t="shared" si="12"/>
        <v>Columbia</v>
      </c>
      <c r="C428" s="30">
        <v>124053</v>
      </c>
      <c r="D428" s="30">
        <v>124016</v>
      </c>
      <c r="E428" s="30">
        <v>124955</v>
      </c>
      <c r="F428" s="30">
        <v>128804</v>
      </c>
      <c r="G428" s="30">
        <v>132541</v>
      </c>
      <c r="H428" s="30">
        <v>136141</v>
      </c>
      <c r="I428" s="30">
        <v>139104</v>
      </c>
      <c r="J428" s="30">
        <v>143837</v>
      </c>
      <c r="K428" s="30">
        <v>147370</v>
      </c>
      <c r="L428" s="30">
        <v>151529</v>
      </c>
      <c r="M428" s="30">
        <v>154077</v>
      </c>
      <c r="N428" s="30">
        <v>156714</v>
      </c>
      <c r="O428" s="24" t="str">
        <f t="shared" si="13"/>
        <v>Columbia County, Georgia</v>
      </c>
    </row>
    <row r="429" spans="1:15" x14ac:dyDescent="0.25">
      <c r="A429" s="35" t="s">
        <v>905</v>
      </c>
      <c r="B429" s="28" t="str">
        <f t="shared" si="12"/>
        <v>Cook</v>
      </c>
      <c r="C429" s="30">
        <v>17212</v>
      </c>
      <c r="D429" s="30">
        <v>17207</v>
      </c>
      <c r="E429" s="30">
        <v>17185</v>
      </c>
      <c r="F429" s="30">
        <v>17033</v>
      </c>
      <c r="G429" s="30">
        <v>16904</v>
      </c>
      <c r="H429" s="30">
        <v>17051</v>
      </c>
      <c r="I429" s="30">
        <v>17297</v>
      </c>
      <c r="J429" s="30">
        <v>17070</v>
      </c>
      <c r="K429" s="30">
        <v>17162</v>
      </c>
      <c r="L429" s="30">
        <v>17213</v>
      </c>
      <c r="M429" s="30">
        <v>17171</v>
      </c>
      <c r="N429" s="30">
        <v>17270</v>
      </c>
      <c r="O429" s="24" t="str">
        <f t="shared" si="13"/>
        <v>Cook County, Georgia</v>
      </c>
    </row>
    <row r="430" spans="1:15" x14ac:dyDescent="0.25">
      <c r="A430" s="35" t="s">
        <v>906</v>
      </c>
      <c r="B430" s="28" t="str">
        <f t="shared" si="12"/>
        <v>Coweta</v>
      </c>
      <c r="C430" s="30">
        <v>127317</v>
      </c>
      <c r="D430" s="30">
        <v>127369</v>
      </c>
      <c r="E430" s="30">
        <v>127937</v>
      </c>
      <c r="F430" s="30">
        <v>129374</v>
      </c>
      <c r="G430" s="30">
        <v>130593</v>
      </c>
      <c r="H430" s="30">
        <v>132944</v>
      </c>
      <c r="I430" s="30">
        <v>135140</v>
      </c>
      <c r="J430" s="30">
        <v>138145</v>
      </c>
      <c r="K430" s="30">
        <v>140497</v>
      </c>
      <c r="L430" s="30">
        <v>143153</v>
      </c>
      <c r="M430" s="30">
        <v>145998</v>
      </c>
      <c r="N430" s="30">
        <v>148509</v>
      </c>
      <c r="O430" s="24" t="str">
        <f t="shared" si="13"/>
        <v>Coweta County, Georgia</v>
      </c>
    </row>
    <row r="431" spans="1:15" x14ac:dyDescent="0.25">
      <c r="A431" s="35" t="s">
        <v>907</v>
      </c>
      <c r="B431" s="28" t="str">
        <f t="shared" si="12"/>
        <v>Crawford</v>
      </c>
      <c r="C431" s="30">
        <v>12630</v>
      </c>
      <c r="D431" s="30">
        <v>12601</v>
      </c>
      <c r="E431" s="30">
        <v>12587</v>
      </c>
      <c r="F431" s="30">
        <v>12585</v>
      </c>
      <c r="G431" s="30">
        <v>12579</v>
      </c>
      <c r="H431" s="30">
        <v>12483</v>
      </c>
      <c r="I431" s="30">
        <v>12401</v>
      </c>
      <c r="J431" s="30">
        <v>12354</v>
      </c>
      <c r="K431" s="30">
        <v>12268</v>
      </c>
      <c r="L431" s="30">
        <v>12263</v>
      </c>
      <c r="M431" s="30">
        <v>12334</v>
      </c>
      <c r="N431" s="30">
        <v>12404</v>
      </c>
      <c r="O431" s="24" t="str">
        <f t="shared" si="13"/>
        <v>Crawford County, Georgia</v>
      </c>
    </row>
    <row r="432" spans="1:15" x14ac:dyDescent="0.25">
      <c r="A432" s="35" t="s">
        <v>908</v>
      </c>
      <c r="B432" s="28" t="str">
        <f t="shared" si="12"/>
        <v>Crisp</v>
      </c>
      <c r="C432" s="30">
        <v>23439</v>
      </c>
      <c r="D432" s="30">
        <v>23433</v>
      </c>
      <c r="E432" s="30">
        <v>23433</v>
      </c>
      <c r="F432" s="30">
        <v>23753</v>
      </c>
      <c r="G432" s="30">
        <v>23589</v>
      </c>
      <c r="H432" s="30">
        <v>23298</v>
      </c>
      <c r="I432" s="30">
        <v>23061</v>
      </c>
      <c r="J432" s="30">
        <v>22959</v>
      </c>
      <c r="K432" s="30">
        <v>22905</v>
      </c>
      <c r="L432" s="30">
        <v>22710</v>
      </c>
      <c r="M432" s="30">
        <v>22617</v>
      </c>
      <c r="N432" s="30">
        <v>22372</v>
      </c>
      <c r="O432" s="24" t="str">
        <f t="shared" si="13"/>
        <v>Crisp County, Georgia</v>
      </c>
    </row>
    <row r="433" spans="1:15" x14ac:dyDescent="0.25">
      <c r="A433" s="35" t="s">
        <v>909</v>
      </c>
      <c r="B433" s="28" t="str">
        <f t="shared" si="12"/>
        <v>Dade</v>
      </c>
      <c r="C433" s="30">
        <v>16633</v>
      </c>
      <c r="D433" s="30">
        <v>16643</v>
      </c>
      <c r="E433" s="30">
        <v>16630</v>
      </c>
      <c r="F433" s="30">
        <v>16600</v>
      </c>
      <c r="G433" s="30">
        <v>16518</v>
      </c>
      <c r="H433" s="30">
        <v>16453</v>
      </c>
      <c r="I433" s="30">
        <v>16289</v>
      </c>
      <c r="J433" s="30">
        <v>16162</v>
      </c>
      <c r="K433" s="30">
        <v>16224</v>
      </c>
      <c r="L433" s="30">
        <v>16254</v>
      </c>
      <c r="M433" s="30">
        <v>16227</v>
      </c>
      <c r="N433" s="30">
        <v>16116</v>
      </c>
      <c r="O433" s="24" t="str">
        <f t="shared" si="13"/>
        <v>Dade County, Georgia</v>
      </c>
    </row>
    <row r="434" spans="1:15" x14ac:dyDescent="0.25">
      <c r="A434" s="35" t="s">
        <v>910</v>
      </c>
      <c r="B434" s="28" t="str">
        <f t="shared" si="12"/>
        <v>Dawson</v>
      </c>
      <c r="C434" s="30">
        <v>22330</v>
      </c>
      <c r="D434" s="30">
        <v>22382</v>
      </c>
      <c r="E434" s="30">
        <v>22328</v>
      </c>
      <c r="F434" s="30">
        <v>22340</v>
      </c>
      <c r="G434" s="30">
        <v>22513</v>
      </c>
      <c r="H434" s="30">
        <v>22732</v>
      </c>
      <c r="I434" s="30">
        <v>23022</v>
      </c>
      <c r="J434" s="30">
        <v>23369</v>
      </c>
      <c r="K434" s="30">
        <v>23668</v>
      </c>
      <c r="L434" s="30">
        <v>24406</v>
      </c>
      <c r="M434" s="30">
        <v>25127</v>
      </c>
      <c r="N434" s="30">
        <v>26108</v>
      </c>
      <c r="O434" s="24" t="str">
        <f t="shared" si="13"/>
        <v>Dawson County, Georgia</v>
      </c>
    </row>
    <row r="435" spans="1:15" x14ac:dyDescent="0.25">
      <c r="A435" s="35" t="s">
        <v>911</v>
      </c>
      <c r="B435" s="28" t="str">
        <f t="shared" si="12"/>
        <v>Decatur</v>
      </c>
      <c r="C435" s="30">
        <v>27842</v>
      </c>
      <c r="D435" s="30">
        <v>27842</v>
      </c>
      <c r="E435" s="30">
        <v>27817</v>
      </c>
      <c r="F435" s="30">
        <v>27651</v>
      </c>
      <c r="G435" s="30">
        <v>27442</v>
      </c>
      <c r="H435" s="30">
        <v>27391</v>
      </c>
      <c r="I435" s="30">
        <v>27167</v>
      </c>
      <c r="J435" s="30">
        <v>27049</v>
      </c>
      <c r="K435" s="30">
        <v>26679</v>
      </c>
      <c r="L435" s="30">
        <v>26706</v>
      </c>
      <c r="M435" s="30">
        <v>26573</v>
      </c>
      <c r="N435" s="30">
        <v>26404</v>
      </c>
      <c r="O435" s="24" t="str">
        <f t="shared" si="13"/>
        <v>Decatur County, Georgia</v>
      </c>
    </row>
    <row r="436" spans="1:15" x14ac:dyDescent="0.25">
      <c r="A436" s="35" t="s">
        <v>912</v>
      </c>
      <c r="B436" s="28" t="str">
        <f t="shared" si="12"/>
        <v>DeKalb</v>
      </c>
      <c r="C436" s="30">
        <v>691893</v>
      </c>
      <c r="D436" s="30">
        <v>691961</v>
      </c>
      <c r="E436" s="30">
        <v>692443</v>
      </c>
      <c r="F436" s="30">
        <v>698329</v>
      </c>
      <c r="G436" s="30">
        <v>710557</v>
      </c>
      <c r="H436" s="30">
        <v>717740</v>
      </c>
      <c r="I436" s="30">
        <v>724892</v>
      </c>
      <c r="J436" s="30">
        <v>734434</v>
      </c>
      <c r="K436" s="30">
        <v>746802</v>
      </c>
      <c r="L436" s="30">
        <v>751176</v>
      </c>
      <c r="M436" s="30">
        <v>754906</v>
      </c>
      <c r="N436" s="30">
        <v>759297</v>
      </c>
      <c r="O436" s="24" t="str">
        <f t="shared" si="13"/>
        <v>DeKalb County, Georgia</v>
      </c>
    </row>
    <row r="437" spans="1:15" x14ac:dyDescent="0.25">
      <c r="A437" s="35" t="s">
        <v>913</v>
      </c>
      <c r="B437" s="28" t="str">
        <f t="shared" si="12"/>
        <v>Dodge</v>
      </c>
      <c r="C437" s="30">
        <v>21796</v>
      </c>
      <c r="D437" s="30">
        <v>21796</v>
      </c>
      <c r="E437" s="30">
        <v>21761</v>
      </c>
      <c r="F437" s="30">
        <v>21614</v>
      </c>
      <c r="G437" s="30">
        <v>21517</v>
      </c>
      <c r="H437" s="30">
        <v>21429</v>
      </c>
      <c r="I437" s="30">
        <v>21173</v>
      </c>
      <c r="J437" s="30">
        <v>21142</v>
      </c>
      <c r="K437" s="30">
        <v>20854</v>
      </c>
      <c r="L437" s="30">
        <v>20749</v>
      </c>
      <c r="M437" s="30">
        <v>20793</v>
      </c>
      <c r="N437" s="30">
        <v>20605</v>
      </c>
      <c r="O437" s="24" t="str">
        <f t="shared" si="13"/>
        <v>Dodge County, Georgia</v>
      </c>
    </row>
    <row r="438" spans="1:15" x14ac:dyDescent="0.25">
      <c r="A438" s="35" t="s">
        <v>914</v>
      </c>
      <c r="B438" s="28" t="str">
        <f t="shared" si="12"/>
        <v>Dooly</v>
      </c>
      <c r="C438" s="30">
        <v>14918</v>
      </c>
      <c r="D438" s="30">
        <v>14925</v>
      </c>
      <c r="E438" s="30">
        <v>14854</v>
      </c>
      <c r="F438" s="30">
        <v>14612</v>
      </c>
      <c r="G438" s="30">
        <v>14415</v>
      </c>
      <c r="H438" s="30">
        <v>14372</v>
      </c>
      <c r="I438" s="30">
        <v>14246</v>
      </c>
      <c r="J438" s="30">
        <v>14034</v>
      </c>
      <c r="K438" s="30">
        <v>13853</v>
      </c>
      <c r="L438" s="30">
        <v>13691</v>
      </c>
      <c r="M438" s="30">
        <v>13709</v>
      </c>
      <c r="N438" s="30">
        <v>13390</v>
      </c>
      <c r="O438" s="24" t="str">
        <f t="shared" si="13"/>
        <v>Dooly County, Georgia</v>
      </c>
    </row>
    <row r="439" spans="1:15" x14ac:dyDescent="0.25">
      <c r="A439" s="35" t="s">
        <v>915</v>
      </c>
      <c r="B439" s="28" t="str">
        <f t="shared" si="12"/>
        <v>Dougherty</v>
      </c>
      <c r="C439" s="30">
        <v>94565</v>
      </c>
      <c r="D439" s="30">
        <v>94564</v>
      </c>
      <c r="E439" s="30">
        <v>94513</v>
      </c>
      <c r="F439" s="30">
        <v>95063</v>
      </c>
      <c r="G439" s="30">
        <v>94694</v>
      </c>
      <c r="H439" s="30">
        <v>93411</v>
      </c>
      <c r="I439" s="30">
        <v>92742</v>
      </c>
      <c r="J439" s="30">
        <v>91513</v>
      </c>
      <c r="K439" s="30">
        <v>90389</v>
      </c>
      <c r="L439" s="30">
        <v>89457</v>
      </c>
      <c r="M439" s="30">
        <v>89200</v>
      </c>
      <c r="N439" s="30">
        <v>87956</v>
      </c>
      <c r="O439" s="24" t="str">
        <f t="shared" si="13"/>
        <v>Dougherty County, Georgia</v>
      </c>
    </row>
    <row r="440" spans="1:15" x14ac:dyDescent="0.25">
      <c r="A440" s="35" t="s">
        <v>916</v>
      </c>
      <c r="B440" s="28" t="str">
        <f t="shared" si="12"/>
        <v>Douglas</v>
      </c>
      <c r="C440" s="30">
        <v>132403</v>
      </c>
      <c r="D440" s="30">
        <v>132282</v>
      </c>
      <c r="E440" s="30">
        <v>132573</v>
      </c>
      <c r="F440" s="30">
        <v>133106</v>
      </c>
      <c r="G440" s="30">
        <v>133555</v>
      </c>
      <c r="H440" s="30">
        <v>136024</v>
      </c>
      <c r="I440" s="30">
        <v>138007</v>
      </c>
      <c r="J440" s="30">
        <v>140173</v>
      </c>
      <c r="K440" s="30">
        <v>141664</v>
      </c>
      <c r="L440" s="30">
        <v>143376</v>
      </c>
      <c r="M440" s="30">
        <v>145024</v>
      </c>
      <c r="N440" s="30">
        <v>146343</v>
      </c>
      <c r="O440" s="24" t="str">
        <f t="shared" si="13"/>
        <v>Douglas County, Georgia</v>
      </c>
    </row>
    <row r="441" spans="1:15" x14ac:dyDescent="0.25">
      <c r="A441" s="35" t="s">
        <v>917</v>
      </c>
      <c r="B441" s="28" t="str">
        <f t="shared" si="12"/>
        <v>Early</v>
      </c>
      <c r="C441" s="30">
        <v>11008</v>
      </c>
      <c r="D441" s="30">
        <v>11008</v>
      </c>
      <c r="E441" s="30">
        <v>10983</v>
      </c>
      <c r="F441" s="30">
        <v>10790</v>
      </c>
      <c r="G441" s="30">
        <v>10640</v>
      </c>
      <c r="H441" s="30">
        <v>10540</v>
      </c>
      <c r="I441" s="30">
        <v>10450</v>
      </c>
      <c r="J441" s="30">
        <v>10462</v>
      </c>
      <c r="K441" s="30">
        <v>10306</v>
      </c>
      <c r="L441" s="30">
        <v>10317</v>
      </c>
      <c r="M441" s="30">
        <v>10286</v>
      </c>
      <c r="N441" s="30">
        <v>10190</v>
      </c>
      <c r="O441" s="24" t="str">
        <f t="shared" si="13"/>
        <v>Early County, Georgia</v>
      </c>
    </row>
    <row r="442" spans="1:15" x14ac:dyDescent="0.25">
      <c r="A442" s="35" t="s">
        <v>918</v>
      </c>
      <c r="B442" s="28" t="str">
        <f t="shared" si="12"/>
        <v>Echols</v>
      </c>
      <c r="C442" s="30">
        <v>4034</v>
      </c>
      <c r="D442" s="30">
        <v>4023</v>
      </c>
      <c r="E442" s="30">
        <v>4015</v>
      </c>
      <c r="F442" s="30">
        <v>4064</v>
      </c>
      <c r="G442" s="30">
        <v>3967</v>
      </c>
      <c r="H442" s="30">
        <v>3993</v>
      </c>
      <c r="I442" s="30">
        <v>4032</v>
      </c>
      <c r="J442" s="30">
        <v>4030</v>
      </c>
      <c r="K442" s="30">
        <v>3956</v>
      </c>
      <c r="L442" s="30">
        <v>3914</v>
      </c>
      <c r="M442" s="30">
        <v>4000</v>
      </c>
      <c r="N442" s="30">
        <v>4006</v>
      </c>
      <c r="O442" s="24" t="str">
        <f t="shared" si="13"/>
        <v>Echols County, Georgia</v>
      </c>
    </row>
    <row r="443" spans="1:15" x14ac:dyDescent="0.25">
      <c r="A443" s="35" t="s">
        <v>919</v>
      </c>
      <c r="B443" s="28" t="str">
        <f t="shared" si="12"/>
        <v>Effingham</v>
      </c>
      <c r="C443" s="30">
        <v>52250</v>
      </c>
      <c r="D443" s="30">
        <v>52255</v>
      </c>
      <c r="E443" s="30">
        <v>52464</v>
      </c>
      <c r="F443" s="30">
        <v>52692</v>
      </c>
      <c r="G443" s="30">
        <v>53330</v>
      </c>
      <c r="H443" s="30">
        <v>54419</v>
      </c>
      <c r="I443" s="30">
        <v>55410</v>
      </c>
      <c r="J443" s="30">
        <v>57076</v>
      </c>
      <c r="K443" s="30">
        <v>58699</v>
      </c>
      <c r="L443" s="30">
        <v>60086</v>
      </c>
      <c r="M443" s="30">
        <v>62228</v>
      </c>
      <c r="N443" s="30">
        <v>64296</v>
      </c>
      <c r="O443" s="24" t="str">
        <f t="shared" si="13"/>
        <v>Effingham County, Georgia</v>
      </c>
    </row>
    <row r="444" spans="1:15" x14ac:dyDescent="0.25">
      <c r="A444" s="35" t="s">
        <v>920</v>
      </c>
      <c r="B444" s="28" t="str">
        <f t="shared" si="12"/>
        <v>Elbert</v>
      </c>
      <c r="C444" s="30">
        <v>20166</v>
      </c>
      <c r="D444" s="30">
        <v>20164</v>
      </c>
      <c r="E444" s="30">
        <v>20100</v>
      </c>
      <c r="F444" s="30">
        <v>19820</v>
      </c>
      <c r="G444" s="30">
        <v>19576</v>
      </c>
      <c r="H444" s="30">
        <v>19490</v>
      </c>
      <c r="I444" s="30">
        <v>19387</v>
      </c>
      <c r="J444" s="30">
        <v>19302</v>
      </c>
      <c r="K444" s="30">
        <v>19136</v>
      </c>
      <c r="L444" s="30">
        <v>19102</v>
      </c>
      <c r="M444" s="30">
        <v>19095</v>
      </c>
      <c r="N444" s="30">
        <v>19194</v>
      </c>
      <c r="O444" s="24" t="str">
        <f t="shared" si="13"/>
        <v>Elbert County, Georgia</v>
      </c>
    </row>
    <row r="445" spans="1:15" x14ac:dyDescent="0.25">
      <c r="A445" s="35" t="s">
        <v>921</v>
      </c>
      <c r="B445" s="28" t="str">
        <f t="shared" si="12"/>
        <v>Emanuel</v>
      </c>
      <c r="C445" s="30">
        <v>22598</v>
      </c>
      <c r="D445" s="30">
        <v>22596</v>
      </c>
      <c r="E445" s="30">
        <v>22607</v>
      </c>
      <c r="F445" s="30">
        <v>22492</v>
      </c>
      <c r="G445" s="30">
        <v>22732</v>
      </c>
      <c r="H445" s="30">
        <v>22631</v>
      </c>
      <c r="I445" s="30">
        <v>22482</v>
      </c>
      <c r="J445" s="30">
        <v>22471</v>
      </c>
      <c r="K445" s="30">
        <v>22406</v>
      </c>
      <c r="L445" s="30">
        <v>22533</v>
      </c>
      <c r="M445" s="30">
        <v>22607</v>
      </c>
      <c r="N445" s="30">
        <v>22646</v>
      </c>
      <c r="O445" s="24" t="str">
        <f t="shared" si="13"/>
        <v>Emanuel County, Georgia</v>
      </c>
    </row>
    <row r="446" spans="1:15" x14ac:dyDescent="0.25">
      <c r="A446" s="35" t="s">
        <v>922</v>
      </c>
      <c r="B446" s="28" t="str">
        <f t="shared" si="12"/>
        <v>Evans</v>
      </c>
      <c r="C446" s="30">
        <v>11000</v>
      </c>
      <c r="D446" s="30">
        <v>11002</v>
      </c>
      <c r="E446" s="30">
        <v>11021</v>
      </c>
      <c r="F446" s="30">
        <v>10980</v>
      </c>
      <c r="G446" s="30">
        <v>10678</v>
      </c>
      <c r="H446" s="30">
        <v>10794</v>
      </c>
      <c r="I446" s="30">
        <v>10811</v>
      </c>
      <c r="J446" s="30">
        <v>10690</v>
      </c>
      <c r="K446" s="30">
        <v>10648</v>
      </c>
      <c r="L446" s="30">
        <v>10741</v>
      </c>
      <c r="M446" s="30">
        <v>10702</v>
      </c>
      <c r="N446" s="30">
        <v>10654</v>
      </c>
      <c r="O446" s="24" t="str">
        <f t="shared" si="13"/>
        <v>Evans County, Georgia</v>
      </c>
    </row>
    <row r="447" spans="1:15" x14ac:dyDescent="0.25">
      <c r="A447" s="35" t="s">
        <v>923</v>
      </c>
      <c r="B447" s="28" t="str">
        <f t="shared" si="12"/>
        <v>Fannin</v>
      </c>
      <c r="C447" s="30">
        <v>23682</v>
      </c>
      <c r="D447" s="30">
        <v>23709</v>
      </c>
      <c r="E447" s="30">
        <v>23685</v>
      </c>
      <c r="F447" s="30">
        <v>23648</v>
      </c>
      <c r="G447" s="30">
        <v>23615</v>
      </c>
      <c r="H447" s="30">
        <v>23831</v>
      </c>
      <c r="I447" s="30">
        <v>23863</v>
      </c>
      <c r="J447" s="30">
        <v>24442</v>
      </c>
      <c r="K447" s="30">
        <v>25032</v>
      </c>
      <c r="L447" s="30">
        <v>25332</v>
      </c>
      <c r="M447" s="30">
        <v>25981</v>
      </c>
      <c r="N447" s="30">
        <v>26188</v>
      </c>
      <c r="O447" s="24" t="str">
        <f t="shared" si="13"/>
        <v>Fannin County, Georgia</v>
      </c>
    </row>
    <row r="448" spans="1:15" x14ac:dyDescent="0.25">
      <c r="A448" s="35" t="s">
        <v>924</v>
      </c>
      <c r="B448" s="28" t="str">
        <f t="shared" si="12"/>
        <v>Fayette</v>
      </c>
      <c r="C448" s="30">
        <v>106567</v>
      </c>
      <c r="D448" s="30">
        <v>106560</v>
      </c>
      <c r="E448" s="30">
        <v>106938</v>
      </c>
      <c r="F448" s="30">
        <v>107156</v>
      </c>
      <c r="G448" s="30">
        <v>107315</v>
      </c>
      <c r="H448" s="30">
        <v>108054</v>
      </c>
      <c r="I448" s="30">
        <v>109199</v>
      </c>
      <c r="J448" s="30">
        <v>110141</v>
      </c>
      <c r="K448" s="30">
        <v>111218</v>
      </c>
      <c r="L448" s="30">
        <v>112553</v>
      </c>
      <c r="M448" s="30">
        <v>113181</v>
      </c>
      <c r="N448" s="30">
        <v>114421</v>
      </c>
      <c r="O448" s="24" t="str">
        <f t="shared" si="13"/>
        <v>Fayette County, Georgia</v>
      </c>
    </row>
    <row r="449" spans="1:15" x14ac:dyDescent="0.25">
      <c r="A449" s="35" t="s">
        <v>925</v>
      </c>
      <c r="B449" s="28" t="str">
        <f t="shared" si="12"/>
        <v>Floyd</v>
      </c>
      <c r="C449" s="30">
        <v>96317</v>
      </c>
      <c r="D449" s="30">
        <v>96314</v>
      </c>
      <c r="E449" s="30">
        <v>96431</v>
      </c>
      <c r="F449" s="30">
        <v>96161</v>
      </c>
      <c r="G449" s="30">
        <v>95940</v>
      </c>
      <c r="H449" s="30">
        <v>95880</v>
      </c>
      <c r="I449" s="30">
        <v>95868</v>
      </c>
      <c r="J449" s="30">
        <v>96186</v>
      </c>
      <c r="K449" s="30">
        <v>96698</v>
      </c>
      <c r="L449" s="30">
        <v>97500</v>
      </c>
      <c r="M449" s="30">
        <v>97964</v>
      </c>
      <c r="N449" s="30">
        <v>98498</v>
      </c>
      <c r="O449" s="24" t="str">
        <f t="shared" si="13"/>
        <v>Floyd County, Georgia</v>
      </c>
    </row>
    <row r="450" spans="1:15" x14ac:dyDescent="0.25">
      <c r="A450" s="35" t="s">
        <v>926</v>
      </c>
      <c r="B450" s="28" t="str">
        <f t="shared" si="12"/>
        <v>Forsyth</v>
      </c>
      <c r="C450" s="30">
        <v>175511</v>
      </c>
      <c r="D450" s="30">
        <v>175484</v>
      </c>
      <c r="E450" s="30">
        <v>176723</v>
      </c>
      <c r="F450" s="30">
        <v>181794</v>
      </c>
      <c r="G450" s="30">
        <v>186793</v>
      </c>
      <c r="H450" s="30">
        <v>193801</v>
      </c>
      <c r="I450" s="30">
        <v>202598</v>
      </c>
      <c r="J450" s="30">
        <v>211250</v>
      </c>
      <c r="K450" s="30">
        <v>220481</v>
      </c>
      <c r="L450" s="30">
        <v>228940</v>
      </c>
      <c r="M450" s="30">
        <v>236993</v>
      </c>
      <c r="N450" s="30">
        <v>244252</v>
      </c>
      <c r="O450" s="24" t="str">
        <f t="shared" si="13"/>
        <v>Forsyth County, Georgia</v>
      </c>
    </row>
    <row r="451" spans="1:15" x14ac:dyDescent="0.25">
      <c r="A451" s="35" t="s">
        <v>927</v>
      </c>
      <c r="B451" s="28" t="str">
        <f t="shared" si="12"/>
        <v>Franklin</v>
      </c>
      <c r="C451" s="30">
        <v>22084</v>
      </c>
      <c r="D451" s="30">
        <v>22093</v>
      </c>
      <c r="E451" s="30">
        <v>22074</v>
      </c>
      <c r="F451" s="30">
        <v>21972</v>
      </c>
      <c r="G451" s="30">
        <v>21916</v>
      </c>
      <c r="H451" s="30">
        <v>22045</v>
      </c>
      <c r="I451" s="30">
        <v>22175</v>
      </c>
      <c r="J451" s="30">
        <v>22267</v>
      </c>
      <c r="K451" s="30">
        <v>22316</v>
      </c>
      <c r="L451" s="30">
        <v>22864</v>
      </c>
      <c r="M451" s="30">
        <v>23034</v>
      </c>
      <c r="N451" s="30">
        <v>23349</v>
      </c>
      <c r="O451" s="24" t="str">
        <f t="shared" si="13"/>
        <v>Franklin County, Georgia</v>
      </c>
    </row>
    <row r="452" spans="1:15" x14ac:dyDescent="0.25">
      <c r="A452" s="35" t="s">
        <v>928</v>
      </c>
      <c r="B452" s="28" t="str">
        <f t="shared" si="12"/>
        <v>Fulton</v>
      </c>
      <c r="C452" s="30">
        <v>920581</v>
      </c>
      <c r="D452" s="30">
        <v>920445</v>
      </c>
      <c r="E452" s="30">
        <v>925632</v>
      </c>
      <c r="F452" s="30">
        <v>947469</v>
      </c>
      <c r="G452" s="30">
        <v>973221</v>
      </c>
      <c r="H452" s="30">
        <v>981472</v>
      </c>
      <c r="I452" s="30">
        <v>991847</v>
      </c>
      <c r="J452" s="30">
        <v>1005127</v>
      </c>
      <c r="K452" s="30">
        <v>1022866</v>
      </c>
      <c r="L452" s="30">
        <v>1038938</v>
      </c>
      <c r="M452" s="30">
        <v>1050131</v>
      </c>
      <c r="N452" s="30">
        <v>1063937</v>
      </c>
      <c r="O452" s="24" t="str">
        <f t="shared" si="13"/>
        <v>Fulton County, Georgia</v>
      </c>
    </row>
    <row r="453" spans="1:15" x14ac:dyDescent="0.25">
      <c r="A453" s="35" t="s">
        <v>929</v>
      </c>
      <c r="B453" s="28" t="str">
        <f t="shared" si="12"/>
        <v>Gilmer</v>
      </c>
      <c r="C453" s="30">
        <v>28292</v>
      </c>
      <c r="D453" s="30">
        <v>28294</v>
      </c>
      <c r="E453" s="30">
        <v>28339</v>
      </c>
      <c r="F453" s="30">
        <v>28325</v>
      </c>
      <c r="G453" s="30">
        <v>28288</v>
      </c>
      <c r="H453" s="30">
        <v>28717</v>
      </c>
      <c r="I453" s="30">
        <v>28994</v>
      </c>
      <c r="J453" s="30">
        <v>29514</v>
      </c>
      <c r="K453" s="30">
        <v>29911</v>
      </c>
      <c r="L453" s="30">
        <v>30443</v>
      </c>
      <c r="M453" s="30">
        <v>30835</v>
      </c>
      <c r="N453" s="30">
        <v>31369</v>
      </c>
      <c r="O453" s="24" t="str">
        <f t="shared" si="13"/>
        <v>Gilmer County, Georgia</v>
      </c>
    </row>
    <row r="454" spans="1:15" x14ac:dyDescent="0.25">
      <c r="A454" s="35" t="s">
        <v>930</v>
      </c>
      <c r="B454" s="28" t="str">
        <f t="shared" si="12"/>
        <v>Glascock</v>
      </c>
      <c r="C454" s="30">
        <v>3082</v>
      </c>
      <c r="D454" s="30">
        <v>3086</v>
      </c>
      <c r="E454" s="30">
        <v>3079</v>
      </c>
      <c r="F454" s="30">
        <v>3103</v>
      </c>
      <c r="G454" s="30">
        <v>3107</v>
      </c>
      <c r="H454" s="30">
        <v>3060</v>
      </c>
      <c r="I454" s="30">
        <v>3008</v>
      </c>
      <c r="J454" s="30">
        <v>3020</v>
      </c>
      <c r="K454" s="30">
        <v>2978</v>
      </c>
      <c r="L454" s="30">
        <v>3032</v>
      </c>
      <c r="M454" s="30">
        <v>2977</v>
      </c>
      <c r="N454" s="30">
        <v>2971</v>
      </c>
      <c r="O454" s="24" t="str">
        <f t="shared" si="13"/>
        <v>Glascock County, Georgia</v>
      </c>
    </row>
    <row r="455" spans="1:15" x14ac:dyDescent="0.25">
      <c r="A455" s="35" t="s">
        <v>931</v>
      </c>
      <c r="B455" s="28" t="str">
        <f t="shared" ref="B455:B518" si="14">LEFT(A455,FIND("County",A455,1)-2)</f>
        <v>Glynn</v>
      </c>
      <c r="C455" s="30">
        <v>79626</v>
      </c>
      <c r="D455" s="30">
        <v>79627</v>
      </c>
      <c r="E455" s="30">
        <v>79744</v>
      </c>
      <c r="F455" s="30">
        <v>80111</v>
      </c>
      <c r="G455" s="30">
        <v>80866</v>
      </c>
      <c r="H455" s="30">
        <v>81497</v>
      </c>
      <c r="I455" s="30">
        <v>82177</v>
      </c>
      <c r="J455" s="30">
        <v>83311</v>
      </c>
      <c r="K455" s="30">
        <v>84099</v>
      </c>
      <c r="L455" s="30">
        <v>84675</v>
      </c>
      <c r="M455" s="30">
        <v>84975</v>
      </c>
      <c r="N455" s="30">
        <v>85292</v>
      </c>
      <c r="O455" s="24" t="str">
        <f t="shared" ref="O455:O518" si="15">A455</f>
        <v>Glynn County, Georgia</v>
      </c>
    </row>
    <row r="456" spans="1:15" x14ac:dyDescent="0.25">
      <c r="A456" s="35" t="s">
        <v>932</v>
      </c>
      <c r="B456" s="28" t="str">
        <f t="shared" si="14"/>
        <v>Gordon</v>
      </c>
      <c r="C456" s="30">
        <v>55186</v>
      </c>
      <c r="D456" s="30">
        <v>55221</v>
      </c>
      <c r="E456" s="30">
        <v>55257</v>
      </c>
      <c r="F456" s="30">
        <v>55520</v>
      </c>
      <c r="G456" s="30">
        <v>55687</v>
      </c>
      <c r="H456" s="30">
        <v>55761</v>
      </c>
      <c r="I456" s="30">
        <v>55836</v>
      </c>
      <c r="J456" s="30">
        <v>56324</v>
      </c>
      <c r="K456" s="30">
        <v>56933</v>
      </c>
      <c r="L456" s="30">
        <v>57164</v>
      </c>
      <c r="M456" s="30">
        <v>57628</v>
      </c>
      <c r="N456" s="30">
        <v>57963</v>
      </c>
      <c r="O456" s="24" t="str">
        <f t="shared" si="15"/>
        <v>Gordon County, Georgia</v>
      </c>
    </row>
    <row r="457" spans="1:15" x14ac:dyDescent="0.25">
      <c r="A457" s="35" t="s">
        <v>933</v>
      </c>
      <c r="B457" s="28" t="str">
        <f t="shared" si="14"/>
        <v>Grady</v>
      </c>
      <c r="C457" s="30">
        <v>25011</v>
      </c>
      <c r="D457" s="30">
        <v>25013</v>
      </c>
      <c r="E457" s="30">
        <v>25021</v>
      </c>
      <c r="F457" s="30">
        <v>25097</v>
      </c>
      <c r="G457" s="30">
        <v>25270</v>
      </c>
      <c r="H457" s="30">
        <v>25101</v>
      </c>
      <c r="I457" s="30">
        <v>25215</v>
      </c>
      <c r="J457" s="30">
        <v>25089</v>
      </c>
      <c r="K457" s="30">
        <v>24869</v>
      </c>
      <c r="L457" s="30">
        <v>24773</v>
      </c>
      <c r="M457" s="30">
        <v>24774</v>
      </c>
      <c r="N457" s="30">
        <v>24633</v>
      </c>
      <c r="O457" s="24" t="str">
        <f t="shared" si="15"/>
        <v>Grady County, Georgia</v>
      </c>
    </row>
    <row r="458" spans="1:15" x14ac:dyDescent="0.25">
      <c r="A458" s="35" t="s">
        <v>934</v>
      </c>
      <c r="B458" s="28" t="str">
        <f t="shared" si="14"/>
        <v>Greene</v>
      </c>
      <c r="C458" s="30">
        <v>15994</v>
      </c>
      <c r="D458" s="30">
        <v>15996</v>
      </c>
      <c r="E458" s="30">
        <v>15976</v>
      </c>
      <c r="F458" s="30">
        <v>16050</v>
      </c>
      <c r="G458" s="30">
        <v>16118</v>
      </c>
      <c r="H458" s="30">
        <v>16243</v>
      </c>
      <c r="I458" s="30">
        <v>16418</v>
      </c>
      <c r="J458" s="30">
        <v>16617</v>
      </c>
      <c r="K458" s="30">
        <v>16869</v>
      </c>
      <c r="L458" s="30">
        <v>17203</v>
      </c>
      <c r="M458" s="30">
        <v>17733</v>
      </c>
      <c r="N458" s="30">
        <v>18324</v>
      </c>
      <c r="O458" s="24" t="str">
        <f t="shared" si="15"/>
        <v>Greene County, Georgia</v>
      </c>
    </row>
    <row r="459" spans="1:15" x14ac:dyDescent="0.25">
      <c r="A459" s="35" t="s">
        <v>935</v>
      </c>
      <c r="B459" s="28" t="str">
        <f t="shared" si="14"/>
        <v>Gwinnett</v>
      </c>
      <c r="C459" s="30">
        <v>805321</v>
      </c>
      <c r="D459" s="30">
        <v>805286</v>
      </c>
      <c r="E459" s="30">
        <v>808007</v>
      </c>
      <c r="F459" s="30">
        <v>822415</v>
      </c>
      <c r="G459" s="30">
        <v>836844</v>
      </c>
      <c r="H459" s="30">
        <v>853459</v>
      </c>
      <c r="I459" s="30">
        <v>870986</v>
      </c>
      <c r="J459" s="30">
        <v>888494</v>
      </c>
      <c r="K459" s="30">
        <v>904962</v>
      </c>
      <c r="L459" s="30">
        <v>918186</v>
      </c>
      <c r="M459" s="30">
        <v>927337</v>
      </c>
      <c r="N459" s="30">
        <v>936250</v>
      </c>
      <c r="O459" s="24" t="str">
        <f t="shared" si="15"/>
        <v>Gwinnett County, Georgia</v>
      </c>
    </row>
    <row r="460" spans="1:15" x14ac:dyDescent="0.25">
      <c r="A460" s="35" t="s">
        <v>936</v>
      </c>
      <c r="B460" s="28" t="str">
        <f t="shared" si="14"/>
        <v>Habersham</v>
      </c>
      <c r="C460" s="30">
        <v>43041</v>
      </c>
      <c r="D460" s="30">
        <v>43032</v>
      </c>
      <c r="E460" s="30">
        <v>43061</v>
      </c>
      <c r="F460" s="30">
        <v>43043</v>
      </c>
      <c r="G460" s="30">
        <v>43377</v>
      </c>
      <c r="H460" s="30">
        <v>43154</v>
      </c>
      <c r="I460" s="30">
        <v>43564</v>
      </c>
      <c r="J460" s="30">
        <v>43792</v>
      </c>
      <c r="K460" s="30">
        <v>44104</v>
      </c>
      <c r="L460" s="30">
        <v>44535</v>
      </c>
      <c r="M460" s="30">
        <v>45373</v>
      </c>
      <c r="N460" s="30">
        <v>45328</v>
      </c>
      <c r="O460" s="24" t="str">
        <f t="shared" si="15"/>
        <v>Habersham County, Georgia</v>
      </c>
    </row>
    <row r="461" spans="1:15" x14ac:dyDescent="0.25">
      <c r="A461" s="35" t="s">
        <v>937</v>
      </c>
      <c r="B461" s="28" t="str">
        <f t="shared" si="14"/>
        <v>Hall</v>
      </c>
      <c r="C461" s="30">
        <v>179684</v>
      </c>
      <c r="D461" s="30">
        <v>179724</v>
      </c>
      <c r="E461" s="30">
        <v>180033</v>
      </c>
      <c r="F461" s="30">
        <v>182269</v>
      </c>
      <c r="G461" s="30">
        <v>184102</v>
      </c>
      <c r="H461" s="30">
        <v>186431</v>
      </c>
      <c r="I461" s="30">
        <v>189142</v>
      </c>
      <c r="J461" s="30">
        <v>192245</v>
      </c>
      <c r="K461" s="30">
        <v>196159</v>
      </c>
      <c r="L461" s="30">
        <v>198953</v>
      </c>
      <c r="M461" s="30">
        <v>201538</v>
      </c>
      <c r="N461" s="30">
        <v>204441</v>
      </c>
      <c r="O461" s="24" t="str">
        <f t="shared" si="15"/>
        <v>Hall County, Georgia</v>
      </c>
    </row>
    <row r="462" spans="1:15" x14ac:dyDescent="0.25">
      <c r="A462" s="35" t="s">
        <v>938</v>
      </c>
      <c r="B462" s="28" t="str">
        <f t="shared" si="14"/>
        <v>Hancock</v>
      </c>
      <c r="C462" s="30">
        <v>9429</v>
      </c>
      <c r="D462" s="30">
        <v>9401</v>
      </c>
      <c r="E462" s="30">
        <v>9433</v>
      </c>
      <c r="F462" s="30">
        <v>9395</v>
      </c>
      <c r="G462" s="30">
        <v>9079</v>
      </c>
      <c r="H462" s="30">
        <v>8952</v>
      </c>
      <c r="I462" s="30">
        <v>8571</v>
      </c>
      <c r="J462" s="30">
        <v>8578</v>
      </c>
      <c r="K462" s="30">
        <v>8633</v>
      </c>
      <c r="L462" s="30">
        <v>8539</v>
      </c>
      <c r="M462" s="30">
        <v>8368</v>
      </c>
      <c r="N462" s="30">
        <v>8457</v>
      </c>
      <c r="O462" s="24" t="str">
        <f t="shared" si="15"/>
        <v>Hancock County, Georgia</v>
      </c>
    </row>
    <row r="463" spans="1:15" x14ac:dyDescent="0.25">
      <c r="A463" s="35" t="s">
        <v>939</v>
      </c>
      <c r="B463" s="28" t="str">
        <f t="shared" si="14"/>
        <v>Haralson</v>
      </c>
      <c r="C463" s="30">
        <v>28780</v>
      </c>
      <c r="D463" s="30">
        <v>28775</v>
      </c>
      <c r="E463" s="30">
        <v>28758</v>
      </c>
      <c r="F463" s="30">
        <v>28465</v>
      </c>
      <c r="G463" s="30">
        <v>28310</v>
      </c>
      <c r="H463" s="30">
        <v>28335</v>
      </c>
      <c r="I463" s="30">
        <v>28487</v>
      </c>
      <c r="J463" s="30">
        <v>28702</v>
      </c>
      <c r="K463" s="30">
        <v>28830</v>
      </c>
      <c r="L463" s="30">
        <v>29248</v>
      </c>
      <c r="M463" s="30">
        <v>29561</v>
      </c>
      <c r="N463" s="30">
        <v>29792</v>
      </c>
      <c r="O463" s="24" t="str">
        <f t="shared" si="15"/>
        <v>Haralson County, Georgia</v>
      </c>
    </row>
    <row r="464" spans="1:15" x14ac:dyDescent="0.25">
      <c r="A464" s="35" t="s">
        <v>940</v>
      </c>
      <c r="B464" s="28" t="str">
        <f t="shared" si="14"/>
        <v>Harris</v>
      </c>
      <c r="C464" s="30">
        <v>32024</v>
      </c>
      <c r="D464" s="30">
        <v>31994</v>
      </c>
      <c r="E464" s="30">
        <v>32149</v>
      </c>
      <c r="F464" s="30">
        <v>32307</v>
      </c>
      <c r="G464" s="30">
        <v>32570</v>
      </c>
      <c r="H464" s="30">
        <v>32532</v>
      </c>
      <c r="I464" s="30">
        <v>32737</v>
      </c>
      <c r="J464" s="30">
        <v>33155</v>
      </c>
      <c r="K464" s="30">
        <v>33633</v>
      </c>
      <c r="L464" s="30">
        <v>33943</v>
      </c>
      <c r="M464" s="30">
        <v>34560</v>
      </c>
      <c r="N464" s="30">
        <v>35236</v>
      </c>
      <c r="O464" s="24" t="str">
        <f t="shared" si="15"/>
        <v>Harris County, Georgia</v>
      </c>
    </row>
    <row r="465" spans="1:15" x14ac:dyDescent="0.25">
      <c r="A465" s="35" t="s">
        <v>941</v>
      </c>
      <c r="B465" s="28" t="str">
        <f t="shared" si="14"/>
        <v>Hart</v>
      </c>
      <c r="C465" s="30">
        <v>25213</v>
      </c>
      <c r="D465" s="30">
        <v>25210</v>
      </c>
      <c r="E465" s="30">
        <v>25240</v>
      </c>
      <c r="F465" s="30">
        <v>25417</v>
      </c>
      <c r="G465" s="30">
        <v>25513</v>
      </c>
      <c r="H465" s="30">
        <v>25456</v>
      </c>
      <c r="I465" s="30">
        <v>25362</v>
      </c>
      <c r="J465" s="30">
        <v>25410</v>
      </c>
      <c r="K465" s="30">
        <v>25471</v>
      </c>
      <c r="L465" s="30">
        <v>25710</v>
      </c>
      <c r="M465" s="30">
        <v>26071</v>
      </c>
      <c r="N465" s="30">
        <v>26205</v>
      </c>
      <c r="O465" s="24" t="str">
        <f t="shared" si="15"/>
        <v>Hart County, Georgia</v>
      </c>
    </row>
    <row r="466" spans="1:15" x14ac:dyDescent="0.25">
      <c r="A466" s="35" t="s">
        <v>942</v>
      </c>
      <c r="B466" s="28" t="str">
        <f t="shared" si="14"/>
        <v>Heard</v>
      </c>
      <c r="C466" s="30">
        <v>11834</v>
      </c>
      <c r="D466" s="30">
        <v>11829</v>
      </c>
      <c r="E466" s="30">
        <v>11841</v>
      </c>
      <c r="F466" s="30">
        <v>11731</v>
      </c>
      <c r="G466" s="30">
        <v>11652</v>
      </c>
      <c r="H466" s="30">
        <v>11564</v>
      </c>
      <c r="I466" s="30">
        <v>11623</v>
      </c>
      <c r="J466" s="30">
        <v>11556</v>
      </c>
      <c r="K466" s="30">
        <v>11579</v>
      </c>
      <c r="L466" s="30">
        <v>11751</v>
      </c>
      <c r="M466" s="30">
        <v>11871</v>
      </c>
      <c r="N466" s="30">
        <v>11923</v>
      </c>
      <c r="O466" s="24" t="str">
        <f t="shared" si="15"/>
        <v>Heard County, Georgia</v>
      </c>
    </row>
    <row r="467" spans="1:15" x14ac:dyDescent="0.25">
      <c r="A467" s="35" t="s">
        <v>943</v>
      </c>
      <c r="B467" s="28" t="str">
        <f t="shared" si="14"/>
        <v>Henry</v>
      </c>
      <c r="C467" s="30">
        <v>203922</v>
      </c>
      <c r="D467" s="30">
        <v>203777</v>
      </c>
      <c r="E467" s="30">
        <v>205039</v>
      </c>
      <c r="F467" s="30">
        <v>206911</v>
      </c>
      <c r="G467" s="30">
        <v>208005</v>
      </c>
      <c r="H467" s="30">
        <v>210012</v>
      </c>
      <c r="I467" s="30">
        <v>212957</v>
      </c>
      <c r="J467" s="30">
        <v>216414</v>
      </c>
      <c r="K467" s="30">
        <v>220896</v>
      </c>
      <c r="L467" s="30">
        <v>225182</v>
      </c>
      <c r="M467" s="30">
        <v>229728</v>
      </c>
      <c r="N467" s="30">
        <v>234561</v>
      </c>
      <c r="O467" s="24" t="str">
        <f t="shared" si="15"/>
        <v>Henry County, Georgia</v>
      </c>
    </row>
    <row r="468" spans="1:15" x14ac:dyDescent="0.25">
      <c r="A468" s="35" t="s">
        <v>944</v>
      </c>
      <c r="B468" s="28" t="str">
        <f t="shared" si="14"/>
        <v>Houston</v>
      </c>
      <c r="C468" s="30">
        <v>139900</v>
      </c>
      <c r="D468" s="30">
        <v>139819</v>
      </c>
      <c r="E468" s="30">
        <v>140651</v>
      </c>
      <c r="F468" s="30">
        <v>143775</v>
      </c>
      <c r="G468" s="30">
        <v>145827</v>
      </c>
      <c r="H468" s="30">
        <v>147527</v>
      </c>
      <c r="I468" s="30">
        <v>148575</v>
      </c>
      <c r="J468" s="30">
        <v>149323</v>
      </c>
      <c r="K468" s="30">
        <v>151622</v>
      </c>
      <c r="L468" s="30">
        <v>153202</v>
      </c>
      <c r="M468" s="30">
        <v>155523</v>
      </c>
      <c r="N468" s="30">
        <v>157863</v>
      </c>
      <c r="O468" s="24" t="str">
        <f t="shared" si="15"/>
        <v>Houston County, Georgia</v>
      </c>
    </row>
    <row r="469" spans="1:15" x14ac:dyDescent="0.25">
      <c r="A469" s="35" t="s">
        <v>945</v>
      </c>
      <c r="B469" s="28" t="str">
        <f t="shared" si="14"/>
        <v>Irwin</v>
      </c>
      <c r="C469" s="30">
        <v>9538</v>
      </c>
      <c r="D469" s="30">
        <v>9513</v>
      </c>
      <c r="E469" s="30">
        <v>9577</v>
      </c>
      <c r="F469" s="30">
        <v>9676</v>
      </c>
      <c r="G469" s="30">
        <v>9597</v>
      </c>
      <c r="H469" s="30">
        <v>9345</v>
      </c>
      <c r="I469" s="30">
        <v>9078</v>
      </c>
      <c r="J469" s="30">
        <v>9135</v>
      </c>
      <c r="K469" s="30">
        <v>9302</v>
      </c>
      <c r="L469" s="30">
        <v>9352</v>
      </c>
      <c r="M469" s="30">
        <v>9396</v>
      </c>
      <c r="N469" s="30">
        <v>9416</v>
      </c>
      <c r="O469" s="24" t="str">
        <f t="shared" si="15"/>
        <v>Irwin County, Georgia</v>
      </c>
    </row>
    <row r="470" spans="1:15" x14ac:dyDescent="0.25">
      <c r="A470" s="35" t="s">
        <v>946</v>
      </c>
      <c r="B470" s="28" t="str">
        <f t="shared" si="14"/>
        <v>Jackson</v>
      </c>
      <c r="C470" s="30">
        <v>60485</v>
      </c>
      <c r="D470" s="30">
        <v>60461</v>
      </c>
      <c r="E470" s="30">
        <v>60696</v>
      </c>
      <c r="F470" s="30">
        <v>60974</v>
      </c>
      <c r="G470" s="30">
        <v>60844</v>
      </c>
      <c r="H470" s="30">
        <v>61268</v>
      </c>
      <c r="I470" s="30">
        <v>62101</v>
      </c>
      <c r="J470" s="30">
        <v>63418</v>
      </c>
      <c r="K470" s="30">
        <v>65061</v>
      </c>
      <c r="L470" s="30">
        <v>67644</v>
      </c>
      <c r="M470" s="30">
        <v>70325</v>
      </c>
      <c r="N470" s="30">
        <v>72977</v>
      </c>
      <c r="O470" s="24" t="str">
        <f t="shared" si="15"/>
        <v>Jackson County, Georgia</v>
      </c>
    </row>
    <row r="471" spans="1:15" x14ac:dyDescent="0.25">
      <c r="A471" s="35" t="s">
        <v>947</v>
      </c>
      <c r="B471" s="28" t="str">
        <f t="shared" si="14"/>
        <v>Jasper</v>
      </c>
      <c r="C471" s="30">
        <v>13900</v>
      </c>
      <c r="D471" s="30">
        <v>13894</v>
      </c>
      <c r="E471" s="30">
        <v>13889</v>
      </c>
      <c r="F471" s="30">
        <v>13832</v>
      </c>
      <c r="G471" s="30">
        <v>13640</v>
      </c>
      <c r="H471" s="30">
        <v>13597</v>
      </c>
      <c r="I471" s="30">
        <v>13531</v>
      </c>
      <c r="J471" s="30">
        <v>13683</v>
      </c>
      <c r="K471" s="30">
        <v>13767</v>
      </c>
      <c r="L471" s="30">
        <v>13882</v>
      </c>
      <c r="M471" s="30">
        <v>14029</v>
      </c>
      <c r="N471" s="30">
        <v>14219</v>
      </c>
      <c r="O471" s="24" t="str">
        <f t="shared" si="15"/>
        <v>Jasper County, Georgia</v>
      </c>
    </row>
    <row r="472" spans="1:15" x14ac:dyDescent="0.25">
      <c r="A472" s="35" t="s">
        <v>948</v>
      </c>
      <c r="B472" s="28" t="str">
        <f t="shared" si="14"/>
        <v>Jeff Davis</v>
      </c>
      <c r="C472" s="30">
        <v>15068</v>
      </c>
      <c r="D472" s="30">
        <v>15074</v>
      </c>
      <c r="E472" s="30">
        <v>15111</v>
      </c>
      <c r="F472" s="30">
        <v>15158</v>
      </c>
      <c r="G472" s="30">
        <v>15192</v>
      </c>
      <c r="H472" s="30">
        <v>15042</v>
      </c>
      <c r="I472" s="30">
        <v>14927</v>
      </c>
      <c r="J472" s="30">
        <v>15013</v>
      </c>
      <c r="K472" s="30">
        <v>14965</v>
      </c>
      <c r="L472" s="30">
        <v>15039</v>
      </c>
      <c r="M472" s="30">
        <v>15048</v>
      </c>
      <c r="N472" s="30">
        <v>15115</v>
      </c>
      <c r="O472" s="24" t="str">
        <f t="shared" si="15"/>
        <v>Jeff Davis County, Georgia</v>
      </c>
    </row>
    <row r="473" spans="1:15" x14ac:dyDescent="0.25">
      <c r="A473" s="35" t="s">
        <v>949</v>
      </c>
      <c r="B473" s="28" t="str">
        <f t="shared" si="14"/>
        <v>Jefferson</v>
      </c>
      <c r="C473" s="30">
        <v>16930</v>
      </c>
      <c r="D473" s="30">
        <v>16916</v>
      </c>
      <c r="E473" s="30">
        <v>16869</v>
      </c>
      <c r="F473" s="30">
        <v>16769</v>
      </c>
      <c r="G473" s="30">
        <v>16347</v>
      </c>
      <c r="H473" s="30">
        <v>16240</v>
      </c>
      <c r="I473" s="30">
        <v>16119</v>
      </c>
      <c r="J473" s="30">
        <v>15917</v>
      </c>
      <c r="K473" s="30">
        <v>15755</v>
      </c>
      <c r="L473" s="30">
        <v>15630</v>
      </c>
      <c r="M473" s="30">
        <v>15424</v>
      </c>
      <c r="N473" s="30">
        <v>15362</v>
      </c>
      <c r="O473" s="24" t="str">
        <f t="shared" si="15"/>
        <v>Jefferson County, Georgia</v>
      </c>
    </row>
    <row r="474" spans="1:15" x14ac:dyDescent="0.25">
      <c r="A474" s="35" t="s">
        <v>950</v>
      </c>
      <c r="B474" s="28" t="str">
        <f t="shared" si="14"/>
        <v>Jenkins</v>
      </c>
      <c r="C474" s="30">
        <v>8340</v>
      </c>
      <c r="D474" s="30">
        <v>8333</v>
      </c>
      <c r="E474" s="30">
        <v>8320</v>
      </c>
      <c r="F474" s="30">
        <v>8125</v>
      </c>
      <c r="G474" s="30">
        <v>9108</v>
      </c>
      <c r="H474" s="30">
        <v>9194</v>
      </c>
      <c r="I474" s="30">
        <v>9034</v>
      </c>
      <c r="J474" s="30">
        <v>8899</v>
      </c>
      <c r="K474" s="30">
        <v>8812</v>
      </c>
      <c r="L474" s="30">
        <v>8813</v>
      </c>
      <c r="M474" s="30">
        <v>8765</v>
      </c>
      <c r="N474" s="30">
        <v>8676</v>
      </c>
      <c r="O474" s="24" t="str">
        <f t="shared" si="15"/>
        <v>Jenkins County, Georgia</v>
      </c>
    </row>
    <row r="475" spans="1:15" x14ac:dyDescent="0.25">
      <c r="A475" s="35" t="s">
        <v>951</v>
      </c>
      <c r="B475" s="28" t="str">
        <f t="shared" si="14"/>
        <v>Johnson</v>
      </c>
      <c r="C475" s="30">
        <v>9980</v>
      </c>
      <c r="D475" s="30">
        <v>9974</v>
      </c>
      <c r="E475" s="30">
        <v>9986</v>
      </c>
      <c r="F475" s="30">
        <v>9999</v>
      </c>
      <c r="G475" s="30">
        <v>10004</v>
      </c>
      <c r="H475" s="30">
        <v>9900</v>
      </c>
      <c r="I475" s="30">
        <v>9803</v>
      </c>
      <c r="J475" s="30">
        <v>9708</v>
      </c>
      <c r="K475" s="30">
        <v>9660</v>
      </c>
      <c r="L475" s="30">
        <v>9737</v>
      </c>
      <c r="M475" s="30">
        <v>9706</v>
      </c>
      <c r="N475" s="30">
        <v>9643</v>
      </c>
      <c r="O475" s="24" t="str">
        <f t="shared" si="15"/>
        <v>Johnson County, Georgia</v>
      </c>
    </row>
    <row r="476" spans="1:15" x14ac:dyDescent="0.25">
      <c r="A476" s="35" t="s">
        <v>952</v>
      </c>
      <c r="B476" s="28" t="str">
        <f t="shared" si="14"/>
        <v>Jones</v>
      </c>
      <c r="C476" s="30">
        <v>28669</v>
      </c>
      <c r="D476" s="30">
        <v>28668</v>
      </c>
      <c r="E476" s="30">
        <v>28646</v>
      </c>
      <c r="F476" s="30">
        <v>28740</v>
      </c>
      <c r="G476" s="30">
        <v>28624</v>
      </c>
      <c r="H476" s="30">
        <v>28576</v>
      </c>
      <c r="I476" s="30">
        <v>28652</v>
      </c>
      <c r="J476" s="30">
        <v>28441</v>
      </c>
      <c r="K476" s="30">
        <v>28574</v>
      </c>
      <c r="L476" s="30">
        <v>28466</v>
      </c>
      <c r="M476" s="30">
        <v>28680</v>
      </c>
      <c r="N476" s="30">
        <v>28735</v>
      </c>
      <c r="O476" s="24" t="str">
        <f t="shared" si="15"/>
        <v>Jones County, Georgia</v>
      </c>
    </row>
    <row r="477" spans="1:15" x14ac:dyDescent="0.25">
      <c r="A477" s="35" t="s">
        <v>953</v>
      </c>
      <c r="B477" s="28" t="str">
        <f t="shared" si="14"/>
        <v>Lamar</v>
      </c>
      <c r="C477" s="30">
        <v>18317</v>
      </c>
      <c r="D477" s="30">
        <v>18311</v>
      </c>
      <c r="E477" s="30">
        <v>18265</v>
      </c>
      <c r="F477" s="30">
        <v>18160</v>
      </c>
      <c r="G477" s="30">
        <v>18030</v>
      </c>
      <c r="H477" s="30">
        <v>17929</v>
      </c>
      <c r="I477" s="30">
        <v>18189</v>
      </c>
      <c r="J477" s="30">
        <v>18236</v>
      </c>
      <c r="K477" s="30">
        <v>18484</v>
      </c>
      <c r="L477" s="30">
        <v>18600</v>
      </c>
      <c r="M477" s="30">
        <v>18961</v>
      </c>
      <c r="N477" s="30">
        <v>19077</v>
      </c>
      <c r="O477" s="24" t="str">
        <f t="shared" si="15"/>
        <v>Lamar County, Georgia</v>
      </c>
    </row>
    <row r="478" spans="1:15" x14ac:dyDescent="0.25">
      <c r="A478" s="35" t="s">
        <v>954</v>
      </c>
      <c r="B478" s="28" t="str">
        <f t="shared" si="14"/>
        <v>Lanier</v>
      </c>
      <c r="C478" s="30">
        <v>10078</v>
      </c>
      <c r="D478" s="30">
        <v>10077</v>
      </c>
      <c r="E478" s="30">
        <v>10104</v>
      </c>
      <c r="F478" s="30">
        <v>10482</v>
      </c>
      <c r="G478" s="30">
        <v>10466</v>
      </c>
      <c r="H478" s="30">
        <v>10412</v>
      </c>
      <c r="I478" s="30">
        <v>10369</v>
      </c>
      <c r="J478" s="30">
        <v>10269</v>
      </c>
      <c r="K478" s="30">
        <v>10430</v>
      </c>
      <c r="L478" s="30">
        <v>10425</v>
      </c>
      <c r="M478" s="30">
        <v>10355</v>
      </c>
      <c r="N478" s="30">
        <v>10423</v>
      </c>
      <c r="O478" s="24" t="str">
        <f t="shared" si="15"/>
        <v>Lanier County, Georgia</v>
      </c>
    </row>
    <row r="479" spans="1:15" x14ac:dyDescent="0.25">
      <c r="A479" s="35" t="s">
        <v>955</v>
      </c>
      <c r="B479" s="28" t="str">
        <f t="shared" si="14"/>
        <v>Laurens</v>
      </c>
      <c r="C479" s="30">
        <v>48434</v>
      </c>
      <c r="D479" s="30">
        <v>48435</v>
      </c>
      <c r="E479" s="30">
        <v>48384</v>
      </c>
      <c r="F479" s="30">
        <v>47891</v>
      </c>
      <c r="G479" s="30">
        <v>47842</v>
      </c>
      <c r="H479" s="30">
        <v>47733</v>
      </c>
      <c r="I479" s="30">
        <v>47569</v>
      </c>
      <c r="J479" s="30">
        <v>47486</v>
      </c>
      <c r="K479" s="30">
        <v>47279</v>
      </c>
      <c r="L479" s="30">
        <v>47376</v>
      </c>
      <c r="M479" s="30">
        <v>47336</v>
      </c>
      <c r="N479" s="30">
        <v>47546</v>
      </c>
      <c r="O479" s="24" t="str">
        <f t="shared" si="15"/>
        <v>Laurens County, Georgia</v>
      </c>
    </row>
    <row r="480" spans="1:15" x14ac:dyDescent="0.25">
      <c r="A480" s="35" t="s">
        <v>956</v>
      </c>
      <c r="B480" s="28" t="str">
        <f t="shared" si="14"/>
        <v>Lee</v>
      </c>
      <c r="C480" s="30">
        <v>28298</v>
      </c>
      <c r="D480" s="30">
        <v>28295</v>
      </c>
      <c r="E480" s="30">
        <v>28414</v>
      </c>
      <c r="F480" s="30">
        <v>28578</v>
      </c>
      <c r="G480" s="30">
        <v>28708</v>
      </c>
      <c r="H480" s="30">
        <v>29039</v>
      </c>
      <c r="I480" s="30">
        <v>29122</v>
      </c>
      <c r="J480" s="30">
        <v>29173</v>
      </c>
      <c r="K480" s="30">
        <v>29184</v>
      </c>
      <c r="L480" s="30">
        <v>29410</v>
      </c>
      <c r="M480" s="30">
        <v>29751</v>
      </c>
      <c r="N480" s="30">
        <v>29992</v>
      </c>
      <c r="O480" s="24" t="str">
        <f t="shared" si="15"/>
        <v>Lee County, Georgia</v>
      </c>
    </row>
    <row r="481" spans="1:15" x14ac:dyDescent="0.25">
      <c r="A481" s="35" t="s">
        <v>957</v>
      </c>
      <c r="B481" s="28" t="str">
        <f t="shared" si="14"/>
        <v>Liberty</v>
      </c>
      <c r="C481" s="30">
        <v>63453</v>
      </c>
      <c r="D481" s="30">
        <v>63585</v>
      </c>
      <c r="E481" s="30">
        <v>62765</v>
      </c>
      <c r="F481" s="30">
        <v>65179</v>
      </c>
      <c r="G481" s="30">
        <v>64412</v>
      </c>
      <c r="H481" s="30">
        <v>62341</v>
      </c>
      <c r="I481" s="30">
        <v>64091</v>
      </c>
      <c r="J481" s="30">
        <v>61611</v>
      </c>
      <c r="K481" s="30">
        <v>61473</v>
      </c>
      <c r="L481" s="30">
        <v>61619</v>
      </c>
      <c r="M481" s="30">
        <v>60606</v>
      </c>
      <c r="N481" s="30">
        <v>61435</v>
      </c>
      <c r="O481" s="24" t="str">
        <f t="shared" si="15"/>
        <v>Liberty County, Georgia</v>
      </c>
    </row>
    <row r="482" spans="1:15" x14ac:dyDescent="0.25">
      <c r="A482" s="35" t="s">
        <v>958</v>
      </c>
      <c r="B482" s="28" t="str">
        <f t="shared" si="14"/>
        <v>Lincoln</v>
      </c>
      <c r="C482" s="30">
        <v>7996</v>
      </c>
      <c r="D482" s="30">
        <v>7996</v>
      </c>
      <c r="E482" s="30">
        <v>7970</v>
      </c>
      <c r="F482" s="30">
        <v>7872</v>
      </c>
      <c r="G482" s="30">
        <v>7764</v>
      </c>
      <c r="H482" s="30">
        <v>7734</v>
      </c>
      <c r="I482" s="30">
        <v>7644</v>
      </c>
      <c r="J482" s="30">
        <v>7722</v>
      </c>
      <c r="K482" s="30">
        <v>7855</v>
      </c>
      <c r="L482" s="30">
        <v>7856</v>
      </c>
      <c r="M482" s="30">
        <v>7925</v>
      </c>
      <c r="N482" s="30">
        <v>7921</v>
      </c>
      <c r="O482" s="24" t="str">
        <f t="shared" si="15"/>
        <v>Lincoln County, Georgia</v>
      </c>
    </row>
    <row r="483" spans="1:15" x14ac:dyDescent="0.25">
      <c r="A483" s="35" t="s">
        <v>959</v>
      </c>
      <c r="B483" s="28" t="str">
        <f t="shared" si="14"/>
        <v>Long</v>
      </c>
      <c r="C483" s="30">
        <v>14464</v>
      </c>
      <c r="D483" s="30">
        <v>14344</v>
      </c>
      <c r="E483" s="30">
        <v>14574</v>
      </c>
      <c r="F483" s="30">
        <v>15088</v>
      </c>
      <c r="G483" s="30">
        <v>15994</v>
      </c>
      <c r="H483" s="30">
        <v>16484</v>
      </c>
      <c r="I483" s="30">
        <v>17029</v>
      </c>
      <c r="J483" s="30">
        <v>17658</v>
      </c>
      <c r="K483" s="30">
        <v>18372</v>
      </c>
      <c r="L483" s="30">
        <v>18780</v>
      </c>
      <c r="M483" s="30">
        <v>19091</v>
      </c>
      <c r="N483" s="30">
        <v>19559</v>
      </c>
      <c r="O483" s="24" t="str">
        <f t="shared" si="15"/>
        <v>Long County, Georgia</v>
      </c>
    </row>
    <row r="484" spans="1:15" x14ac:dyDescent="0.25">
      <c r="A484" s="35" t="s">
        <v>960</v>
      </c>
      <c r="B484" s="28" t="str">
        <f t="shared" si="14"/>
        <v>Lowndes</v>
      </c>
      <c r="C484" s="30">
        <v>109233</v>
      </c>
      <c r="D484" s="30">
        <v>109248</v>
      </c>
      <c r="E484" s="30">
        <v>109689</v>
      </c>
      <c r="F484" s="30">
        <v>111479</v>
      </c>
      <c r="G484" s="30">
        <v>114071</v>
      </c>
      <c r="H484" s="30">
        <v>112883</v>
      </c>
      <c r="I484" s="30">
        <v>113506</v>
      </c>
      <c r="J484" s="30">
        <v>113342</v>
      </c>
      <c r="K484" s="30">
        <v>114360</v>
      </c>
      <c r="L484" s="30">
        <v>115404</v>
      </c>
      <c r="M484" s="30">
        <v>116309</v>
      </c>
      <c r="N484" s="30">
        <v>117406</v>
      </c>
      <c r="O484" s="24" t="str">
        <f t="shared" si="15"/>
        <v>Lowndes County, Georgia</v>
      </c>
    </row>
    <row r="485" spans="1:15" x14ac:dyDescent="0.25">
      <c r="A485" s="35" t="s">
        <v>961</v>
      </c>
      <c r="B485" s="28" t="str">
        <f t="shared" si="14"/>
        <v>Lumpkin</v>
      </c>
      <c r="C485" s="30">
        <v>29966</v>
      </c>
      <c r="D485" s="30">
        <v>29953</v>
      </c>
      <c r="E485" s="30">
        <v>30282</v>
      </c>
      <c r="F485" s="30">
        <v>30457</v>
      </c>
      <c r="G485" s="30">
        <v>30686</v>
      </c>
      <c r="H485" s="30">
        <v>30873</v>
      </c>
      <c r="I485" s="30">
        <v>31120</v>
      </c>
      <c r="J485" s="30">
        <v>31285</v>
      </c>
      <c r="K485" s="30">
        <v>31415</v>
      </c>
      <c r="L485" s="30">
        <v>32801</v>
      </c>
      <c r="M485" s="30">
        <v>32899</v>
      </c>
      <c r="N485" s="30">
        <v>33610</v>
      </c>
      <c r="O485" s="24" t="str">
        <f t="shared" si="15"/>
        <v>Lumpkin County, Georgia</v>
      </c>
    </row>
    <row r="486" spans="1:15" x14ac:dyDescent="0.25">
      <c r="A486" s="35" t="s">
        <v>962</v>
      </c>
      <c r="B486" s="28" t="str">
        <f t="shared" si="14"/>
        <v>McDuffie</v>
      </c>
      <c r="C486" s="30">
        <v>21875</v>
      </c>
      <c r="D486" s="30">
        <v>21867</v>
      </c>
      <c r="E486" s="30">
        <v>21803</v>
      </c>
      <c r="F486" s="30">
        <v>21614</v>
      </c>
      <c r="G486" s="30">
        <v>21630</v>
      </c>
      <c r="H486" s="30">
        <v>21499</v>
      </c>
      <c r="I486" s="30">
        <v>21524</v>
      </c>
      <c r="J486" s="30">
        <v>21462</v>
      </c>
      <c r="K486" s="30">
        <v>21456</v>
      </c>
      <c r="L486" s="30">
        <v>21511</v>
      </c>
      <c r="M486" s="30">
        <v>21532</v>
      </c>
      <c r="N486" s="30">
        <v>21312</v>
      </c>
      <c r="O486" s="24" t="str">
        <f t="shared" si="15"/>
        <v>McDuffie County, Georgia</v>
      </c>
    </row>
    <row r="487" spans="1:15" x14ac:dyDescent="0.25">
      <c r="A487" s="35" t="s">
        <v>963</v>
      </c>
      <c r="B487" s="28" t="str">
        <f t="shared" si="14"/>
        <v>McIntosh</v>
      </c>
      <c r="C487" s="30">
        <v>14333</v>
      </c>
      <c r="D487" s="30">
        <v>14330</v>
      </c>
      <c r="E487" s="30">
        <v>14311</v>
      </c>
      <c r="F487" s="30">
        <v>14223</v>
      </c>
      <c r="G487" s="30">
        <v>13883</v>
      </c>
      <c r="H487" s="30">
        <v>14027</v>
      </c>
      <c r="I487" s="30">
        <v>14064</v>
      </c>
      <c r="J487" s="30">
        <v>14031</v>
      </c>
      <c r="K487" s="30">
        <v>14057</v>
      </c>
      <c r="L487" s="30">
        <v>14080</v>
      </c>
      <c r="M487" s="30">
        <v>14322</v>
      </c>
      <c r="N487" s="30">
        <v>14378</v>
      </c>
      <c r="O487" s="24" t="str">
        <f t="shared" si="15"/>
        <v>McIntosh County, Georgia</v>
      </c>
    </row>
    <row r="488" spans="1:15" x14ac:dyDescent="0.25">
      <c r="A488" s="35" t="s">
        <v>964</v>
      </c>
      <c r="B488" s="28" t="str">
        <f t="shared" si="14"/>
        <v>Macon</v>
      </c>
      <c r="C488" s="30">
        <v>14740</v>
      </c>
      <c r="D488" s="30">
        <v>14743</v>
      </c>
      <c r="E488" s="30">
        <v>14645</v>
      </c>
      <c r="F488" s="30">
        <v>14454</v>
      </c>
      <c r="G488" s="30">
        <v>14301</v>
      </c>
      <c r="H488" s="30">
        <v>13976</v>
      </c>
      <c r="I488" s="30">
        <v>13819</v>
      </c>
      <c r="J488" s="30">
        <v>13688</v>
      </c>
      <c r="K488" s="30">
        <v>13478</v>
      </c>
      <c r="L488" s="30">
        <v>13254</v>
      </c>
      <c r="M488" s="30">
        <v>13160</v>
      </c>
      <c r="N488" s="30">
        <v>12947</v>
      </c>
      <c r="O488" s="24" t="str">
        <f t="shared" si="15"/>
        <v>Macon County, Georgia</v>
      </c>
    </row>
    <row r="489" spans="1:15" x14ac:dyDescent="0.25">
      <c r="A489" s="35" t="s">
        <v>965</v>
      </c>
      <c r="B489" s="28" t="str">
        <f t="shared" si="14"/>
        <v>Madison</v>
      </c>
      <c r="C489" s="30">
        <v>28120</v>
      </c>
      <c r="D489" s="30">
        <v>28167</v>
      </c>
      <c r="E489" s="30">
        <v>28212</v>
      </c>
      <c r="F489" s="30">
        <v>28174</v>
      </c>
      <c r="G489" s="30">
        <v>28070</v>
      </c>
      <c r="H489" s="30">
        <v>28202</v>
      </c>
      <c r="I489" s="30">
        <v>28362</v>
      </c>
      <c r="J489" s="30">
        <v>28419</v>
      </c>
      <c r="K489" s="30">
        <v>28856</v>
      </c>
      <c r="L489" s="30">
        <v>29295</v>
      </c>
      <c r="M489" s="30">
        <v>29642</v>
      </c>
      <c r="N489" s="30">
        <v>29880</v>
      </c>
      <c r="O489" s="24" t="str">
        <f t="shared" si="15"/>
        <v>Madison County, Georgia</v>
      </c>
    </row>
    <row r="490" spans="1:15" x14ac:dyDescent="0.25">
      <c r="A490" s="35" t="s">
        <v>966</v>
      </c>
      <c r="B490" s="28" t="str">
        <f t="shared" si="14"/>
        <v>Marion</v>
      </c>
      <c r="C490" s="30">
        <v>8742</v>
      </c>
      <c r="D490" s="30">
        <v>8738</v>
      </c>
      <c r="E490" s="30">
        <v>8741</v>
      </c>
      <c r="F490" s="30">
        <v>8701</v>
      </c>
      <c r="G490" s="30">
        <v>8672</v>
      </c>
      <c r="H490" s="30">
        <v>8580</v>
      </c>
      <c r="I490" s="30">
        <v>8632</v>
      </c>
      <c r="J490" s="30">
        <v>8558</v>
      </c>
      <c r="K490" s="30">
        <v>8468</v>
      </c>
      <c r="L490" s="30">
        <v>8403</v>
      </c>
      <c r="M490" s="30">
        <v>8373</v>
      </c>
      <c r="N490" s="30">
        <v>8359</v>
      </c>
      <c r="O490" s="24" t="str">
        <f t="shared" si="15"/>
        <v>Marion County, Georgia</v>
      </c>
    </row>
    <row r="491" spans="1:15" x14ac:dyDescent="0.25">
      <c r="A491" s="35" t="s">
        <v>967</v>
      </c>
      <c r="B491" s="28" t="str">
        <f t="shared" si="14"/>
        <v>Meriwether</v>
      </c>
      <c r="C491" s="30">
        <v>21992</v>
      </c>
      <c r="D491" s="30">
        <v>21978</v>
      </c>
      <c r="E491" s="30">
        <v>21818</v>
      </c>
      <c r="F491" s="30">
        <v>21598</v>
      </c>
      <c r="G491" s="30">
        <v>21335</v>
      </c>
      <c r="H491" s="30">
        <v>21217</v>
      </c>
      <c r="I491" s="30">
        <v>21208</v>
      </c>
      <c r="J491" s="30">
        <v>21173</v>
      </c>
      <c r="K491" s="30">
        <v>21074</v>
      </c>
      <c r="L491" s="30">
        <v>21021</v>
      </c>
      <c r="M491" s="30">
        <v>21094</v>
      </c>
      <c r="N491" s="30">
        <v>21167</v>
      </c>
      <c r="O491" s="24" t="str">
        <f t="shared" si="15"/>
        <v>Meriwether County, Georgia</v>
      </c>
    </row>
    <row r="492" spans="1:15" x14ac:dyDescent="0.25">
      <c r="A492" s="35" t="s">
        <v>968</v>
      </c>
      <c r="B492" s="28" t="str">
        <f t="shared" si="14"/>
        <v>Miller</v>
      </c>
      <c r="C492" s="30">
        <v>6125</v>
      </c>
      <c r="D492" s="30">
        <v>6127</v>
      </c>
      <c r="E492" s="30">
        <v>6133</v>
      </c>
      <c r="F492" s="30">
        <v>6071</v>
      </c>
      <c r="G492" s="30">
        <v>6004</v>
      </c>
      <c r="H492" s="30">
        <v>5899</v>
      </c>
      <c r="I492" s="30">
        <v>5944</v>
      </c>
      <c r="J492" s="30">
        <v>5848</v>
      </c>
      <c r="K492" s="30">
        <v>5874</v>
      </c>
      <c r="L492" s="30">
        <v>5813</v>
      </c>
      <c r="M492" s="30">
        <v>5684</v>
      </c>
      <c r="N492" s="30">
        <v>5718</v>
      </c>
      <c r="O492" s="24" t="str">
        <f t="shared" si="15"/>
        <v>Miller County, Georgia</v>
      </c>
    </row>
    <row r="493" spans="1:15" x14ac:dyDescent="0.25">
      <c r="A493" s="35" t="s">
        <v>969</v>
      </c>
      <c r="B493" s="28" t="str">
        <f t="shared" si="14"/>
        <v>Mitchell</v>
      </c>
      <c r="C493" s="30">
        <v>23498</v>
      </c>
      <c r="D493" s="30">
        <v>23501</v>
      </c>
      <c r="E493" s="30">
        <v>23502</v>
      </c>
      <c r="F493" s="30">
        <v>23400</v>
      </c>
      <c r="G493" s="30">
        <v>23086</v>
      </c>
      <c r="H493" s="30">
        <v>22992</v>
      </c>
      <c r="I493" s="30">
        <v>22715</v>
      </c>
      <c r="J493" s="30">
        <v>22449</v>
      </c>
      <c r="K493" s="30">
        <v>22455</v>
      </c>
      <c r="L493" s="30">
        <v>22317</v>
      </c>
      <c r="M493" s="30">
        <v>22135</v>
      </c>
      <c r="N493" s="30">
        <v>21863</v>
      </c>
      <c r="O493" s="24" t="str">
        <f t="shared" si="15"/>
        <v>Mitchell County, Georgia</v>
      </c>
    </row>
    <row r="494" spans="1:15" x14ac:dyDescent="0.25">
      <c r="A494" s="35" t="s">
        <v>970</v>
      </c>
      <c r="B494" s="28" t="str">
        <f t="shared" si="14"/>
        <v>Monroe</v>
      </c>
      <c r="C494" s="30">
        <v>26424</v>
      </c>
      <c r="D494" s="30">
        <v>26167</v>
      </c>
      <c r="E494" s="30">
        <v>26179</v>
      </c>
      <c r="F494" s="30">
        <v>26344</v>
      </c>
      <c r="G494" s="30">
        <v>26373</v>
      </c>
      <c r="H494" s="30">
        <v>26619</v>
      </c>
      <c r="I494" s="30">
        <v>26667</v>
      </c>
      <c r="J494" s="30">
        <v>26708</v>
      </c>
      <c r="K494" s="30">
        <v>26905</v>
      </c>
      <c r="L494" s="30">
        <v>27163</v>
      </c>
      <c r="M494" s="30">
        <v>27503</v>
      </c>
      <c r="N494" s="30">
        <v>27578</v>
      </c>
      <c r="O494" s="24" t="str">
        <f t="shared" si="15"/>
        <v>Monroe County, Georgia</v>
      </c>
    </row>
    <row r="495" spans="1:15" x14ac:dyDescent="0.25">
      <c r="A495" s="35" t="s">
        <v>971</v>
      </c>
      <c r="B495" s="28" t="str">
        <f t="shared" si="14"/>
        <v>Montgomery</v>
      </c>
      <c r="C495" s="30">
        <v>9123</v>
      </c>
      <c r="D495" s="30">
        <v>9181</v>
      </c>
      <c r="E495" s="30">
        <v>9144</v>
      </c>
      <c r="F495" s="30">
        <v>9030</v>
      </c>
      <c r="G495" s="30">
        <v>8887</v>
      </c>
      <c r="H495" s="30">
        <v>8957</v>
      </c>
      <c r="I495" s="30">
        <v>8982</v>
      </c>
      <c r="J495" s="30">
        <v>8942</v>
      </c>
      <c r="K495" s="30">
        <v>8985</v>
      </c>
      <c r="L495" s="30">
        <v>9024</v>
      </c>
      <c r="M495" s="30">
        <v>9168</v>
      </c>
      <c r="N495" s="30">
        <v>9172</v>
      </c>
      <c r="O495" s="24" t="str">
        <f t="shared" si="15"/>
        <v>Montgomery County, Georgia</v>
      </c>
    </row>
    <row r="496" spans="1:15" x14ac:dyDescent="0.25">
      <c r="A496" s="35" t="s">
        <v>972</v>
      </c>
      <c r="B496" s="28" t="str">
        <f t="shared" si="14"/>
        <v>Morgan</v>
      </c>
      <c r="C496" s="30">
        <v>17868</v>
      </c>
      <c r="D496" s="30">
        <v>17871</v>
      </c>
      <c r="E496" s="30">
        <v>17901</v>
      </c>
      <c r="F496" s="30">
        <v>17907</v>
      </c>
      <c r="G496" s="30">
        <v>17809</v>
      </c>
      <c r="H496" s="30">
        <v>17682</v>
      </c>
      <c r="I496" s="30">
        <v>17896</v>
      </c>
      <c r="J496" s="30">
        <v>17948</v>
      </c>
      <c r="K496" s="30">
        <v>18107</v>
      </c>
      <c r="L496" s="30">
        <v>18373</v>
      </c>
      <c r="M496" s="30">
        <v>18831</v>
      </c>
      <c r="N496" s="30">
        <v>19276</v>
      </c>
      <c r="O496" s="24" t="str">
        <f t="shared" si="15"/>
        <v>Morgan County, Georgia</v>
      </c>
    </row>
    <row r="497" spans="1:15" x14ac:dyDescent="0.25">
      <c r="A497" s="35" t="s">
        <v>973</v>
      </c>
      <c r="B497" s="28" t="str">
        <f t="shared" si="14"/>
        <v>Murray</v>
      </c>
      <c r="C497" s="30">
        <v>39628</v>
      </c>
      <c r="D497" s="30">
        <v>39628</v>
      </c>
      <c r="E497" s="30">
        <v>39533</v>
      </c>
      <c r="F497" s="30">
        <v>39365</v>
      </c>
      <c r="G497" s="30">
        <v>39311</v>
      </c>
      <c r="H497" s="30">
        <v>39178</v>
      </c>
      <c r="I497" s="30">
        <v>39215</v>
      </c>
      <c r="J497" s="30">
        <v>39430</v>
      </c>
      <c r="K497" s="30">
        <v>39347</v>
      </c>
      <c r="L497" s="30">
        <v>39803</v>
      </c>
      <c r="M497" s="30">
        <v>39943</v>
      </c>
      <c r="N497" s="30">
        <v>40096</v>
      </c>
      <c r="O497" s="24" t="str">
        <f t="shared" si="15"/>
        <v>Murray County, Georgia</v>
      </c>
    </row>
    <row r="498" spans="1:15" x14ac:dyDescent="0.25">
      <c r="A498" s="35" t="s">
        <v>974</v>
      </c>
      <c r="B498" s="28" t="str">
        <f t="shared" si="14"/>
        <v>Muscogee</v>
      </c>
      <c r="C498" s="30">
        <v>189885</v>
      </c>
      <c r="D498" s="30">
        <v>190570</v>
      </c>
      <c r="E498" s="30">
        <v>191101</v>
      </c>
      <c r="F498" s="30">
        <v>195271</v>
      </c>
      <c r="G498" s="30">
        <v>198965</v>
      </c>
      <c r="H498" s="30">
        <v>203225</v>
      </c>
      <c r="I498" s="30">
        <v>200563</v>
      </c>
      <c r="J498" s="30">
        <v>198702</v>
      </c>
      <c r="K498" s="30">
        <v>196219</v>
      </c>
      <c r="L498" s="30">
        <v>193836</v>
      </c>
      <c r="M498" s="30">
        <v>194169</v>
      </c>
      <c r="N498" s="30">
        <v>195769</v>
      </c>
      <c r="O498" s="24" t="str">
        <f t="shared" si="15"/>
        <v>Muscogee County, Georgia</v>
      </c>
    </row>
    <row r="499" spans="1:15" x14ac:dyDescent="0.25">
      <c r="A499" s="35" t="s">
        <v>975</v>
      </c>
      <c r="B499" s="28" t="str">
        <f t="shared" si="14"/>
        <v>Newton</v>
      </c>
      <c r="C499" s="30">
        <v>99958</v>
      </c>
      <c r="D499" s="30">
        <v>99967</v>
      </c>
      <c r="E499" s="30">
        <v>100133</v>
      </c>
      <c r="F499" s="30">
        <v>100444</v>
      </c>
      <c r="G499" s="30">
        <v>100956</v>
      </c>
      <c r="H499" s="30">
        <v>102040</v>
      </c>
      <c r="I499" s="30">
        <v>103441</v>
      </c>
      <c r="J499" s="30">
        <v>104884</v>
      </c>
      <c r="K499" s="30">
        <v>106499</v>
      </c>
      <c r="L499" s="30">
        <v>107846</v>
      </c>
      <c r="M499" s="30">
        <v>109421</v>
      </c>
      <c r="N499" s="30">
        <v>111744</v>
      </c>
      <c r="O499" s="24" t="str">
        <f t="shared" si="15"/>
        <v>Newton County, Georgia</v>
      </c>
    </row>
    <row r="500" spans="1:15" x14ac:dyDescent="0.25">
      <c r="A500" s="35" t="s">
        <v>976</v>
      </c>
      <c r="B500" s="28" t="str">
        <f t="shared" si="14"/>
        <v>Oconee</v>
      </c>
      <c r="C500" s="30">
        <v>32808</v>
      </c>
      <c r="D500" s="30">
        <v>32831</v>
      </c>
      <c r="E500" s="30">
        <v>32925</v>
      </c>
      <c r="F500" s="30">
        <v>33264</v>
      </c>
      <c r="G500" s="30">
        <v>33514</v>
      </c>
      <c r="H500" s="30">
        <v>34077</v>
      </c>
      <c r="I500" s="30">
        <v>35072</v>
      </c>
      <c r="J500" s="30">
        <v>35853</v>
      </c>
      <c r="K500" s="30">
        <v>36929</v>
      </c>
      <c r="L500" s="30">
        <v>38122</v>
      </c>
      <c r="M500" s="30">
        <v>39478</v>
      </c>
      <c r="N500" s="30">
        <v>40280</v>
      </c>
      <c r="O500" s="24" t="str">
        <f t="shared" si="15"/>
        <v>Oconee County, Georgia</v>
      </c>
    </row>
    <row r="501" spans="1:15" x14ac:dyDescent="0.25">
      <c r="A501" s="35" t="s">
        <v>977</v>
      </c>
      <c r="B501" s="28" t="str">
        <f t="shared" si="14"/>
        <v>Oglethorpe</v>
      </c>
      <c r="C501" s="30">
        <v>14899</v>
      </c>
      <c r="D501" s="30">
        <v>14881</v>
      </c>
      <c r="E501" s="30">
        <v>14899</v>
      </c>
      <c r="F501" s="30">
        <v>14708</v>
      </c>
      <c r="G501" s="30">
        <v>14509</v>
      </c>
      <c r="H501" s="30">
        <v>14423</v>
      </c>
      <c r="I501" s="30">
        <v>14541</v>
      </c>
      <c r="J501" s="30">
        <v>14732</v>
      </c>
      <c r="K501" s="30">
        <v>14712</v>
      </c>
      <c r="L501" s="30">
        <v>14874</v>
      </c>
      <c r="M501" s="30">
        <v>15080</v>
      </c>
      <c r="N501" s="30">
        <v>15259</v>
      </c>
      <c r="O501" s="24" t="str">
        <f t="shared" si="15"/>
        <v>Oglethorpe County, Georgia</v>
      </c>
    </row>
    <row r="502" spans="1:15" x14ac:dyDescent="0.25">
      <c r="A502" s="35" t="s">
        <v>978</v>
      </c>
      <c r="B502" s="28" t="str">
        <f t="shared" si="14"/>
        <v>Paulding</v>
      </c>
      <c r="C502" s="30">
        <v>142324</v>
      </c>
      <c r="D502" s="30">
        <v>142397</v>
      </c>
      <c r="E502" s="30">
        <v>142837</v>
      </c>
      <c r="F502" s="30">
        <v>143606</v>
      </c>
      <c r="G502" s="30">
        <v>144738</v>
      </c>
      <c r="H502" s="30">
        <v>146753</v>
      </c>
      <c r="I502" s="30">
        <v>148532</v>
      </c>
      <c r="J502" s="30">
        <v>151649</v>
      </c>
      <c r="K502" s="30">
        <v>155246</v>
      </c>
      <c r="L502" s="30">
        <v>159509</v>
      </c>
      <c r="M502" s="30">
        <v>164053</v>
      </c>
      <c r="N502" s="30">
        <v>168667</v>
      </c>
      <c r="O502" s="24" t="str">
        <f t="shared" si="15"/>
        <v>Paulding County, Georgia</v>
      </c>
    </row>
    <row r="503" spans="1:15" x14ac:dyDescent="0.25">
      <c r="A503" s="35" t="s">
        <v>979</v>
      </c>
      <c r="B503" s="28" t="str">
        <f t="shared" si="14"/>
        <v>Peach</v>
      </c>
      <c r="C503" s="30">
        <v>27695</v>
      </c>
      <c r="D503" s="30">
        <v>27807</v>
      </c>
      <c r="E503" s="30">
        <v>27857</v>
      </c>
      <c r="F503" s="30">
        <v>27786</v>
      </c>
      <c r="G503" s="30">
        <v>27765</v>
      </c>
      <c r="H503" s="30">
        <v>27162</v>
      </c>
      <c r="I503" s="30">
        <v>27142</v>
      </c>
      <c r="J503" s="30">
        <v>26970</v>
      </c>
      <c r="K503" s="30">
        <v>26885</v>
      </c>
      <c r="L503" s="30">
        <v>26961</v>
      </c>
      <c r="M503" s="30">
        <v>27363</v>
      </c>
      <c r="N503" s="30">
        <v>27546</v>
      </c>
      <c r="O503" s="24" t="str">
        <f t="shared" si="15"/>
        <v>Peach County, Georgia</v>
      </c>
    </row>
    <row r="504" spans="1:15" x14ac:dyDescent="0.25">
      <c r="A504" s="35" t="s">
        <v>980</v>
      </c>
      <c r="B504" s="28" t="str">
        <f t="shared" si="14"/>
        <v>Pickens</v>
      </c>
      <c r="C504" s="30">
        <v>29431</v>
      </c>
      <c r="D504" s="30">
        <v>29404</v>
      </c>
      <c r="E504" s="30">
        <v>29436</v>
      </c>
      <c r="F504" s="30">
        <v>29390</v>
      </c>
      <c r="G504" s="30">
        <v>29260</v>
      </c>
      <c r="H504" s="30">
        <v>29387</v>
      </c>
      <c r="I504" s="30">
        <v>29807</v>
      </c>
      <c r="J504" s="30">
        <v>30136</v>
      </c>
      <c r="K504" s="30">
        <v>30652</v>
      </c>
      <c r="L504" s="30">
        <v>31541</v>
      </c>
      <c r="M504" s="30">
        <v>32014</v>
      </c>
      <c r="N504" s="30">
        <v>32591</v>
      </c>
      <c r="O504" s="24" t="str">
        <f t="shared" si="15"/>
        <v>Pickens County, Georgia</v>
      </c>
    </row>
    <row r="505" spans="1:15" x14ac:dyDescent="0.25">
      <c r="A505" s="35" t="s">
        <v>981</v>
      </c>
      <c r="B505" s="28" t="str">
        <f t="shared" si="14"/>
        <v>Pierce</v>
      </c>
      <c r="C505" s="30">
        <v>18758</v>
      </c>
      <c r="D505" s="30">
        <v>18760</v>
      </c>
      <c r="E505" s="30">
        <v>18815</v>
      </c>
      <c r="F505" s="30">
        <v>18774</v>
      </c>
      <c r="G505" s="30">
        <v>18905</v>
      </c>
      <c r="H505" s="30">
        <v>19017</v>
      </c>
      <c r="I505" s="30">
        <v>19010</v>
      </c>
      <c r="J505" s="30">
        <v>19094</v>
      </c>
      <c r="K505" s="30">
        <v>19104</v>
      </c>
      <c r="L505" s="30">
        <v>19197</v>
      </c>
      <c r="M505" s="30">
        <v>19388</v>
      </c>
      <c r="N505" s="30">
        <v>19465</v>
      </c>
      <c r="O505" s="24" t="str">
        <f t="shared" si="15"/>
        <v>Pierce County, Georgia</v>
      </c>
    </row>
    <row r="506" spans="1:15" x14ac:dyDescent="0.25">
      <c r="A506" s="35" t="s">
        <v>982</v>
      </c>
      <c r="B506" s="28" t="str">
        <f t="shared" si="14"/>
        <v>Pike</v>
      </c>
      <c r="C506" s="30">
        <v>17869</v>
      </c>
      <c r="D506" s="30">
        <v>17873</v>
      </c>
      <c r="E506" s="30">
        <v>17922</v>
      </c>
      <c r="F506" s="30">
        <v>17785</v>
      </c>
      <c r="G506" s="30">
        <v>17770</v>
      </c>
      <c r="H506" s="30">
        <v>17774</v>
      </c>
      <c r="I506" s="30">
        <v>17765</v>
      </c>
      <c r="J506" s="30">
        <v>17925</v>
      </c>
      <c r="K506" s="30">
        <v>17897</v>
      </c>
      <c r="L506" s="30">
        <v>18204</v>
      </c>
      <c r="M506" s="30">
        <v>18647</v>
      </c>
      <c r="N506" s="30">
        <v>18962</v>
      </c>
      <c r="O506" s="24" t="str">
        <f t="shared" si="15"/>
        <v>Pike County, Georgia</v>
      </c>
    </row>
    <row r="507" spans="1:15" x14ac:dyDescent="0.25">
      <c r="A507" s="35" t="s">
        <v>983</v>
      </c>
      <c r="B507" s="28" t="str">
        <f t="shared" si="14"/>
        <v>Polk</v>
      </c>
      <c r="C507" s="30">
        <v>41475</v>
      </c>
      <c r="D507" s="30">
        <v>41495</v>
      </c>
      <c r="E507" s="30">
        <v>41547</v>
      </c>
      <c r="F507" s="30">
        <v>41281</v>
      </c>
      <c r="G507" s="30">
        <v>41101</v>
      </c>
      <c r="H507" s="30">
        <v>40977</v>
      </c>
      <c r="I507" s="30">
        <v>40879</v>
      </c>
      <c r="J507" s="30">
        <v>41207</v>
      </c>
      <c r="K507" s="30">
        <v>41555</v>
      </c>
      <c r="L507" s="30">
        <v>41818</v>
      </c>
      <c r="M507" s="30">
        <v>42346</v>
      </c>
      <c r="N507" s="30">
        <v>42613</v>
      </c>
      <c r="O507" s="24" t="str">
        <f t="shared" si="15"/>
        <v>Polk County, Georgia</v>
      </c>
    </row>
    <row r="508" spans="1:15" x14ac:dyDescent="0.25">
      <c r="A508" s="35" t="s">
        <v>984</v>
      </c>
      <c r="B508" s="28" t="str">
        <f t="shared" si="14"/>
        <v>Pulaski</v>
      </c>
      <c r="C508" s="30">
        <v>12010</v>
      </c>
      <c r="D508" s="30">
        <v>11999</v>
      </c>
      <c r="E508" s="30">
        <v>11969</v>
      </c>
      <c r="F508" s="30">
        <v>11839</v>
      </c>
      <c r="G508" s="30">
        <v>11699</v>
      </c>
      <c r="H508" s="30">
        <v>11563</v>
      </c>
      <c r="I508" s="30">
        <v>11509</v>
      </c>
      <c r="J508" s="30">
        <v>11395</v>
      </c>
      <c r="K508" s="30">
        <v>11288</v>
      </c>
      <c r="L508" s="30">
        <v>11181</v>
      </c>
      <c r="M508" s="30">
        <v>11080</v>
      </c>
      <c r="N508" s="30">
        <v>11137</v>
      </c>
      <c r="O508" s="24" t="str">
        <f t="shared" si="15"/>
        <v>Pulaski County, Georgia</v>
      </c>
    </row>
    <row r="509" spans="1:15" x14ac:dyDescent="0.25">
      <c r="A509" s="35" t="s">
        <v>985</v>
      </c>
      <c r="B509" s="28" t="str">
        <f t="shared" si="14"/>
        <v>Putnam</v>
      </c>
      <c r="C509" s="30">
        <v>21218</v>
      </c>
      <c r="D509" s="30">
        <v>21218</v>
      </c>
      <c r="E509" s="30">
        <v>21191</v>
      </c>
      <c r="F509" s="30">
        <v>21240</v>
      </c>
      <c r="G509" s="30">
        <v>21133</v>
      </c>
      <c r="H509" s="30">
        <v>21280</v>
      </c>
      <c r="I509" s="30">
        <v>21143</v>
      </c>
      <c r="J509" s="30">
        <v>21307</v>
      </c>
      <c r="K509" s="30">
        <v>21515</v>
      </c>
      <c r="L509" s="30">
        <v>21692</v>
      </c>
      <c r="M509" s="30">
        <v>21820</v>
      </c>
      <c r="N509" s="30">
        <v>22119</v>
      </c>
      <c r="O509" s="24" t="str">
        <f t="shared" si="15"/>
        <v>Putnam County, Georgia</v>
      </c>
    </row>
    <row r="510" spans="1:15" x14ac:dyDescent="0.25">
      <c r="A510" s="35" t="s">
        <v>986</v>
      </c>
      <c r="B510" s="28" t="str">
        <f t="shared" si="14"/>
        <v>Quitman</v>
      </c>
      <c r="C510" s="30">
        <v>2513</v>
      </c>
      <c r="D510" s="30">
        <v>2510</v>
      </c>
      <c r="E510" s="30">
        <v>2512</v>
      </c>
      <c r="F510" s="30">
        <v>2453</v>
      </c>
      <c r="G510" s="30">
        <v>2406</v>
      </c>
      <c r="H510" s="30">
        <v>2367</v>
      </c>
      <c r="I510" s="30">
        <v>2285</v>
      </c>
      <c r="J510" s="30">
        <v>2275</v>
      </c>
      <c r="K510" s="30">
        <v>2320</v>
      </c>
      <c r="L510" s="30">
        <v>2333</v>
      </c>
      <c r="M510" s="30">
        <v>2260</v>
      </c>
      <c r="N510" s="30">
        <v>2299</v>
      </c>
      <c r="O510" s="24" t="str">
        <f t="shared" si="15"/>
        <v>Quitman County, Georgia</v>
      </c>
    </row>
    <row r="511" spans="1:15" x14ac:dyDescent="0.25">
      <c r="A511" s="35" t="s">
        <v>987</v>
      </c>
      <c r="B511" s="28" t="str">
        <f t="shared" si="14"/>
        <v>Rabun</v>
      </c>
      <c r="C511" s="30">
        <v>16276</v>
      </c>
      <c r="D511" s="30">
        <v>16273</v>
      </c>
      <c r="E511" s="30">
        <v>16277</v>
      </c>
      <c r="F511" s="30">
        <v>16257</v>
      </c>
      <c r="G511" s="30">
        <v>16304</v>
      </c>
      <c r="H511" s="30">
        <v>16184</v>
      </c>
      <c r="I511" s="30">
        <v>16158</v>
      </c>
      <c r="J511" s="30">
        <v>16223</v>
      </c>
      <c r="K511" s="30">
        <v>16465</v>
      </c>
      <c r="L511" s="30">
        <v>16545</v>
      </c>
      <c r="M511" s="30">
        <v>16857</v>
      </c>
      <c r="N511" s="30">
        <v>17137</v>
      </c>
      <c r="O511" s="24" t="str">
        <f t="shared" si="15"/>
        <v>Rabun County, Georgia</v>
      </c>
    </row>
    <row r="512" spans="1:15" x14ac:dyDescent="0.25">
      <c r="A512" s="35" t="s">
        <v>988</v>
      </c>
      <c r="B512" s="28" t="str">
        <f t="shared" si="14"/>
        <v>Randolph</v>
      </c>
      <c r="C512" s="30">
        <v>7719</v>
      </c>
      <c r="D512" s="30">
        <v>7721</v>
      </c>
      <c r="E512" s="30">
        <v>7668</v>
      </c>
      <c r="F512" s="30">
        <v>7567</v>
      </c>
      <c r="G512" s="30">
        <v>7308</v>
      </c>
      <c r="H512" s="30">
        <v>7201</v>
      </c>
      <c r="I512" s="30">
        <v>7314</v>
      </c>
      <c r="J512" s="30">
        <v>7150</v>
      </c>
      <c r="K512" s="30">
        <v>7155</v>
      </c>
      <c r="L512" s="30">
        <v>6969</v>
      </c>
      <c r="M512" s="30">
        <v>6812</v>
      </c>
      <c r="N512" s="30">
        <v>6778</v>
      </c>
      <c r="O512" s="24" t="str">
        <f t="shared" si="15"/>
        <v>Randolph County, Georgia</v>
      </c>
    </row>
    <row r="513" spans="1:15" x14ac:dyDescent="0.25">
      <c r="A513" s="35" t="s">
        <v>989</v>
      </c>
      <c r="B513" s="28" t="str">
        <f t="shared" si="14"/>
        <v>Richmond</v>
      </c>
      <c r="C513" s="30">
        <v>200549</v>
      </c>
      <c r="D513" s="30">
        <v>200594</v>
      </c>
      <c r="E513" s="30">
        <v>201115</v>
      </c>
      <c r="F513" s="30">
        <v>200568</v>
      </c>
      <c r="G513" s="30">
        <v>201742</v>
      </c>
      <c r="H513" s="30">
        <v>201335</v>
      </c>
      <c r="I513" s="30">
        <v>201287</v>
      </c>
      <c r="J513" s="30">
        <v>201451</v>
      </c>
      <c r="K513" s="30">
        <v>201949</v>
      </c>
      <c r="L513" s="30">
        <v>201673</v>
      </c>
      <c r="M513" s="30">
        <v>201667</v>
      </c>
      <c r="N513" s="30">
        <v>202518</v>
      </c>
      <c r="O513" s="24" t="str">
        <f t="shared" si="15"/>
        <v>Richmond County, Georgia</v>
      </c>
    </row>
    <row r="514" spans="1:15" x14ac:dyDescent="0.25">
      <c r="A514" s="35" t="s">
        <v>990</v>
      </c>
      <c r="B514" s="28" t="str">
        <f t="shared" si="14"/>
        <v>Rockdale</v>
      </c>
      <c r="C514" s="30">
        <v>85215</v>
      </c>
      <c r="D514" s="30">
        <v>85169</v>
      </c>
      <c r="E514" s="30">
        <v>85354</v>
      </c>
      <c r="F514" s="30">
        <v>85409</v>
      </c>
      <c r="G514" s="30">
        <v>85427</v>
      </c>
      <c r="H514" s="30">
        <v>86480</v>
      </c>
      <c r="I514" s="30">
        <v>87164</v>
      </c>
      <c r="J514" s="30">
        <v>88354</v>
      </c>
      <c r="K514" s="30">
        <v>88987</v>
      </c>
      <c r="L514" s="30">
        <v>89843</v>
      </c>
      <c r="M514" s="30">
        <v>90505</v>
      </c>
      <c r="N514" s="30">
        <v>90896</v>
      </c>
      <c r="O514" s="24" t="str">
        <f t="shared" si="15"/>
        <v>Rockdale County, Georgia</v>
      </c>
    </row>
    <row r="515" spans="1:15" x14ac:dyDescent="0.25">
      <c r="A515" s="35" t="s">
        <v>991</v>
      </c>
      <c r="B515" s="28" t="str">
        <f t="shared" si="14"/>
        <v>Schley</v>
      </c>
      <c r="C515" s="30">
        <v>5010</v>
      </c>
      <c r="D515" s="30">
        <v>5013</v>
      </c>
      <c r="E515" s="30">
        <v>5020</v>
      </c>
      <c r="F515" s="30">
        <v>5044</v>
      </c>
      <c r="G515" s="30">
        <v>5024</v>
      </c>
      <c r="H515" s="30">
        <v>5095</v>
      </c>
      <c r="I515" s="30">
        <v>5189</v>
      </c>
      <c r="J515" s="30">
        <v>5209</v>
      </c>
      <c r="K515" s="30">
        <v>5173</v>
      </c>
      <c r="L515" s="30">
        <v>5235</v>
      </c>
      <c r="M515" s="30">
        <v>5230</v>
      </c>
      <c r="N515" s="30">
        <v>5257</v>
      </c>
      <c r="O515" s="24" t="str">
        <f t="shared" si="15"/>
        <v>Schley County, Georgia</v>
      </c>
    </row>
    <row r="516" spans="1:15" x14ac:dyDescent="0.25">
      <c r="A516" s="35" t="s">
        <v>992</v>
      </c>
      <c r="B516" s="28" t="str">
        <f t="shared" si="14"/>
        <v>Screven</v>
      </c>
      <c r="C516" s="30">
        <v>14593</v>
      </c>
      <c r="D516" s="30">
        <v>14594</v>
      </c>
      <c r="E516" s="30">
        <v>14501</v>
      </c>
      <c r="F516" s="30">
        <v>14405</v>
      </c>
      <c r="G516" s="30">
        <v>14168</v>
      </c>
      <c r="H516" s="30">
        <v>14145</v>
      </c>
      <c r="I516" s="30">
        <v>14002</v>
      </c>
      <c r="J516" s="30">
        <v>14059</v>
      </c>
      <c r="K516" s="30">
        <v>14003</v>
      </c>
      <c r="L516" s="30">
        <v>13956</v>
      </c>
      <c r="M516" s="30">
        <v>13960</v>
      </c>
      <c r="N516" s="30">
        <v>13966</v>
      </c>
      <c r="O516" s="24" t="str">
        <f t="shared" si="15"/>
        <v>Screven County, Georgia</v>
      </c>
    </row>
    <row r="517" spans="1:15" x14ac:dyDescent="0.25">
      <c r="A517" s="35" t="s">
        <v>993</v>
      </c>
      <c r="B517" s="28" t="str">
        <f t="shared" si="14"/>
        <v>Seminole</v>
      </c>
      <c r="C517" s="30">
        <v>8729</v>
      </c>
      <c r="D517" s="30">
        <v>8729</v>
      </c>
      <c r="E517" s="30">
        <v>8727</v>
      </c>
      <c r="F517" s="30">
        <v>8767</v>
      </c>
      <c r="G517" s="30">
        <v>8871</v>
      </c>
      <c r="H517" s="30">
        <v>8848</v>
      </c>
      <c r="I517" s="30">
        <v>8603</v>
      </c>
      <c r="J517" s="30">
        <v>8565</v>
      </c>
      <c r="K517" s="30">
        <v>8427</v>
      </c>
      <c r="L517" s="30">
        <v>8253</v>
      </c>
      <c r="M517" s="30">
        <v>8270</v>
      </c>
      <c r="N517" s="30">
        <v>8090</v>
      </c>
      <c r="O517" s="24" t="str">
        <f t="shared" si="15"/>
        <v>Seminole County, Georgia</v>
      </c>
    </row>
    <row r="518" spans="1:15" x14ac:dyDescent="0.25">
      <c r="A518" s="35" t="s">
        <v>994</v>
      </c>
      <c r="B518" s="28" t="str">
        <f t="shared" si="14"/>
        <v>Spalding</v>
      </c>
      <c r="C518" s="30">
        <v>64073</v>
      </c>
      <c r="D518" s="30">
        <v>64109</v>
      </c>
      <c r="E518" s="30">
        <v>64096</v>
      </c>
      <c r="F518" s="30">
        <v>64044</v>
      </c>
      <c r="G518" s="30">
        <v>63691</v>
      </c>
      <c r="H518" s="30">
        <v>63508</v>
      </c>
      <c r="I518" s="30">
        <v>63692</v>
      </c>
      <c r="J518" s="30">
        <v>63818</v>
      </c>
      <c r="K518" s="30">
        <v>64546</v>
      </c>
      <c r="L518" s="30">
        <v>65358</v>
      </c>
      <c r="M518" s="30">
        <v>66107</v>
      </c>
      <c r="N518" s="30">
        <v>66703</v>
      </c>
      <c r="O518" s="24" t="str">
        <f t="shared" si="15"/>
        <v>Spalding County, Georgia</v>
      </c>
    </row>
    <row r="519" spans="1:15" x14ac:dyDescent="0.25">
      <c r="A519" s="35" t="s">
        <v>995</v>
      </c>
      <c r="B519" s="28" t="str">
        <f t="shared" ref="B519:B582" si="16">LEFT(A519,FIND("County",A519,1)-2)</f>
        <v>Stephens</v>
      </c>
      <c r="C519" s="30">
        <v>26175</v>
      </c>
      <c r="D519" s="30">
        <v>26153</v>
      </c>
      <c r="E519" s="30">
        <v>26117</v>
      </c>
      <c r="F519" s="30">
        <v>25750</v>
      </c>
      <c r="G519" s="30">
        <v>25703</v>
      </c>
      <c r="H519" s="30">
        <v>25551</v>
      </c>
      <c r="I519" s="30">
        <v>25406</v>
      </c>
      <c r="J519" s="30">
        <v>25446</v>
      </c>
      <c r="K519" s="30">
        <v>25637</v>
      </c>
      <c r="L519" s="30">
        <v>25736</v>
      </c>
      <c r="M519" s="30">
        <v>26007</v>
      </c>
      <c r="N519" s="30">
        <v>25925</v>
      </c>
      <c r="O519" s="24" t="str">
        <f t="shared" ref="O519:O582" si="17">A519</f>
        <v>Stephens County, Georgia</v>
      </c>
    </row>
    <row r="520" spans="1:15" x14ac:dyDescent="0.25">
      <c r="A520" s="35" t="s">
        <v>996</v>
      </c>
      <c r="B520" s="28" t="str">
        <f t="shared" si="16"/>
        <v>Stewart</v>
      </c>
      <c r="C520" s="30">
        <v>6058</v>
      </c>
      <c r="D520" s="30">
        <v>6060</v>
      </c>
      <c r="E520" s="30">
        <v>6102</v>
      </c>
      <c r="F520" s="30">
        <v>6067</v>
      </c>
      <c r="G520" s="30">
        <v>6109</v>
      </c>
      <c r="H520" s="30">
        <v>5559</v>
      </c>
      <c r="I520" s="30">
        <v>5887</v>
      </c>
      <c r="J520" s="30">
        <v>5973</v>
      </c>
      <c r="K520" s="30">
        <v>6122</v>
      </c>
      <c r="L520" s="30">
        <v>6314</v>
      </c>
      <c r="M520" s="30">
        <v>6435</v>
      </c>
      <c r="N520" s="30">
        <v>6621</v>
      </c>
      <c r="O520" s="24" t="str">
        <f t="shared" si="17"/>
        <v>Stewart County, Georgia</v>
      </c>
    </row>
    <row r="521" spans="1:15" x14ac:dyDescent="0.25">
      <c r="A521" s="35" t="s">
        <v>997</v>
      </c>
      <c r="B521" s="28" t="str">
        <f t="shared" si="16"/>
        <v>Sumter</v>
      </c>
      <c r="C521" s="30">
        <v>32819</v>
      </c>
      <c r="D521" s="30">
        <v>32815</v>
      </c>
      <c r="E521" s="30">
        <v>32684</v>
      </c>
      <c r="F521" s="30">
        <v>32068</v>
      </c>
      <c r="G521" s="30">
        <v>31582</v>
      </c>
      <c r="H521" s="30">
        <v>31335</v>
      </c>
      <c r="I521" s="30">
        <v>31161</v>
      </c>
      <c r="J521" s="30">
        <v>30696</v>
      </c>
      <c r="K521" s="30">
        <v>30403</v>
      </c>
      <c r="L521" s="30">
        <v>29901</v>
      </c>
      <c r="M521" s="30">
        <v>29796</v>
      </c>
      <c r="N521" s="30">
        <v>29524</v>
      </c>
      <c r="O521" s="24" t="str">
        <f t="shared" si="17"/>
        <v>Sumter County, Georgia</v>
      </c>
    </row>
    <row r="522" spans="1:15" x14ac:dyDescent="0.25">
      <c r="A522" s="35" t="s">
        <v>998</v>
      </c>
      <c r="B522" s="28" t="str">
        <f t="shared" si="16"/>
        <v>Talbot</v>
      </c>
      <c r="C522" s="30">
        <v>6865</v>
      </c>
      <c r="D522" s="30">
        <v>6890</v>
      </c>
      <c r="E522" s="30">
        <v>6880</v>
      </c>
      <c r="F522" s="30">
        <v>6850</v>
      </c>
      <c r="G522" s="30">
        <v>6640</v>
      </c>
      <c r="H522" s="30">
        <v>6554</v>
      </c>
      <c r="I522" s="30">
        <v>6534</v>
      </c>
      <c r="J522" s="30">
        <v>6498</v>
      </c>
      <c r="K522" s="30">
        <v>6366</v>
      </c>
      <c r="L522" s="30">
        <v>6256</v>
      </c>
      <c r="M522" s="30">
        <v>6290</v>
      </c>
      <c r="N522" s="30">
        <v>6195</v>
      </c>
      <c r="O522" s="24" t="str">
        <f t="shared" si="17"/>
        <v>Talbot County, Georgia</v>
      </c>
    </row>
    <row r="523" spans="1:15" x14ac:dyDescent="0.25">
      <c r="A523" s="35" t="s">
        <v>999</v>
      </c>
      <c r="B523" s="28" t="str">
        <f t="shared" si="16"/>
        <v>Taliaferro</v>
      </c>
      <c r="C523" s="30">
        <v>1717</v>
      </c>
      <c r="D523" s="30">
        <v>1717</v>
      </c>
      <c r="E523" s="30">
        <v>1703</v>
      </c>
      <c r="F523" s="30">
        <v>1705</v>
      </c>
      <c r="G523" s="30">
        <v>1674</v>
      </c>
      <c r="H523" s="30">
        <v>1690</v>
      </c>
      <c r="I523" s="30">
        <v>1693</v>
      </c>
      <c r="J523" s="30">
        <v>1642</v>
      </c>
      <c r="K523" s="30">
        <v>1611</v>
      </c>
      <c r="L523" s="30">
        <v>1613</v>
      </c>
      <c r="M523" s="30">
        <v>1612</v>
      </c>
      <c r="N523" s="30">
        <v>1537</v>
      </c>
      <c r="O523" s="24" t="str">
        <f t="shared" si="17"/>
        <v>Taliaferro County, Georgia</v>
      </c>
    </row>
    <row r="524" spans="1:15" x14ac:dyDescent="0.25">
      <c r="A524" s="35" t="s">
        <v>1000</v>
      </c>
      <c r="B524" s="28" t="str">
        <f t="shared" si="16"/>
        <v>Tattnall</v>
      </c>
      <c r="C524" s="30">
        <v>25520</v>
      </c>
      <c r="D524" s="30">
        <v>25510</v>
      </c>
      <c r="E524" s="30">
        <v>25475</v>
      </c>
      <c r="F524" s="30">
        <v>25436</v>
      </c>
      <c r="G524" s="30">
        <v>25463</v>
      </c>
      <c r="H524" s="30">
        <v>25635</v>
      </c>
      <c r="I524" s="30">
        <v>25321</v>
      </c>
      <c r="J524" s="30">
        <v>25387</v>
      </c>
      <c r="K524" s="30">
        <v>25342</v>
      </c>
      <c r="L524" s="30">
        <v>25409</v>
      </c>
      <c r="M524" s="30">
        <v>25485</v>
      </c>
      <c r="N524" s="30">
        <v>25286</v>
      </c>
      <c r="O524" s="24" t="str">
        <f t="shared" si="17"/>
        <v>Tattnall County, Georgia</v>
      </c>
    </row>
    <row r="525" spans="1:15" x14ac:dyDescent="0.25">
      <c r="A525" s="35" t="s">
        <v>1001</v>
      </c>
      <c r="B525" s="28" t="str">
        <f t="shared" si="16"/>
        <v>Taylor</v>
      </c>
      <c r="C525" s="30">
        <v>8906</v>
      </c>
      <c r="D525" s="30">
        <v>8909</v>
      </c>
      <c r="E525" s="30">
        <v>8777</v>
      </c>
      <c r="F525" s="30">
        <v>8440</v>
      </c>
      <c r="G525" s="30">
        <v>8361</v>
      </c>
      <c r="H525" s="30">
        <v>8380</v>
      </c>
      <c r="I525" s="30">
        <v>8380</v>
      </c>
      <c r="J525" s="30">
        <v>8243</v>
      </c>
      <c r="K525" s="30">
        <v>8189</v>
      </c>
      <c r="L525" s="30">
        <v>8110</v>
      </c>
      <c r="M525" s="30">
        <v>8020</v>
      </c>
      <c r="N525" s="30">
        <v>8020</v>
      </c>
      <c r="O525" s="24" t="str">
        <f t="shared" si="17"/>
        <v>Taylor County, Georgia</v>
      </c>
    </row>
    <row r="526" spans="1:15" x14ac:dyDescent="0.25">
      <c r="A526" s="35" t="s">
        <v>1002</v>
      </c>
      <c r="B526" s="28" t="str">
        <f t="shared" si="16"/>
        <v>Telfair</v>
      </c>
      <c r="C526" s="30">
        <v>16500</v>
      </c>
      <c r="D526" s="30">
        <v>16490</v>
      </c>
      <c r="E526" s="30">
        <v>16518</v>
      </c>
      <c r="F526" s="30">
        <v>16243</v>
      </c>
      <c r="G526" s="30">
        <v>16367</v>
      </c>
      <c r="H526" s="30">
        <v>16633</v>
      </c>
      <c r="I526" s="30">
        <v>16454</v>
      </c>
      <c r="J526" s="30">
        <v>16451</v>
      </c>
      <c r="K526" s="30">
        <v>15962</v>
      </c>
      <c r="L526" s="30">
        <v>15929</v>
      </c>
      <c r="M526" s="30">
        <v>15974</v>
      </c>
      <c r="N526" s="30">
        <v>15860</v>
      </c>
      <c r="O526" s="24" t="str">
        <f t="shared" si="17"/>
        <v>Telfair County, Georgia</v>
      </c>
    </row>
    <row r="527" spans="1:15" x14ac:dyDescent="0.25">
      <c r="A527" s="35" t="s">
        <v>1003</v>
      </c>
      <c r="B527" s="28" t="str">
        <f t="shared" si="16"/>
        <v>Terrell</v>
      </c>
      <c r="C527" s="30">
        <v>9315</v>
      </c>
      <c r="D527" s="30">
        <v>9507</v>
      </c>
      <c r="E527" s="30">
        <v>9526</v>
      </c>
      <c r="F527" s="30">
        <v>9392</v>
      </c>
      <c r="G527" s="30">
        <v>9225</v>
      </c>
      <c r="H527" s="30">
        <v>9165</v>
      </c>
      <c r="I527" s="30">
        <v>9079</v>
      </c>
      <c r="J527" s="30">
        <v>9013</v>
      </c>
      <c r="K527" s="30">
        <v>8861</v>
      </c>
      <c r="L527" s="30">
        <v>8695</v>
      </c>
      <c r="M527" s="30">
        <v>8587</v>
      </c>
      <c r="N527" s="30">
        <v>8531</v>
      </c>
      <c r="O527" s="24" t="str">
        <f t="shared" si="17"/>
        <v>Terrell County, Georgia</v>
      </c>
    </row>
    <row r="528" spans="1:15" x14ac:dyDescent="0.25">
      <c r="A528" s="35" t="s">
        <v>1004</v>
      </c>
      <c r="B528" s="28" t="str">
        <f t="shared" si="16"/>
        <v>Thomas</v>
      </c>
      <c r="C528" s="30">
        <v>44720</v>
      </c>
      <c r="D528" s="30">
        <v>44723</v>
      </c>
      <c r="E528" s="30">
        <v>44747</v>
      </c>
      <c r="F528" s="30">
        <v>44590</v>
      </c>
      <c r="G528" s="30">
        <v>44528</v>
      </c>
      <c r="H528" s="30">
        <v>44770</v>
      </c>
      <c r="I528" s="30">
        <v>44765</v>
      </c>
      <c r="J528" s="30">
        <v>44796</v>
      </c>
      <c r="K528" s="30">
        <v>44950</v>
      </c>
      <c r="L528" s="30">
        <v>44619</v>
      </c>
      <c r="M528" s="30">
        <v>44334</v>
      </c>
      <c r="N528" s="30">
        <v>44451</v>
      </c>
      <c r="O528" s="24" t="str">
        <f t="shared" si="17"/>
        <v>Thomas County, Georgia</v>
      </c>
    </row>
    <row r="529" spans="1:15" x14ac:dyDescent="0.25">
      <c r="A529" s="35" t="s">
        <v>1005</v>
      </c>
      <c r="B529" s="28" t="str">
        <f t="shared" si="16"/>
        <v>Tift</v>
      </c>
      <c r="C529" s="30">
        <v>40118</v>
      </c>
      <c r="D529" s="30">
        <v>40136</v>
      </c>
      <c r="E529" s="30">
        <v>40251</v>
      </c>
      <c r="F529" s="30">
        <v>41159</v>
      </c>
      <c r="G529" s="30">
        <v>40945</v>
      </c>
      <c r="H529" s="30">
        <v>40180</v>
      </c>
      <c r="I529" s="30">
        <v>40453</v>
      </c>
      <c r="J529" s="30">
        <v>40536</v>
      </c>
      <c r="K529" s="30">
        <v>40554</v>
      </c>
      <c r="L529" s="30">
        <v>40431</v>
      </c>
      <c r="M529" s="30">
        <v>40542</v>
      </c>
      <c r="N529" s="30">
        <v>40644</v>
      </c>
      <c r="O529" s="24" t="str">
        <f t="shared" si="17"/>
        <v>Tift County, Georgia</v>
      </c>
    </row>
    <row r="530" spans="1:15" x14ac:dyDescent="0.25">
      <c r="A530" s="35" t="s">
        <v>1006</v>
      </c>
      <c r="B530" s="28" t="str">
        <f t="shared" si="16"/>
        <v>Toombs</v>
      </c>
      <c r="C530" s="30">
        <v>27223</v>
      </c>
      <c r="D530" s="30">
        <v>27170</v>
      </c>
      <c r="E530" s="30">
        <v>27244</v>
      </c>
      <c r="F530" s="30">
        <v>27195</v>
      </c>
      <c r="G530" s="30">
        <v>27168</v>
      </c>
      <c r="H530" s="30">
        <v>27189</v>
      </c>
      <c r="I530" s="30">
        <v>27135</v>
      </c>
      <c r="J530" s="30">
        <v>27150</v>
      </c>
      <c r="K530" s="30">
        <v>27121</v>
      </c>
      <c r="L530" s="30">
        <v>26859</v>
      </c>
      <c r="M530" s="30">
        <v>26902</v>
      </c>
      <c r="N530" s="30">
        <v>26830</v>
      </c>
      <c r="O530" s="24" t="str">
        <f t="shared" si="17"/>
        <v>Toombs County, Georgia</v>
      </c>
    </row>
    <row r="531" spans="1:15" x14ac:dyDescent="0.25">
      <c r="A531" s="35" t="s">
        <v>1007</v>
      </c>
      <c r="B531" s="28" t="str">
        <f t="shared" si="16"/>
        <v>Towns</v>
      </c>
      <c r="C531" s="30">
        <v>10471</v>
      </c>
      <c r="D531" s="30">
        <v>10477</v>
      </c>
      <c r="E531" s="30">
        <v>10535</v>
      </c>
      <c r="F531" s="30">
        <v>10580</v>
      </c>
      <c r="G531" s="30">
        <v>10563</v>
      </c>
      <c r="H531" s="30">
        <v>10787</v>
      </c>
      <c r="I531" s="30">
        <v>11084</v>
      </c>
      <c r="J531" s="30">
        <v>11212</v>
      </c>
      <c r="K531" s="30">
        <v>11419</v>
      </c>
      <c r="L531" s="30">
        <v>11553</v>
      </c>
      <c r="M531" s="30">
        <v>11866</v>
      </c>
      <c r="N531" s="30">
        <v>12037</v>
      </c>
      <c r="O531" s="24" t="str">
        <f t="shared" si="17"/>
        <v>Towns County, Georgia</v>
      </c>
    </row>
    <row r="532" spans="1:15" x14ac:dyDescent="0.25">
      <c r="A532" s="35" t="s">
        <v>1008</v>
      </c>
      <c r="B532" s="28" t="str">
        <f t="shared" si="16"/>
        <v>Treutlen</v>
      </c>
      <c r="C532" s="30">
        <v>6885</v>
      </c>
      <c r="D532" s="30">
        <v>6883</v>
      </c>
      <c r="E532" s="30">
        <v>6894</v>
      </c>
      <c r="F532" s="30">
        <v>6824</v>
      </c>
      <c r="G532" s="30">
        <v>6789</v>
      </c>
      <c r="H532" s="30">
        <v>6687</v>
      </c>
      <c r="I532" s="30">
        <v>6811</v>
      </c>
      <c r="J532" s="30">
        <v>6803</v>
      </c>
      <c r="K532" s="30">
        <v>6710</v>
      </c>
      <c r="L532" s="30">
        <v>6746</v>
      </c>
      <c r="M532" s="30">
        <v>6813</v>
      </c>
      <c r="N532" s="30">
        <v>6901</v>
      </c>
      <c r="O532" s="24" t="str">
        <f t="shared" si="17"/>
        <v>Treutlen County, Georgia</v>
      </c>
    </row>
    <row r="533" spans="1:15" x14ac:dyDescent="0.25">
      <c r="A533" s="35" t="s">
        <v>1009</v>
      </c>
      <c r="B533" s="28" t="str">
        <f t="shared" si="16"/>
        <v>Troup</v>
      </c>
      <c r="C533" s="30">
        <v>67044</v>
      </c>
      <c r="D533" s="30">
        <v>67040</v>
      </c>
      <c r="E533" s="30">
        <v>67054</v>
      </c>
      <c r="F533" s="30">
        <v>67629</v>
      </c>
      <c r="G533" s="30">
        <v>68282</v>
      </c>
      <c r="H533" s="30">
        <v>68801</v>
      </c>
      <c r="I533" s="30">
        <v>69278</v>
      </c>
      <c r="J533" s="30">
        <v>69595</v>
      </c>
      <c r="K533" s="30">
        <v>69939</v>
      </c>
      <c r="L533" s="30">
        <v>70062</v>
      </c>
      <c r="M533" s="30">
        <v>70078</v>
      </c>
      <c r="N533" s="30">
        <v>69922</v>
      </c>
      <c r="O533" s="24" t="str">
        <f t="shared" si="17"/>
        <v>Troup County, Georgia</v>
      </c>
    </row>
    <row r="534" spans="1:15" x14ac:dyDescent="0.25">
      <c r="A534" s="35" t="s">
        <v>1010</v>
      </c>
      <c r="B534" s="28" t="str">
        <f t="shared" si="16"/>
        <v>Turner</v>
      </c>
      <c r="C534" s="30">
        <v>8930</v>
      </c>
      <c r="D534" s="30">
        <v>8933</v>
      </c>
      <c r="E534" s="30">
        <v>8910</v>
      </c>
      <c r="F534" s="30">
        <v>8940</v>
      </c>
      <c r="G534" s="30">
        <v>8445</v>
      </c>
      <c r="H534" s="30">
        <v>8206</v>
      </c>
      <c r="I534" s="30">
        <v>8066</v>
      </c>
      <c r="J534" s="30">
        <v>7982</v>
      </c>
      <c r="K534" s="30">
        <v>7944</v>
      </c>
      <c r="L534" s="30">
        <v>7895</v>
      </c>
      <c r="M534" s="30">
        <v>7908</v>
      </c>
      <c r="N534" s="30">
        <v>7985</v>
      </c>
      <c r="O534" s="24" t="str">
        <f t="shared" si="17"/>
        <v>Turner County, Georgia</v>
      </c>
    </row>
    <row r="535" spans="1:15" x14ac:dyDescent="0.25">
      <c r="A535" s="35" t="s">
        <v>1011</v>
      </c>
      <c r="B535" s="28" t="str">
        <f t="shared" si="16"/>
        <v>Twiggs</v>
      </c>
      <c r="C535" s="30">
        <v>9023</v>
      </c>
      <c r="D535" s="30">
        <v>9026</v>
      </c>
      <c r="E535" s="30">
        <v>8973</v>
      </c>
      <c r="F535" s="30">
        <v>8827</v>
      </c>
      <c r="G535" s="30">
        <v>8552</v>
      </c>
      <c r="H535" s="30">
        <v>8516</v>
      </c>
      <c r="I535" s="30">
        <v>8392</v>
      </c>
      <c r="J535" s="30">
        <v>8347</v>
      </c>
      <c r="K535" s="30">
        <v>8249</v>
      </c>
      <c r="L535" s="30">
        <v>8253</v>
      </c>
      <c r="M535" s="30">
        <v>8174</v>
      </c>
      <c r="N535" s="30">
        <v>8120</v>
      </c>
      <c r="O535" s="24" t="str">
        <f t="shared" si="17"/>
        <v>Twiggs County, Georgia</v>
      </c>
    </row>
    <row r="536" spans="1:15" x14ac:dyDescent="0.25">
      <c r="A536" s="35" t="s">
        <v>1012</v>
      </c>
      <c r="B536" s="28" t="str">
        <f t="shared" si="16"/>
        <v>Union</v>
      </c>
      <c r="C536" s="30">
        <v>21356</v>
      </c>
      <c r="D536" s="30">
        <v>21358</v>
      </c>
      <c r="E536" s="30">
        <v>21370</v>
      </c>
      <c r="F536" s="30">
        <v>21252</v>
      </c>
      <c r="G536" s="30">
        <v>21328</v>
      </c>
      <c r="H536" s="30">
        <v>21424</v>
      </c>
      <c r="I536" s="30">
        <v>21764</v>
      </c>
      <c r="J536" s="30">
        <v>22007</v>
      </c>
      <c r="K536" s="30">
        <v>22640</v>
      </c>
      <c r="L536" s="30">
        <v>23376</v>
      </c>
      <c r="M536" s="30">
        <v>23905</v>
      </c>
      <c r="N536" s="30">
        <v>24511</v>
      </c>
      <c r="O536" s="24" t="str">
        <f t="shared" si="17"/>
        <v>Union County, Georgia</v>
      </c>
    </row>
    <row r="537" spans="1:15" x14ac:dyDescent="0.25">
      <c r="A537" s="35" t="s">
        <v>1013</v>
      </c>
      <c r="B537" s="28" t="str">
        <f t="shared" si="16"/>
        <v>Upson</v>
      </c>
      <c r="C537" s="30">
        <v>27153</v>
      </c>
      <c r="D537" s="30">
        <v>27149</v>
      </c>
      <c r="E537" s="30">
        <v>27054</v>
      </c>
      <c r="F537" s="30">
        <v>26920</v>
      </c>
      <c r="G537" s="30">
        <v>26562</v>
      </c>
      <c r="H537" s="30">
        <v>26421</v>
      </c>
      <c r="I537" s="30">
        <v>26161</v>
      </c>
      <c r="J537" s="30">
        <v>26231</v>
      </c>
      <c r="K537" s="30">
        <v>26245</v>
      </c>
      <c r="L537" s="30">
        <v>26201</v>
      </c>
      <c r="M537" s="30">
        <v>26185</v>
      </c>
      <c r="N537" s="30">
        <v>26320</v>
      </c>
      <c r="O537" s="24" t="str">
        <f t="shared" si="17"/>
        <v>Upson County, Georgia</v>
      </c>
    </row>
    <row r="538" spans="1:15" x14ac:dyDescent="0.25">
      <c r="A538" s="35" t="s">
        <v>1014</v>
      </c>
      <c r="B538" s="28" t="str">
        <f t="shared" si="16"/>
        <v>Walker</v>
      </c>
      <c r="C538" s="30">
        <v>68756</v>
      </c>
      <c r="D538" s="30">
        <v>68738</v>
      </c>
      <c r="E538" s="30">
        <v>68870</v>
      </c>
      <c r="F538" s="30">
        <v>68801</v>
      </c>
      <c r="G538" s="30">
        <v>68452</v>
      </c>
      <c r="H538" s="30">
        <v>68594</v>
      </c>
      <c r="I538" s="30">
        <v>68659</v>
      </c>
      <c r="J538" s="30">
        <v>68537</v>
      </c>
      <c r="K538" s="30">
        <v>68455</v>
      </c>
      <c r="L538" s="30">
        <v>68999</v>
      </c>
      <c r="M538" s="30">
        <v>69443</v>
      </c>
      <c r="N538" s="30">
        <v>69761</v>
      </c>
      <c r="O538" s="24" t="str">
        <f t="shared" si="17"/>
        <v>Walker County, Georgia</v>
      </c>
    </row>
    <row r="539" spans="1:15" x14ac:dyDescent="0.25">
      <c r="A539" s="35" t="s">
        <v>1015</v>
      </c>
      <c r="B539" s="28" t="str">
        <f t="shared" si="16"/>
        <v>Walton</v>
      </c>
      <c r="C539" s="30">
        <v>83768</v>
      </c>
      <c r="D539" s="30">
        <v>83806</v>
      </c>
      <c r="E539" s="30">
        <v>83992</v>
      </c>
      <c r="F539" s="30">
        <v>84630</v>
      </c>
      <c r="G539" s="30">
        <v>84975</v>
      </c>
      <c r="H539" s="30">
        <v>86041</v>
      </c>
      <c r="I539" s="30">
        <v>87526</v>
      </c>
      <c r="J539" s="30">
        <v>88333</v>
      </c>
      <c r="K539" s="30">
        <v>89786</v>
      </c>
      <c r="L539" s="30">
        <v>91296</v>
      </c>
      <c r="M539" s="30">
        <v>93202</v>
      </c>
      <c r="N539" s="30">
        <v>94593</v>
      </c>
      <c r="O539" s="24" t="str">
        <f t="shared" si="17"/>
        <v>Walton County, Georgia</v>
      </c>
    </row>
    <row r="540" spans="1:15" x14ac:dyDescent="0.25">
      <c r="A540" s="35" t="s">
        <v>1016</v>
      </c>
      <c r="B540" s="28" t="str">
        <f t="shared" si="16"/>
        <v>Ware</v>
      </c>
      <c r="C540" s="30">
        <v>36312</v>
      </c>
      <c r="D540" s="30">
        <v>36298</v>
      </c>
      <c r="E540" s="30">
        <v>36308</v>
      </c>
      <c r="F540" s="30">
        <v>36274</v>
      </c>
      <c r="G540" s="30">
        <v>35893</v>
      </c>
      <c r="H540" s="30">
        <v>35743</v>
      </c>
      <c r="I540" s="30">
        <v>35513</v>
      </c>
      <c r="J540" s="30">
        <v>35327</v>
      </c>
      <c r="K540" s="30">
        <v>35648</v>
      </c>
      <c r="L540" s="30">
        <v>35668</v>
      </c>
      <c r="M540" s="30">
        <v>35587</v>
      </c>
      <c r="N540" s="30">
        <v>35734</v>
      </c>
      <c r="O540" s="24" t="str">
        <f t="shared" si="17"/>
        <v>Ware County, Georgia</v>
      </c>
    </row>
    <row r="541" spans="1:15" x14ac:dyDescent="0.25">
      <c r="A541" s="35" t="s">
        <v>1017</v>
      </c>
      <c r="B541" s="28" t="str">
        <f t="shared" si="16"/>
        <v>Warren</v>
      </c>
      <c r="C541" s="30">
        <v>5834</v>
      </c>
      <c r="D541" s="30">
        <v>5834</v>
      </c>
      <c r="E541" s="30">
        <v>5782</v>
      </c>
      <c r="F541" s="30">
        <v>5677</v>
      </c>
      <c r="G541" s="30">
        <v>5544</v>
      </c>
      <c r="H541" s="30">
        <v>5518</v>
      </c>
      <c r="I541" s="30">
        <v>5458</v>
      </c>
      <c r="J541" s="30">
        <v>5374</v>
      </c>
      <c r="K541" s="30">
        <v>5345</v>
      </c>
      <c r="L541" s="30">
        <v>5265</v>
      </c>
      <c r="M541" s="30">
        <v>5247</v>
      </c>
      <c r="N541" s="30">
        <v>5254</v>
      </c>
      <c r="O541" s="24" t="str">
        <f t="shared" si="17"/>
        <v>Warren County, Georgia</v>
      </c>
    </row>
    <row r="542" spans="1:15" x14ac:dyDescent="0.25">
      <c r="A542" s="35" t="s">
        <v>1018</v>
      </c>
      <c r="B542" s="28" t="str">
        <f t="shared" si="16"/>
        <v>Washington</v>
      </c>
      <c r="C542" s="30">
        <v>21187</v>
      </c>
      <c r="D542" s="30">
        <v>21182</v>
      </c>
      <c r="E542" s="30">
        <v>21093</v>
      </c>
      <c r="F542" s="30">
        <v>20969</v>
      </c>
      <c r="G542" s="30">
        <v>20790</v>
      </c>
      <c r="H542" s="30">
        <v>20573</v>
      </c>
      <c r="I542" s="30">
        <v>20548</v>
      </c>
      <c r="J542" s="30">
        <v>20736</v>
      </c>
      <c r="K542" s="30">
        <v>20347</v>
      </c>
      <c r="L542" s="30">
        <v>20311</v>
      </c>
      <c r="M542" s="30">
        <v>20410</v>
      </c>
      <c r="N542" s="30">
        <v>20374</v>
      </c>
      <c r="O542" s="24" t="str">
        <f t="shared" si="17"/>
        <v>Washington County, Georgia</v>
      </c>
    </row>
    <row r="543" spans="1:15" x14ac:dyDescent="0.25">
      <c r="A543" s="35" t="s">
        <v>1019</v>
      </c>
      <c r="B543" s="28" t="str">
        <f t="shared" si="16"/>
        <v>Wayne</v>
      </c>
      <c r="C543" s="30">
        <v>30099</v>
      </c>
      <c r="D543" s="30">
        <v>30097</v>
      </c>
      <c r="E543" s="30">
        <v>30074</v>
      </c>
      <c r="F543" s="30">
        <v>30294</v>
      </c>
      <c r="G543" s="30">
        <v>30320</v>
      </c>
      <c r="H543" s="30">
        <v>29990</v>
      </c>
      <c r="I543" s="30">
        <v>29891</v>
      </c>
      <c r="J543" s="30">
        <v>29430</v>
      </c>
      <c r="K543" s="30">
        <v>29974</v>
      </c>
      <c r="L543" s="30">
        <v>29797</v>
      </c>
      <c r="M543" s="30">
        <v>29810</v>
      </c>
      <c r="N543" s="30">
        <v>29927</v>
      </c>
      <c r="O543" s="24" t="str">
        <f t="shared" si="17"/>
        <v>Wayne County, Georgia</v>
      </c>
    </row>
    <row r="544" spans="1:15" x14ac:dyDescent="0.25">
      <c r="A544" s="35" t="s">
        <v>1020</v>
      </c>
      <c r="B544" s="28" t="str">
        <f t="shared" si="16"/>
        <v>Webster</v>
      </c>
      <c r="C544" s="30">
        <v>2799</v>
      </c>
      <c r="D544" s="30">
        <v>2799</v>
      </c>
      <c r="E544" s="30">
        <v>2781</v>
      </c>
      <c r="F544" s="30">
        <v>2764</v>
      </c>
      <c r="G544" s="30">
        <v>2765</v>
      </c>
      <c r="H544" s="30">
        <v>2669</v>
      </c>
      <c r="I544" s="30">
        <v>2611</v>
      </c>
      <c r="J544" s="30">
        <v>2631</v>
      </c>
      <c r="K544" s="30">
        <v>2616</v>
      </c>
      <c r="L544" s="30">
        <v>2589</v>
      </c>
      <c r="M544" s="30">
        <v>2606</v>
      </c>
      <c r="N544" s="30">
        <v>2607</v>
      </c>
      <c r="O544" s="24" t="str">
        <f t="shared" si="17"/>
        <v>Webster County, Georgia</v>
      </c>
    </row>
    <row r="545" spans="1:15" x14ac:dyDescent="0.25">
      <c r="A545" s="35" t="s">
        <v>1021</v>
      </c>
      <c r="B545" s="28" t="str">
        <f t="shared" si="16"/>
        <v>Wheeler</v>
      </c>
      <c r="C545" s="30">
        <v>7421</v>
      </c>
      <c r="D545" s="30">
        <v>7431</v>
      </c>
      <c r="E545" s="30">
        <v>7769</v>
      </c>
      <c r="F545" s="30">
        <v>8079</v>
      </c>
      <c r="G545" s="30">
        <v>7933</v>
      </c>
      <c r="H545" s="30">
        <v>7935</v>
      </c>
      <c r="I545" s="30">
        <v>7984</v>
      </c>
      <c r="J545" s="30">
        <v>7911</v>
      </c>
      <c r="K545" s="30">
        <v>8015</v>
      </c>
      <c r="L545" s="30">
        <v>7960</v>
      </c>
      <c r="M545" s="30">
        <v>7898</v>
      </c>
      <c r="N545" s="30">
        <v>7855</v>
      </c>
      <c r="O545" s="24" t="str">
        <f t="shared" si="17"/>
        <v>Wheeler County, Georgia</v>
      </c>
    </row>
    <row r="546" spans="1:15" x14ac:dyDescent="0.25">
      <c r="A546" s="35" t="s">
        <v>1022</v>
      </c>
      <c r="B546" s="28" t="str">
        <f t="shared" si="16"/>
        <v>White</v>
      </c>
      <c r="C546" s="30">
        <v>27144</v>
      </c>
      <c r="D546" s="30">
        <v>27139</v>
      </c>
      <c r="E546" s="30">
        <v>27203</v>
      </c>
      <c r="F546" s="30">
        <v>27401</v>
      </c>
      <c r="G546" s="30">
        <v>27626</v>
      </c>
      <c r="H546" s="30">
        <v>27830</v>
      </c>
      <c r="I546" s="30">
        <v>28021</v>
      </c>
      <c r="J546" s="30">
        <v>28387</v>
      </c>
      <c r="K546" s="30">
        <v>28828</v>
      </c>
      <c r="L546" s="30">
        <v>29445</v>
      </c>
      <c r="M546" s="30">
        <v>29988</v>
      </c>
      <c r="N546" s="30">
        <v>30798</v>
      </c>
      <c r="O546" s="24" t="str">
        <f t="shared" si="17"/>
        <v>White County, Georgia</v>
      </c>
    </row>
    <row r="547" spans="1:15" x14ac:dyDescent="0.25">
      <c r="A547" s="35" t="s">
        <v>1023</v>
      </c>
      <c r="B547" s="28" t="str">
        <f t="shared" si="16"/>
        <v>Whitfield</v>
      </c>
      <c r="C547" s="30">
        <v>102599</v>
      </c>
      <c r="D547" s="30">
        <v>102605</v>
      </c>
      <c r="E547" s="30">
        <v>102745</v>
      </c>
      <c r="F547" s="30">
        <v>102920</v>
      </c>
      <c r="G547" s="30">
        <v>102948</v>
      </c>
      <c r="H547" s="30">
        <v>102728</v>
      </c>
      <c r="I547" s="30">
        <v>103083</v>
      </c>
      <c r="J547" s="30">
        <v>103669</v>
      </c>
      <c r="K547" s="30">
        <v>104406</v>
      </c>
      <c r="L547" s="30">
        <v>104234</v>
      </c>
      <c r="M547" s="30">
        <v>104249</v>
      </c>
      <c r="N547" s="30">
        <v>104628</v>
      </c>
      <c r="O547" s="24" t="str">
        <f t="shared" si="17"/>
        <v>Whitfield County, Georgia</v>
      </c>
    </row>
    <row r="548" spans="1:15" x14ac:dyDescent="0.25">
      <c r="A548" s="35" t="s">
        <v>1024</v>
      </c>
      <c r="B548" s="28" t="str">
        <f t="shared" si="16"/>
        <v>Wilcox</v>
      </c>
      <c r="C548" s="30">
        <v>9255</v>
      </c>
      <c r="D548" s="30">
        <v>9256</v>
      </c>
      <c r="E548" s="30">
        <v>9314</v>
      </c>
      <c r="F548" s="30">
        <v>9252</v>
      </c>
      <c r="G548" s="30">
        <v>9074</v>
      </c>
      <c r="H548" s="30">
        <v>9061</v>
      </c>
      <c r="I548" s="30">
        <v>8937</v>
      </c>
      <c r="J548" s="30">
        <v>9024</v>
      </c>
      <c r="K548" s="30">
        <v>8841</v>
      </c>
      <c r="L548" s="30">
        <v>8791</v>
      </c>
      <c r="M548" s="30">
        <v>8827</v>
      </c>
      <c r="N548" s="30">
        <v>8635</v>
      </c>
      <c r="O548" s="24" t="str">
        <f t="shared" si="17"/>
        <v>Wilcox County, Georgia</v>
      </c>
    </row>
    <row r="549" spans="1:15" x14ac:dyDescent="0.25">
      <c r="A549" s="35" t="s">
        <v>1025</v>
      </c>
      <c r="B549" s="28" t="str">
        <f t="shared" si="16"/>
        <v>Wilkes</v>
      </c>
      <c r="C549" s="30">
        <v>10593</v>
      </c>
      <c r="D549" s="30">
        <v>10593</v>
      </c>
      <c r="E549" s="30">
        <v>10388</v>
      </c>
      <c r="F549" s="30">
        <v>10229</v>
      </c>
      <c r="G549" s="30">
        <v>10086</v>
      </c>
      <c r="H549" s="30">
        <v>9920</v>
      </c>
      <c r="I549" s="30">
        <v>9949</v>
      </c>
      <c r="J549" s="30">
        <v>9911</v>
      </c>
      <c r="K549" s="30">
        <v>9809</v>
      </c>
      <c r="L549" s="30">
        <v>9860</v>
      </c>
      <c r="M549" s="30">
        <v>9864</v>
      </c>
      <c r="N549" s="30">
        <v>9777</v>
      </c>
      <c r="O549" s="24" t="str">
        <f t="shared" si="17"/>
        <v>Wilkes County, Georgia</v>
      </c>
    </row>
    <row r="550" spans="1:15" x14ac:dyDescent="0.25">
      <c r="A550" s="35" t="s">
        <v>1026</v>
      </c>
      <c r="B550" s="28" t="str">
        <f t="shared" si="16"/>
        <v>Wilkinson</v>
      </c>
      <c r="C550" s="30">
        <v>9563</v>
      </c>
      <c r="D550" s="30">
        <v>9570</v>
      </c>
      <c r="E550" s="30">
        <v>9529</v>
      </c>
      <c r="F550" s="30">
        <v>9416</v>
      </c>
      <c r="G550" s="30">
        <v>9484</v>
      </c>
      <c r="H550" s="30">
        <v>9363</v>
      </c>
      <c r="I550" s="30">
        <v>9284</v>
      </c>
      <c r="J550" s="30">
        <v>9080</v>
      </c>
      <c r="K550" s="30">
        <v>9020</v>
      </c>
      <c r="L550" s="30">
        <v>8954</v>
      </c>
      <c r="M550" s="30">
        <v>9043</v>
      </c>
      <c r="N550" s="30">
        <v>8954</v>
      </c>
      <c r="O550" s="24" t="str">
        <f t="shared" si="17"/>
        <v>Wilkinson County, Georgia</v>
      </c>
    </row>
    <row r="551" spans="1:15" x14ac:dyDescent="0.25">
      <c r="A551" s="35" t="s">
        <v>1027</v>
      </c>
      <c r="B551" s="28" t="str">
        <f t="shared" si="16"/>
        <v>Worth</v>
      </c>
      <c r="C551" s="30">
        <v>21679</v>
      </c>
      <c r="D551" s="30">
        <v>21667</v>
      </c>
      <c r="E551" s="30">
        <v>21692</v>
      </c>
      <c r="F551" s="30">
        <v>21512</v>
      </c>
      <c r="G551" s="30">
        <v>21349</v>
      </c>
      <c r="H551" s="30">
        <v>21052</v>
      </c>
      <c r="I551" s="30">
        <v>21006</v>
      </c>
      <c r="J551" s="30">
        <v>20688</v>
      </c>
      <c r="K551" s="30">
        <v>20703</v>
      </c>
      <c r="L551" s="30">
        <v>20528</v>
      </c>
      <c r="M551" s="30">
        <v>20302</v>
      </c>
      <c r="N551" s="30">
        <v>20247</v>
      </c>
      <c r="O551" s="24" t="str">
        <f t="shared" si="17"/>
        <v>Worth County, Georgia</v>
      </c>
    </row>
    <row r="552" spans="1:15" x14ac:dyDescent="0.25">
      <c r="A552" s="35" t="s">
        <v>1028</v>
      </c>
      <c r="B552" s="28" t="str">
        <f t="shared" si="16"/>
        <v>Hawaii</v>
      </c>
      <c r="C552" s="30">
        <v>185079</v>
      </c>
      <c r="D552" s="30">
        <v>185076</v>
      </c>
      <c r="E552" s="30">
        <v>185363</v>
      </c>
      <c r="F552" s="30">
        <v>187079</v>
      </c>
      <c r="G552" s="30">
        <v>189161</v>
      </c>
      <c r="H552" s="30">
        <v>191459</v>
      </c>
      <c r="I552" s="30">
        <v>193711</v>
      </c>
      <c r="J552" s="30">
        <v>195975</v>
      </c>
      <c r="K552" s="30">
        <v>198316</v>
      </c>
      <c r="L552" s="30">
        <v>199981</v>
      </c>
      <c r="M552" s="30">
        <v>201509</v>
      </c>
      <c r="N552" s="30">
        <v>201513</v>
      </c>
      <c r="O552" s="24" t="str">
        <f t="shared" si="17"/>
        <v>Hawaii County, Hawaii</v>
      </c>
    </row>
    <row r="553" spans="1:15" x14ac:dyDescent="0.25">
      <c r="A553" s="35" t="s">
        <v>1029</v>
      </c>
      <c r="B553" s="28" t="str">
        <f t="shared" si="16"/>
        <v>Honolulu</v>
      </c>
      <c r="C553" s="30">
        <v>953207</v>
      </c>
      <c r="D553" s="30">
        <v>953206</v>
      </c>
      <c r="E553" s="30">
        <v>956285</v>
      </c>
      <c r="F553" s="30">
        <v>967336</v>
      </c>
      <c r="G553" s="30">
        <v>977994</v>
      </c>
      <c r="H553" s="30">
        <v>986059</v>
      </c>
      <c r="I553" s="30">
        <v>987414</v>
      </c>
      <c r="J553" s="30">
        <v>991064</v>
      </c>
      <c r="K553" s="30">
        <v>992268</v>
      </c>
      <c r="L553" s="30">
        <v>986353</v>
      </c>
      <c r="M553" s="30">
        <v>979858</v>
      </c>
      <c r="N553" s="30">
        <v>974563</v>
      </c>
      <c r="O553" s="24" t="str">
        <f t="shared" si="17"/>
        <v>Honolulu County, Hawaii</v>
      </c>
    </row>
    <row r="554" spans="1:15" x14ac:dyDescent="0.25">
      <c r="A554" s="35" t="s">
        <v>1030</v>
      </c>
      <c r="B554" s="28" t="str">
        <f t="shared" si="16"/>
        <v>Kalawao</v>
      </c>
      <c r="C554" s="30">
        <v>90</v>
      </c>
      <c r="D554" s="30">
        <v>90</v>
      </c>
      <c r="E554" s="30">
        <v>90</v>
      </c>
      <c r="F554" s="30">
        <v>90</v>
      </c>
      <c r="G554" s="30">
        <v>89</v>
      </c>
      <c r="H554" s="30">
        <v>89</v>
      </c>
      <c r="I554" s="30">
        <v>89</v>
      </c>
      <c r="J554" s="30">
        <v>88</v>
      </c>
      <c r="K554" s="30">
        <v>88</v>
      </c>
      <c r="L554" s="30">
        <v>86</v>
      </c>
      <c r="M554" s="30">
        <v>86</v>
      </c>
      <c r="N554" s="30">
        <v>86</v>
      </c>
      <c r="O554" s="24" t="str">
        <f t="shared" si="17"/>
        <v>Kalawao County, Hawaii</v>
      </c>
    </row>
    <row r="555" spans="1:15" x14ac:dyDescent="0.25">
      <c r="A555" s="35" t="s">
        <v>1031</v>
      </c>
      <c r="B555" s="28" t="str">
        <f t="shared" si="16"/>
        <v>Kauai</v>
      </c>
      <c r="C555" s="30">
        <v>67091</v>
      </c>
      <c r="D555" s="30">
        <v>67095</v>
      </c>
      <c r="E555" s="30">
        <v>67205</v>
      </c>
      <c r="F555" s="30">
        <v>67888</v>
      </c>
      <c r="G555" s="30">
        <v>68671</v>
      </c>
      <c r="H555" s="30">
        <v>69632</v>
      </c>
      <c r="I555" s="30">
        <v>70288</v>
      </c>
      <c r="J555" s="30">
        <v>71021</v>
      </c>
      <c r="K555" s="30">
        <v>71537</v>
      </c>
      <c r="L555" s="30">
        <v>71827</v>
      </c>
      <c r="M555" s="30">
        <v>72168</v>
      </c>
      <c r="N555" s="30">
        <v>72293</v>
      </c>
      <c r="O555" s="24" t="str">
        <f t="shared" si="17"/>
        <v>Kauai County, Hawaii</v>
      </c>
    </row>
    <row r="556" spans="1:15" x14ac:dyDescent="0.25">
      <c r="A556" s="35" t="s">
        <v>1032</v>
      </c>
      <c r="B556" s="28" t="str">
        <f t="shared" si="16"/>
        <v>Maui</v>
      </c>
      <c r="C556" s="30">
        <v>154834</v>
      </c>
      <c r="D556" s="30">
        <v>154840</v>
      </c>
      <c r="E556" s="30">
        <v>155020</v>
      </c>
      <c r="F556" s="30">
        <v>156936</v>
      </c>
      <c r="G556" s="30">
        <v>158889</v>
      </c>
      <c r="H556" s="30">
        <v>161004</v>
      </c>
      <c r="I556" s="30">
        <v>163036</v>
      </c>
      <c r="J556" s="30">
        <v>163904</v>
      </c>
      <c r="K556" s="30">
        <v>165350</v>
      </c>
      <c r="L556" s="30">
        <v>166146</v>
      </c>
      <c r="M556" s="30">
        <v>166972</v>
      </c>
      <c r="N556" s="30">
        <v>167417</v>
      </c>
      <c r="O556" s="24" t="str">
        <f t="shared" si="17"/>
        <v>Maui County, Hawaii</v>
      </c>
    </row>
    <row r="557" spans="1:15" x14ac:dyDescent="0.25">
      <c r="A557" s="35" t="s">
        <v>1033</v>
      </c>
      <c r="B557" s="28" t="str">
        <f t="shared" si="16"/>
        <v>Ada</v>
      </c>
      <c r="C557" s="30">
        <v>392365</v>
      </c>
      <c r="D557" s="30">
        <v>392372</v>
      </c>
      <c r="E557" s="30">
        <v>393354</v>
      </c>
      <c r="F557" s="30">
        <v>401262</v>
      </c>
      <c r="G557" s="30">
        <v>408862</v>
      </c>
      <c r="H557" s="30">
        <v>415951</v>
      </c>
      <c r="I557" s="30">
        <v>425471</v>
      </c>
      <c r="J557" s="30">
        <v>432862</v>
      </c>
      <c r="K557" s="30">
        <v>444486</v>
      </c>
      <c r="L557" s="30">
        <v>456548</v>
      </c>
      <c r="M557" s="30">
        <v>468764</v>
      </c>
      <c r="N557" s="30">
        <v>481587</v>
      </c>
      <c r="O557" s="24" t="str">
        <f t="shared" si="17"/>
        <v>Ada County, Idaho</v>
      </c>
    </row>
    <row r="558" spans="1:15" x14ac:dyDescent="0.25">
      <c r="A558" s="35" t="s">
        <v>1034</v>
      </c>
      <c r="B558" s="28" t="str">
        <f t="shared" si="16"/>
        <v>Adams</v>
      </c>
      <c r="C558" s="30">
        <v>3976</v>
      </c>
      <c r="D558" s="30">
        <v>3978</v>
      </c>
      <c r="E558" s="30">
        <v>3962</v>
      </c>
      <c r="F558" s="30">
        <v>3981</v>
      </c>
      <c r="G558" s="30">
        <v>3908</v>
      </c>
      <c r="H558" s="30">
        <v>3863</v>
      </c>
      <c r="I558" s="30">
        <v>3883</v>
      </c>
      <c r="J558" s="30">
        <v>3891</v>
      </c>
      <c r="K558" s="30">
        <v>3941</v>
      </c>
      <c r="L558" s="30">
        <v>4127</v>
      </c>
      <c r="M558" s="30">
        <v>4234</v>
      </c>
      <c r="N558" s="30">
        <v>4294</v>
      </c>
      <c r="O558" s="24" t="str">
        <f t="shared" si="17"/>
        <v>Adams County, Idaho</v>
      </c>
    </row>
    <row r="559" spans="1:15" x14ac:dyDescent="0.25">
      <c r="A559" s="35" t="s">
        <v>1035</v>
      </c>
      <c r="B559" s="28" t="str">
        <f t="shared" si="16"/>
        <v>Bannock</v>
      </c>
      <c r="C559" s="30">
        <v>82839</v>
      </c>
      <c r="D559" s="30">
        <v>82842</v>
      </c>
      <c r="E559" s="30">
        <v>83020</v>
      </c>
      <c r="F559" s="30">
        <v>83641</v>
      </c>
      <c r="G559" s="30">
        <v>83755</v>
      </c>
      <c r="H559" s="30">
        <v>83455</v>
      </c>
      <c r="I559" s="30">
        <v>83536</v>
      </c>
      <c r="J559" s="30">
        <v>84184</v>
      </c>
      <c r="K559" s="30">
        <v>84676</v>
      </c>
      <c r="L559" s="30">
        <v>85482</v>
      </c>
      <c r="M559" s="30">
        <v>86674</v>
      </c>
      <c r="N559" s="30">
        <v>87808</v>
      </c>
      <c r="O559" s="24" t="str">
        <f t="shared" si="17"/>
        <v>Bannock County, Idaho</v>
      </c>
    </row>
    <row r="560" spans="1:15" x14ac:dyDescent="0.25">
      <c r="A560" s="35" t="s">
        <v>1036</v>
      </c>
      <c r="B560" s="28" t="str">
        <f t="shared" si="16"/>
        <v>Bear Lake</v>
      </c>
      <c r="C560" s="30">
        <v>5986</v>
      </c>
      <c r="D560" s="30">
        <v>5986</v>
      </c>
      <c r="E560" s="30">
        <v>5969</v>
      </c>
      <c r="F560" s="30">
        <v>5956</v>
      </c>
      <c r="G560" s="30">
        <v>5892</v>
      </c>
      <c r="H560" s="30">
        <v>5948</v>
      </c>
      <c r="I560" s="30">
        <v>5926</v>
      </c>
      <c r="J560" s="30">
        <v>5879</v>
      </c>
      <c r="K560" s="30">
        <v>5927</v>
      </c>
      <c r="L560" s="30">
        <v>6023</v>
      </c>
      <c r="M560" s="30">
        <v>6044</v>
      </c>
      <c r="N560" s="30">
        <v>6125</v>
      </c>
      <c r="O560" s="24" t="str">
        <f t="shared" si="17"/>
        <v>Bear Lake County, Idaho</v>
      </c>
    </row>
    <row r="561" spans="1:15" x14ac:dyDescent="0.25">
      <c r="A561" s="35" t="s">
        <v>1037</v>
      </c>
      <c r="B561" s="28" t="str">
        <f t="shared" si="16"/>
        <v>Benewah</v>
      </c>
      <c r="C561" s="30">
        <v>9285</v>
      </c>
      <c r="D561" s="30">
        <v>9283</v>
      </c>
      <c r="E561" s="30">
        <v>9290</v>
      </c>
      <c r="F561" s="30">
        <v>9173</v>
      </c>
      <c r="G561" s="30">
        <v>9126</v>
      </c>
      <c r="H561" s="30">
        <v>9030</v>
      </c>
      <c r="I561" s="30">
        <v>9032</v>
      </c>
      <c r="J561" s="30">
        <v>8996</v>
      </c>
      <c r="K561" s="30">
        <v>9021</v>
      </c>
      <c r="L561" s="30">
        <v>9157</v>
      </c>
      <c r="M561" s="30">
        <v>9218</v>
      </c>
      <c r="N561" s="30">
        <v>9298</v>
      </c>
      <c r="O561" s="24" t="str">
        <f t="shared" si="17"/>
        <v>Benewah County, Idaho</v>
      </c>
    </row>
    <row r="562" spans="1:15" x14ac:dyDescent="0.25">
      <c r="A562" s="35" t="s">
        <v>1038</v>
      </c>
      <c r="B562" s="28" t="str">
        <f t="shared" si="16"/>
        <v>Bingham</v>
      </c>
      <c r="C562" s="30">
        <v>45607</v>
      </c>
      <c r="D562" s="30">
        <v>45605</v>
      </c>
      <c r="E562" s="30">
        <v>45765</v>
      </c>
      <c r="F562" s="30">
        <v>45893</v>
      </c>
      <c r="G562" s="30">
        <v>45510</v>
      </c>
      <c r="H562" s="30">
        <v>45423</v>
      </c>
      <c r="I562" s="30">
        <v>45214</v>
      </c>
      <c r="J562" s="30">
        <v>45057</v>
      </c>
      <c r="K562" s="30">
        <v>45315</v>
      </c>
      <c r="L562" s="30">
        <v>45884</v>
      </c>
      <c r="M562" s="30">
        <v>46129</v>
      </c>
      <c r="N562" s="30">
        <v>46811</v>
      </c>
      <c r="O562" s="24" t="str">
        <f t="shared" si="17"/>
        <v>Bingham County, Idaho</v>
      </c>
    </row>
    <row r="563" spans="1:15" x14ac:dyDescent="0.25">
      <c r="A563" s="35" t="s">
        <v>1039</v>
      </c>
      <c r="B563" s="28" t="str">
        <f t="shared" si="16"/>
        <v>Blaine</v>
      </c>
      <c r="C563" s="30">
        <v>21376</v>
      </c>
      <c r="D563" s="30">
        <v>21377</v>
      </c>
      <c r="E563" s="30">
        <v>21295</v>
      </c>
      <c r="F563" s="30">
        <v>21083</v>
      </c>
      <c r="G563" s="30">
        <v>21127</v>
      </c>
      <c r="H563" s="30">
        <v>21325</v>
      </c>
      <c r="I563" s="30">
        <v>21455</v>
      </c>
      <c r="J563" s="30">
        <v>21636</v>
      </c>
      <c r="K563" s="30">
        <v>22062</v>
      </c>
      <c r="L563" s="30">
        <v>22373</v>
      </c>
      <c r="M563" s="30">
        <v>22771</v>
      </c>
      <c r="N563" s="30">
        <v>23021</v>
      </c>
      <c r="O563" s="24" t="str">
        <f t="shared" si="17"/>
        <v>Blaine County, Idaho</v>
      </c>
    </row>
    <row r="564" spans="1:15" x14ac:dyDescent="0.25">
      <c r="A564" s="35" t="s">
        <v>1040</v>
      </c>
      <c r="B564" s="28" t="str">
        <f t="shared" si="16"/>
        <v>Boise</v>
      </c>
      <c r="C564" s="30">
        <v>7028</v>
      </c>
      <c r="D564" s="30">
        <v>7027</v>
      </c>
      <c r="E564" s="30">
        <v>7005</v>
      </c>
      <c r="F564" s="30">
        <v>6986</v>
      </c>
      <c r="G564" s="30">
        <v>6790</v>
      </c>
      <c r="H564" s="30">
        <v>6720</v>
      </c>
      <c r="I564" s="30">
        <v>6779</v>
      </c>
      <c r="J564" s="30">
        <v>6963</v>
      </c>
      <c r="K564" s="30">
        <v>7095</v>
      </c>
      <c r="L564" s="30">
        <v>7347</v>
      </c>
      <c r="M564" s="30">
        <v>7655</v>
      </c>
      <c r="N564" s="30">
        <v>7831</v>
      </c>
      <c r="O564" s="24" t="str">
        <f t="shared" si="17"/>
        <v>Boise County, Idaho</v>
      </c>
    </row>
    <row r="565" spans="1:15" x14ac:dyDescent="0.25">
      <c r="A565" s="35" t="s">
        <v>1041</v>
      </c>
      <c r="B565" s="28" t="str">
        <f t="shared" si="16"/>
        <v>Bonner</v>
      </c>
      <c r="C565" s="30">
        <v>40877</v>
      </c>
      <c r="D565" s="30">
        <v>40877</v>
      </c>
      <c r="E565" s="30">
        <v>40902</v>
      </c>
      <c r="F565" s="30">
        <v>40782</v>
      </c>
      <c r="G565" s="30">
        <v>40347</v>
      </c>
      <c r="H565" s="30">
        <v>40525</v>
      </c>
      <c r="I565" s="30">
        <v>41289</v>
      </c>
      <c r="J565" s="30">
        <v>41600</v>
      </c>
      <c r="K565" s="30">
        <v>42357</v>
      </c>
      <c r="L565" s="30">
        <v>43654</v>
      </c>
      <c r="M565" s="30">
        <v>44705</v>
      </c>
      <c r="N565" s="30">
        <v>45739</v>
      </c>
      <c r="O565" s="24" t="str">
        <f t="shared" si="17"/>
        <v>Bonner County, Idaho</v>
      </c>
    </row>
    <row r="566" spans="1:15" x14ac:dyDescent="0.25">
      <c r="A566" s="35" t="s">
        <v>1042</v>
      </c>
      <c r="B566" s="28" t="str">
        <f t="shared" si="16"/>
        <v>Bonneville</v>
      </c>
      <c r="C566" s="30">
        <v>104234</v>
      </c>
      <c r="D566" s="30">
        <v>104294</v>
      </c>
      <c r="E566" s="30">
        <v>104675</v>
      </c>
      <c r="F566" s="30">
        <v>105813</v>
      </c>
      <c r="G566" s="30">
        <v>106764</v>
      </c>
      <c r="H566" s="30">
        <v>107369</v>
      </c>
      <c r="I566" s="30">
        <v>108236</v>
      </c>
      <c r="J566" s="30">
        <v>109849</v>
      </c>
      <c r="K566" s="30">
        <v>112118</v>
      </c>
      <c r="L566" s="30">
        <v>114488</v>
      </c>
      <c r="M566" s="30">
        <v>116444</v>
      </c>
      <c r="N566" s="30">
        <v>119062</v>
      </c>
      <c r="O566" s="24" t="str">
        <f t="shared" si="17"/>
        <v>Bonneville County, Idaho</v>
      </c>
    </row>
    <row r="567" spans="1:15" x14ac:dyDescent="0.25">
      <c r="A567" s="35" t="s">
        <v>1043</v>
      </c>
      <c r="B567" s="28" t="str">
        <f t="shared" si="16"/>
        <v>Boundary</v>
      </c>
      <c r="C567" s="30">
        <v>10972</v>
      </c>
      <c r="D567" s="30">
        <v>10972</v>
      </c>
      <c r="E567" s="30">
        <v>10999</v>
      </c>
      <c r="F567" s="30">
        <v>10823</v>
      </c>
      <c r="G567" s="30">
        <v>10817</v>
      </c>
      <c r="H567" s="30">
        <v>10853</v>
      </c>
      <c r="I567" s="30">
        <v>10956</v>
      </c>
      <c r="J567" s="30">
        <v>11299</v>
      </c>
      <c r="K567" s="30">
        <v>11701</v>
      </c>
      <c r="L567" s="30">
        <v>11965</v>
      </c>
      <c r="M567" s="30">
        <v>12016</v>
      </c>
      <c r="N567" s="30">
        <v>12245</v>
      </c>
      <c r="O567" s="24" t="str">
        <f t="shared" si="17"/>
        <v>Boundary County, Idaho</v>
      </c>
    </row>
    <row r="568" spans="1:15" x14ac:dyDescent="0.25">
      <c r="A568" s="35" t="s">
        <v>1044</v>
      </c>
      <c r="B568" s="28" t="str">
        <f t="shared" si="16"/>
        <v>Butte</v>
      </c>
      <c r="C568" s="30">
        <v>2891</v>
      </c>
      <c r="D568" s="30">
        <v>2893</v>
      </c>
      <c r="E568" s="30">
        <v>2915</v>
      </c>
      <c r="F568" s="30">
        <v>2833</v>
      </c>
      <c r="G568" s="30">
        <v>2760</v>
      </c>
      <c r="H568" s="30">
        <v>2667</v>
      </c>
      <c r="I568" s="30">
        <v>2658</v>
      </c>
      <c r="J568" s="30">
        <v>2566</v>
      </c>
      <c r="K568" s="30">
        <v>2572</v>
      </c>
      <c r="L568" s="30">
        <v>2585</v>
      </c>
      <c r="M568" s="30">
        <v>2587</v>
      </c>
      <c r="N568" s="30">
        <v>2597</v>
      </c>
      <c r="O568" s="24" t="str">
        <f t="shared" si="17"/>
        <v>Butte County, Idaho</v>
      </c>
    </row>
    <row r="569" spans="1:15" x14ac:dyDescent="0.25">
      <c r="A569" s="35" t="s">
        <v>1045</v>
      </c>
      <c r="B569" s="28" t="str">
        <f t="shared" si="16"/>
        <v>Camas</v>
      </c>
      <c r="C569" s="30">
        <v>1117</v>
      </c>
      <c r="D569" s="30">
        <v>1117</v>
      </c>
      <c r="E569" s="30">
        <v>1116</v>
      </c>
      <c r="F569" s="30">
        <v>1115</v>
      </c>
      <c r="G569" s="30">
        <v>1085</v>
      </c>
      <c r="H569" s="30">
        <v>1043</v>
      </c>
      <c r="I569" s="30">
        <v>1054</v>
      </c>
      <c r="J569" s="30">
        <v>1070</v>
      </c>
      <c r="K569" s="30">
        <v>1082</v>
      </c>
      <c r="L569" s="30">
        <v>1096</v>
      </c>
      <c r="M569" s="30">
        <v>1121</v>
      </c>
      <c r="N569" s="30">
        <v>1106</v>
      </c>
      <c r="O569" s="24" t="str">
        <f t="shared" si="17"/>
        <v>Camas County, Idaho</v>
      </c>
    </row>
    <row r="570" spans="1:15" x14ac:dyDescent="0.25">
      <c r="A570" s="35" t="s">
        <v>1046</v>
      </c>
      <c r="B570" s="28" t="str">
        <f t="shared" si="16"/>
        <v>Canyon</v>
      </c>
      <c r="C570" s="30">
        <v>188923</v>
      </c>
      <c r="D570" s="30">
        <v>188922</v>
      </c>
      <c r="E570" s="30">
        <v>189347</v>
      </c>
      <c r="F570" s="30">
        <v>191354</v>
      </c>
      <c r="G570" s="30">
        <v>193734</v>
      </c>
      <c r="H570" s="30">
        <v>198590</v>
      </c>
      <c r="I570" s="30">
        <v>202440</v>
      </c>
      <c r="J570" s="30">
        <v>206842</v>
      </c>
      <c r="K570" s="30">
        <v>211381</v>
      </c>
      <c r="L570" s="30">
        <v>216858</v>
      </c>
      <c r="M570" s="30">
        <v>223236</v>
      </c>
      <c r="N570" s="30">
        <v>229849</v>
      </c>
      <c r="O570" s="24" t="str">
        <f t="shared" si="17"/>
        <v>Canyon County, Idaho</v>
      </c>
    </row>
    <row r="571" spans="1:15" x14ac:dyDescent="0.25">
      <c r="A571" s="35" t="s">
        <v>1047</v>
      </c>
      <c r="B571" s="28" t="str">
        <f t="shared" si="16"/>
        <v>Caribou</v>
      </c>
      <c r="C571" s="30">
        <v>6963</v>
      </c>
      <c r="D571" s="30">
        <v>6963</v>
      </c>
      <c r="E571" s="30">
        <v>6974</v>
      </c>
      <c r="F571" s="30">
        <v>6844</v>
      </c>
      <c r="G571" s="30">
        <v>6771</v>
      </c>
      <c r="H571" s="30">
        <v>6787</v>
      </c>
      <c r="I571" s="30">
        <v>6794</v>
      </c>
      <c r="J571" s="30">
        <v>6733</v>
      </c>
      <c r="K571" s="30">
        <v>6867</v>
      </c>
      <c r="L571" s="30">
        <v>6973</v>
      </c>
      <c r="M571" s="30">
        <v>7037</v>
      </c>
      <c r="N571" s="30">
        <v>7155</v>
      </c>
      <c r="O571" s="24" t="str">
        <f t="shared" si="17"/>
        <v>Caribou County, Idaho</v>
      </c>
    </row>
    <row r="572" spans="1:15" x14ac:dyDescent="0.25">
      <c r="A572" s="35" t="s">
        <v>1048</v>
      </c>
      <c r="B572" s="28" t="str">
        <f t="shared" si="16"/>
        <v>Cassia</v>
      </c>
      <c r="C572" s="30">
        <v>22952</v>
      </c>
      <c r="D572" s="30">
        <v>22964</v>
      </c>
      <c r="E572" s="30">
        <v>23080</v>
      </c>
      <c r="F572" s="30">
        <v>23106</v>
      </c>
      <c r="G572" s="30">
        <v>23263</v>
      </c>
      <c r="H572" s="30">
        <v>23344</v>
      </c>
      <c r="I572" s="30">
        <v>23503</v>
      </c>
      <c r="J572" s="30">
        <v>23499</v>
      </c>
      <c r="K572" s="30">
        <v>23479</v>
      </c>
      <c r="L572" s="30">
        <v>23650</v>
      </c>
      <c r="M572" s="30">
        <v>23791</v>
      </c>
      <c r="N572" s="30">
        <v>24030</v>
      </c>
      <c r="O572" s="24" t="str">
        <f t="shared" si="17"/>
        <v>Cassia County, Idaho</v>
      </c>
    </row>
    <row r="573" spans="1:15" x14ac:dyDescent="0.25">
      <c r="A573" s="35" t="s">
        <v>1049</v>
      </c>
      <c r="B573" s="28" t="str">
        <f t="shared" si="16"/>
        <v>Clark</v>
      </c>
      <c r="C573" s="30">
        <v>982</v>
      </c>
      <c r="D573" s="30">
        <v>982</v>
      </c>
      <c r="E573" s="30">
        <v>980</v>
      </c>
      <c r="F573" s="30">
        <v>954</v>
      </c>
      <c r="G573" s="30">
        <v>884</v>
      </c>
      <c r="H573" s="30">
        <v>879</v>
      </c>
      <c r="I573" s="30">
        <v>889</v>
      </c>
      <c r="J573" s="30">
        <v>886</v>
      </c>
      <c r="K573" s="30">
        <v>870</v>
      </c>
      <c r="L573" s="30">
        <v>879</v>
      </c>
      <c r="M573" s="30">
        <v>851</v>
      </c>
      <c r="N573" s="30">
        <v>845</v>
      </c>
      <c r="O573" s="24" t="str">
        <f t="shared" si="17"/>
        <v>Clark County, Idaho</v>
      </c>
    </row>
    <row r="574" spans="1:15" x14ac:dyDescent="0.25">
      <c r="A574" s="35" t="s">
        <v>1050</v>
      </c>
      <c r="B574" s="28" t="str">
        <f t="shared" si="16"/>
        <v>Clearwater</v>
      </c>
      <c r="C574" s="30">
        <v>8761</v>
      </c>
      <c r="D574" s="30">
        <v>8761</v>
      </c>
      <c r="E574" s="30">
        <v>8727</v>
      </c>
      <c r="F574" s="30">
        <v>8609</v>
      </c>
      <c r="G574" s="30">
        <v>8579</v>
      </c>
      <c r="H574" s="30">
        <v>8568</v>
      </c>
      <c r="I574" s="30">
        <v>8561</v>
      </c>
      <c r="J574" s="30">
        <v>8554</v>
      </c>
      <c r="K574" s="30">
        <v>8651</v>
      </c>
      <c r="L574" s="30">
        <v>8646</v>
      </c>
      <c r="M574" s="30">
        <v>8758</v>
      </c>
      <c r="N574" s="30">
        <v>8756</v>
      </c>
      <c r="O574" s="24" t="str">
        <f t="shared" si="17"/>
        <v>Clearwater County, Idaho</v>
      </c>
    </row>
    <row r="575" spans="1:15" x14ac:dyDescent="0.25">
      <c r="A575" s="35" t="s">
        <v>1051</v>
      </c>
      <c r="B575" s="28" t="str">
        <f t="shared" si="16"/>
        <v>Custer</v>
      </c>
      <c r="C575" s="30">
        <v>4368</v>
      </c>
      <c r="D575" s="30">
        <v>4366</v>
      </c>
      <c r="E575" s="30">
        <v>4357</v>
      </c>
      <c r="F575" s="30">
        <v>4325</v>
      </c>
      <c r="G575" s="30">
        <v>4327</v>
      </c>
      <c r="H575" s="30">
        <v>4225</v>
      </c>
      <c r="I575" s="30">
        <v>4132</v>
      </c>
      <c r="J575" s="30">
        <v>4059</v>
      </c>
      <c r="K575" s="30">
        <v>4084</v>
      </c>
      <c r="L575" s="30">
        <v>4135</v>
      </c>
      <c r="M575" s="30">
        <v>4250</v>
      </c>
      <c r="N575" s="30">
        <v>4315</v>
      </c>
      <c r="O575" s="24" t="str">
        <f t="shared" si="17"/>
        <v>Custer County, Idaho</v>
      </c>
    </row>
    <row r="576" spans="1:15" x14ac:dyDescent="0.25">
      <c r="A576" s="35" t="s">
        <v>1052</v>
      </c>
      <c r="B576" s="28" t="str">
        <f t="shared" si="16"/>
        <v>Elmore</v>
      </c>
      <c r="C576" s="30">
        <v>27038</v>
      </c>
      <c r="D576" s="30">
        <v>27040</v>
      </c>
      <c r="E576" s="30">
        <v>27121</v>
      </c>
      <c r="F576" s="30">
        <v>26221</v>
      </c>
      <c r="G576" s="30">
        <v>26287</v>
      </c>
      <c r="H576" s="30">
        <v>26267</v>
      </c>
      <c r="I576" s="30">
        <v>26226</v>
      </c>
      <c r="J576" s="30">
        <v>25826</v>
      </c>
      <c r="K576" s="30">
        <v>26137</v>
      </c>
      <c r="L576" s="30">
        <v>26881</v>
      </c>
      <c r="M576" s="30">
        <v>27362</v>
      </c>
      <c r="N576" s="30">
        <v>27511</v>
      </c>
      <c r="O576" s="24" t="str">
        <f t="shared" si="17"/>
        <v>Elmore County, Idaho</v>
      </c>
    </row>
    <row r="577" spans="1:15" x14ac:dyDescent="0.25">
      <c r="A577" s="35" t="s">
        <v>1053</v>
      </c>
      <c r="B577" s="28" t="str">
        <f t="shared" si="16"/>
        <v>Franklin</v>
      </c>
      <c r="C577" s="30">
        <v>12786</v>
      </c>
      <c r="D577" s="30">
        <v>12786</v>
      </c>
      <c r="E577" s="30">
        <v>12781</v>
      </c>
      <c r="F577" s="30">
        <v>12810</v>
      </c>
      <c r="G577" s="30">
        <v>12798</v>
      </c>
      <c r="H577" s="30">
        <v>12802</v>
      </c>
      <c r="I577" s="30">
        <v>12910</v>
      </c>
      <c r="J577" s="30">
        <v>12955</v>
      </c>
      <c r="K577" s="30">
        <v>13320</v>
      </c>
      <c r="L577" s="30">
        <v>13467</v>
      </c>
      <c r="M577" s="30">
        <v>13704</v>
      </c>
      <c r="N577" s="30">
        <v>13876</v>
      </c>
      <c r="O577" s="24" t="str">
        <f t="shared" si="17"/>
        <v>Franklin County, Idaho</v>
      </c>
    </row>
    <row r="578" spans="1:15" x14ac:dyDescent="0.25">
      <c r="A578" s="35" t="s">
        <v>1054</v>
      </c>
      <c r="B578" s="28" t="str">
        <f t="shared" si="16"/>
        <v>Fremont</v>
      </c>
      <c r="C578" s="30">
        <v>13242</v>
      </c>
      <c r="D578" s="30">
        <v>13237</v>
      </c>
      <c r="E578" s="30">
        <v>13225</v>
      </c>
      <c r="F578" s="30">
        <v>13109</v>
      </c>
      <c r="G578" s="30">
        <v>12966</v>
      </c>
      <c r="H578" s="30">
        <v>12872</v>
      </c>
      <c r="I578" s="30">
        <v>12803</v>
      </c>
      <c r="J578" s="30">
        <v>12812</v>
      </c>
      <c r="K578" s="30">
        <v>12914</v>
      </c>
      <c r="L578" s="30">
        <v>13122</v>
      </c>
      <c r="M578" s="30">
        <v>13155</v>
      </c>
      <c r="N578" s="30">
        <v>13099</v>
      </c>
      <c r="O578" s="24" t="str">
        <f t="shared" si="17"/>
        <v>Fremont County, Idaho</v>
      </c>
    </row>
    <row r="579" spans="1:15" x14ac:dyDescent="0.25">
      <c r="A579" s="35" t="s">
        <v>1055</v>
      </c>
      <c r="B579" s="28" t="str">
        <f t="shared" si="16"/>
        <v>Gem</v>
      </c>
      <c r="C579" s="30">
        <v>16719</v>
      </c>
      <c r="D579" s="30">
        <v>16719</v>
      </c>
      <c r="E579" s="30">
        <v>16687</v>
      </c>
      <c r="F579" s="30">
        <v>16692</v>
      </c>
      <c r="G579" s="30">
        <v>16630</v>
      </c>
      <c r="H579" s="30">
        <v>16569</v>
      </c>
      <c r="I579" s="30">
        <v>16646</v>
      </c>
      <c r="J579" s="30">
        <v>16685</v>
      </c>
      <c r="K579" s="30">
        <v>16959</v>
      </c>
      <c r="L579" s="30">
        <v>17311</v>
      </c>
      <c r="M579" s="30">
        <v>17587</v>
      </c>
      <c r="N579" s="30">
        <v>18112</v>
      </c>
      <c r="O579" s="24" t="str">
        <f t="shared" si="17"/>
        <v>Gem County, Idaho</v>
      </c>
    </row>
    <row r="580" spans="1:15" x14ac:dyDescent="0.25">
      <c r="A580" s="35" t="s">
        <v>1056</v>
      </c>
      <c r="B580" s="28" t="str">
        <f t="shared" si="16"/>
        <v>Gooding</v>
      </c>
      <c r="C580" s="30">
        <v>15464</v>
      </c>
      <c r="D580" s="30">
        <v>15472</v>
      </c>
      <c r="E580" s="30">
        <v>15471</v>
      </c>
      <c r="F580" s="30">
        <v>15355</v>
      </c>
      <c r="G580" s="30">
        <v>15250</v>
      </c>
      <c r="H580" s="30">
        <v>15169</v>
      </c>
      <c r="I580" s="30">
        <v>15086</v>
      </c>
      <c r="J580" s="30">
        <v>15188</v>
      </c>
      <c r="K580" s="30">
        <v>15135</v>
      </c>
      <c r="L580" s="30">
        <v>15121</v>
      </c>
      <c r="M580" s="30">
        <v>15116</v>
      </c>
      <c r="N580" s="30">
        <v>15179</v>
      </c>
      <c r="O580" s="24" t="str">
        <f t="shared" si="17"/>
        <v>Gooding County, Idaho</v>
      </c>
    </row>
    <row r="581" spans="1:15" x14ac:dyDescent="0.25">
      <c r="A581" s="35" t="s">
        <v>1057</v>
      </c>
      <c r="B581" s="28" t="str">
        <f t="shared" si="16"/>
        <v>Idaho</v>
      </c>
      <c r="C581" s="30">
        <v>16267</v>
      </c>
      <c r="D581" s="30">
        <v>16267</v>
      </c>
      <c r="E581" s="30">
        <v>16310</v>
      </c>
      <c r="F581" s="30">
        <v>16462</v>
      </c>
      <c r="G581" s="30">
        <v>16444</v>
      </c>
      <c r="H581" s="30">
        <v>16249</v>
      </c>
      <c r="I581" s="30">
        <v>16275</v>
      </c>
      <c r="J581" s="30">
        <v>16301</v>
      </c>
      <c r="K581" s="30">
        <v>16236</v>
      </c>
      <c r="L581" s="30">
        <v>16373</v>
      </c>
      <c r="M581" s="30">
        <v>16476</v>
      </c>
      <c r="N581" s="30">
        <v>16667</v>
      </c>
      <c r="O581" s="24" t="str">
        <f t="shared" si="17"/>
        <v>Idaho County, Idaho</v>
      </c>
    </row>
    <row r="582" spans="1:15" x14ac:dyDescent="0.25">
      <c r="A582" s="35" t="s">
        <v>1058</v>
      </c>
      <c r="B582" s="28" t="str">
        <f t="shared" si="16"/>
        <v>Jefferson</v>
      </c>
      <c r="C582" s="30">
        <v>26140</v>
      </c>
      <c r="D582" s="30">
        <v>26144</v>
      </c>
      <c r="E582" s="30">
        <v>26223</v>
      </c>
      <c r="F582" s="30">
        <v>26313</v>
      </c>
      <c r="G582" s="30">
        <v>26641</v>
      </c>
      <c r="H582" s="30">
        <v>26804</v>
      </c>
      <c r="I582" s="30">
        <v>26944</v>
      </c>
      <c r="J582" s="30">
        <v>27127</v>
      </c>
      <c r="K582" s="30">
        <v>27830</v>
      </c>
      <c r="L582" s="30">
        <v>28439</v>
      </c>
      <c r="M582" s="30">
        <v>29405</v>
      </c>
      <c r="N582" s="30">
        <v>29871</v>
      </c>
      <c r="O582" s="24" t="str">
        <f t="shared" si="17"/>
        <v>Jefferson County, Idaho</v>
      </c>
    </row>
    <row r="583" spans="1:15" x14ac:dyDescent="0.25">
      <c r="A583" s="35" t="s">
        <v>1059</v>
      </c>
      <c r="B583" s="28" t="str">
        <f t="shared" ref="B583:B646" si="18">LEFT(A583,FIND("County",A583,1)-2)</f>
        <v>Jerome</v>
      </c>
      <c r="C583" s="30">
        <v>22374</v>
      </c>
      <c r="D583" s="30">
        <v>22355</v>
      </c>
      <c r="E583" s="30">
        <v>22442</v>
      </c>
      <c r="F583" s="30">
        <v>22520</v>
      </c>
      <c r="G583" s="30">
        <v>22578</v>
      </c>
      <c r="H583" s="30">
        <v>22768</v>
      </c>
      <c r="I583" s="30">
        <v>22926</v>
      </c>
      <c r="J583" s="30">
        <v>22971</v>
      </c>
      <c r="K583" s="30">
        <v>23433</v>
      </c>
      <c r="L583" s="30">
        <v>23768</v>
      </c>
      <c r="M583" s="30">
        <v>24066</v>
      </c>
      <c r="N583" s="30">
        <v>24412</v>
      </c>
      <c r="O583" s="24" t="str">
        <f t="shared" ref="O583:O646" si="19">A583</f>
        <v>Jerome County, Idaho</v>
      </c>
    </row>
    <row r="584" spans="1:15" x14ac:dyDescent="0.25">
      <c r="A584" s="35" t="s">
        <v>1060</v>
      </c>
      <c r="B584" s="28" t="str">
        <f t="shared" si="18"/>
        <v>Kootenai</v>
      </c>
      <c r="C584" s="30">
        <v>138494</v>
      </c>
      <c r="D584" s="30">
        <v>138466</v>
      </c>
      <c r="E584" s="30">
        <v>138848</v>
      </c>
      <c r="F584" s="30">
        <v>140932</v>
      </c>
      <c r="G584" s="30">
        <v>142084</v>
      </c>
      <c r="H584" s="30">
        <v>143897</v>
      </c>
      <c r="I584" s="30">
        <v>146529</v>
      </c>
      <c r="J584" s="30">
        <v>149367</v>
      </c>
      <c r="K584" s="30">
        <v>153019</v>
      </c>
      <c r="L584" s="30">
        <v>157320</v>
      </c>
      <c r="M584" s="30">
        <v>161209</v>
      </c>
      <c r="N584" s="30">
        <v>165697</v>
      </c>
      <c r="O584" s="24" t="str">
        <f t="shared" si="19"/>
        <v>Kootenai County, Idaho</v>
      </c>
    </row>
    <row r="585" spans="1:15" x14ac:dyDescent="0.25">
      <c r="A585" s="35" t="s">
        <v>1061</v>
      </c>
      <c r="B585" s="28" t="str">
        <f t="shared" si="18"/>
        <v>Latah</v>
      </c>
      <c r="C585" s="30">
        <v>37244</v>
      </c>
      <c r="D585" s="30">
        <v>37243</v>
      </c>
      <c r="E585" s="30">
        <v>37255</v>
      </c>
      <c r="F585" s="30">
        <v>37855</v>
      </c>
      <c r="G585" s="30">
        <v>38094</v>
      </c>
      <c r="H585" s="30">
        <v>38220</v>
      </c>
      <c r="I585" s="30">
        <v>38517</v>
      </c>
      <c r="J585" s="30">
        <v>38796</v>
      </c>
      <c r="K585" s="30">
        <v>39050</v>
      </c>
      <c r="L585" s="30">
        <v>39741</v>
      </c>
      <c r="M585" s="30">
        <v>39829</v>
      </c>
      <c r="N585" s="30">
        <v>40108</v>
      </c>
      <c r="O585" s="24" t="str">
        <f t="shared" si="19"/>
        <v>Latah County, Idaho</v>
      </c>
    </row>
    <row r="586" spans="1:15" x14ac:dyDescent="0.25">
      <c r="A586" s="35" t="s">
        <v>1062</v>
      </c>
      <c r="B586" s="28" t="str">
        <f t="shared" si="18"/>
        <v>Lemhi</v>
      </c>
      <c r="C586" s="30">
        <v>7936</v>
      </c>
      <c r="D586" s="30">
        <v>7936</v>
      </c>
      <c r="E586" s="30">
        <v>7953</v>
      </c>
      <c r="F586" s="30">
        <v>7986</v>
      </c>
      <c r="G586" s="30">
        <v>7768</v>
      </c>
      <c r="H586" s="30">
        <v>7716</v>
      </c>
      <c r="I586" s="30">
        <v>7724</v>
      </c>
      <c r="J586" s="30">
        <v>7737</v>
      </c>
      <c r="K586" s="30">
        <v>7709</v>
      </c>
      <c r="L586" s="30">
        <v>7829</v>
      </c>
      <c r="M586" s="30">
        <v>7932</v>
      </c>
      <c r="N586" s="30">
        <v>8027</v>
      </c>
      <c r="O586" s="24" t="str">
        <f t="shared" si="19"/>
        <v>Lemhi County, Idaho</v>
      </c>
    </row>
    <row r="587" spans="1:15" x14ac:dyDescent="0.25">
      <c r="A587" s="35" t="s">
        <v>1063</v>
      </c>
      <c r="B587" s="28" t="str">
        <f t="shared" si="18"/>
        <v>Lewis</v>
      </c>
      <c r="C587" s="30">
        <v>3821</v>
      </c>
      <c r="D587" s="30">
        <v>3821</v>
      </c>
      <c r="E587" s="30">
        <v>3820</v>
      </c>
      <c r="F587" s="30">
        <v>3806</v>
      </c>
      <c r="G587" s="30">
        <v>3820</v>
      </c>
      <c r="H587" s="30">
        <v>3805</v>
      </c>
      <c r="I587" s="30">
        <v>3813</v>
      </c>
      <c r="J587" s="30">
        <v>3791</v>
      </c>
      <c r="K587" s="30">
        <v>3846</v>
      </c>
      <c r="L587" s="30">
        <v>3884</v>
      </c>
      <c r="M587" s="30">
        <v>3832</v>
      </c>
      <c r="N587" s="30">
        <v>3838</v>
      </c>
      <c r="O587" s="24" t="str">
        <f t="shared" si="19"/>
        <v>Lewis County, Idaho</v>
      </c>
    </row>
    <row r="588" spans="1:15" x14ac:dyDescent="0.25">
      <c r="A588" s="35" t="s">
        <v>1064</v>
      </c>
      <c r="B588" s="28" t="str">
        <f t="shared" si="18"/>
        <v>Lincoln</v>
      </c>
      <c r="C588" s="30">
        <v>5208</v>
      </c>
      <c r="D588" s="30">
        <v>5206</v>
      </c>
      <c r="E588" s="30">
        <v>5206</v>
      </c>
      <c r="F588" s="30">
        <v>5132</v>
      </c>
      <c r="G588" s="30">
        <v>5262</v>
      </c>
      <c r="H588" s="30">
        <v>5329</v>
      </c>
      <c r="I588" s="30">
        <v>5331</v>
      </c>
      <c r="J588" s="30">
        <v>5307</v>
      </c>
      <c r="K588" s="30">
        <v>5303</v>
      </c>
      <c r="L588" s="30">
        <v>5376</v>
      </c>
      <c r="M588" s="30">
        <v>5398</v>
      </c>
      <c r="N588" s="30">
        <v>5366</v>
      </c>
      <c r="O588" s="24" t="str">
        <f t="shared" si="19"/>
        <v>Lincoln County, Idaho</v>
      </c>
    </row>
    <row r="589" spans="1:15" x14ac:dyDescent="0.25">
      <c r="A589" s="35" t="s">
        <v>1065</v>
      </c>
      <c r="B589" s="28" t="str">
        <f t="shared" si="18"/>
        <v>Madison</v>
      </c>
      <c r="C589" s="30">
        <v>37536</v>
      </c>
      <c r="D589" s="30">
        <v>37548</v>
      </c>
      <c r="E589" s="30">
        <v>37592</v>
      </c>
      <c r="F589" s="30">
        <v>37908</v>
      </c>
      <c r="G589" s="30">
        <v>37662</v>
      </c>
      <c r="H589" s="30">
        <v>37527</v>
      </c>
      <c r="I589" s="30">
        <v>37900</v>
      </c>
      <c r="J589" s="30">
        <v>37989</v>
      </c>
      <c r="K589" s="30">
        <v>38972</v>
      </c>
      <c r="L589" s="30">
        <v>39370</v>
      </c>
      <c r="M589" s="30">
        <v>39261</v>
      </c>
      <c r="N589" s="30">
        <v>39907</v>
      </c>
      <c r="O589" s="24" t="str">
        <f t="shared" si="19"/>
        <v>Madison County, Idaho</v>
      </c>
    </row>
    <row r="590" spans="1:15" x14ac:dyDescent="0.25">
      <c r="A590" s="35" t="s">
        <v>1066</v>
      </c>
      <c r="B590" s="28" t="str">
        <f t="shared" si="18"/>
        <v>Minidoka</v>
      </c>
      <c r="C590" s="30">
        <v>20069</v>
      </c>
      <c r="D590" s="30">
        <v>20055</v>
      </c>
      <c r="E590" s="30">
        <v>20083</v>
      </c>
      <c r="F590" s="30">
        <v>20207</v>
      </c>
      <c r="G590" s="30">
        <v>20152</v>
      </c>
      <c r="H590" s="30">
        <v>20400</v>
      </c>
      <c r="I590" s="30">
        <v>20339</v>
      </c>
      <c r="J590" s="30">
        <v>20430</v>
      </c>
      <c r="K590" s="30">
        <v>20613</v>
      </c>
      <c r="L590" s="30">
        <v>20722</v>
      </c>
      <c r="M590" s="30">
        <v>20719</v>
      </c>
      <c r="N590" s="30">
        <v>21039</v>
      </c>
      <c r="O590" s="24" t="str">
        <f t="shared" si="19"/>
        <v>Minidoka County, Idaho</v>
      </c>
    </row>
    <row r="591" spans="1:15" x14ac:dyDescent="0.25">
      <c r="A591" s="35" t="s">
        <v>1067</v>
      </c>
      <c r="B591" s="28" t="str">
        <f t="shared" si="18"/>
        <v>Nez Perce</v>
      </c>
      <c r="C591" s="30">
        <v>39265</v>
      </c>
      <c r="D591" s="30">
        <v>39270</v>
      </c>
      <c r="E591" s="30">
        <v>39315</v>
      </c>
      <c r="F591" s="30">
        <v>39438</v>
      </c>
      <c r="G591" s="30">
        <v>39504</v>
      </c>
      <c r="H591" s="30">
        <v>39798</v>
      </c>
      <c r="I591" s="30">
        <v>39841</v>
      </c>
      <c r="J591" s="30">
        <v>39995</v>
      </c>
      <c r="K591" s="30">
        <v>40136</v>
      </c>
      <c r="L591" s="30">
        <v>40289</v>
      </c>
      <c r="M591" s="30">
        <v>40256</v>
      </c>
      <c r="N591" s="30">
        <v>40408</v>
      </c>
      <c r="O591" s="24" t="str">
        <f t="shared" si="19"/>
        <v>Nez Perce County, Idaho</v>
      </c>
    </row>
    <row r="592" spans="1:15" x14ac:dyDescent="0.25">
      <c r="A592" s="35" t="s">
        <v>1068</v>
      </c>
      <c r="B592" s="28" t="str">
        <f t="shared" si="18"/>
        <v>Oneida</v>
      </c>
      <c r="C592" s="30">
        <v>4286</v>
      </c>
      <c r="D592" s="30">
        <v>4286</v>
      </c>
      <c r="E592" s="30">
        <v>4290</v>
      </c>
      <c r="F592" s="30">
        <v>4233</v>
      </c>
      <c r="G592" s="30">
        <v>4225</v>
      </c>
      <c r="H592" s="30">
        <v>4257</v>
      </c>
      <c r="I592" s="30">
        <v>4178</v>
      </c>
      <c r="J592" s="30">
        <v>4248</v>
      </c>
      <c r="K592" s="30">
        <v>4296</v>
      </c>
      <c r="L592" s="30">
        <v>4389</v>
      </c>
      <c r="M592" s="30">
        <v>4462</v>
      </c>
      <c r="N592" s="30">
        <v>4531</v>
      </c>
      <c r="O592" s="24" t="str">
        <f t="shared" si="19"/>
        <v>Oneida County, Idaho</v>
      </c>
    </row>
    <row r="593" spans="1:15" x14ac:dyDescent="0.25">
      <c r="A593" s="35" t="s">
        <v>1069</v>
      </c>
      <c r="B593" s="28" t="str">
        <f t="shared" si="18"/>
        <v>Owyhee</v>
      </c>
      <c r="C593" s="30">
        <v>11526</v>
      </c>
      <c r="D593" s="30">
        <v>11526</v>
      </c>
      <c r="E593" s="30">
        <v>11473</v>
      </c>
      <c r="F593" s="30">
        <v>11376</v>
      </c>
      <c r="G593" s="30">
        <v>11409</v>
      </c>
      <c r="H593" s="30">
        <v>11394</v>
      </c>
      <c r="I593" s="30">
        <v>11288</v>
      </c>
      <c r="J593" s="30">
        <v>11288</v>
      </c>
      <c r="K593" s="30">
        <v>11364</v>
      </c>
      <c r="L593" s="30">
        <v>11618</v>
      </c>
      <c r="M593" s="30">
        <v>11669</v>
      </c>
      <c r="N593" s="30">
        <v>11823</v>
      </c>
      <c r="O593" s="24" t="str">
        <f t="shared" si="19"/>
        <v>Owyhee County, Idaho</v>
      </c>
    </row>
    <row r="594" spans="1:15" x14ac:dyDescent="0.25">
      <c r="A594" s="35" t="s">
        <v>1070</v>
      </c>
      <c r="B594" s="28" t="str">
        <f t="shared" si="18"/>
        <v>Payette</v>
      </c>
      <c r="C594" s="30">
        <v>22623</v>
      </c>
      <c r="D594" s="30">
        <v>22622</v>
      </c>
      <c r="E594" s="30">
        <v>22637</v>
      </c>
      <c r="F594" s="30">
        <v>22547</v>
      </c>
      <c r="G594" s="30">
        <v>22675</v>
      </c>
      <c r="H594" s="30">
        <v>22550</v>
      </c>
      <c r="I594" s="30">
        <v>22754</v>
      </c>
      <c r="J594" s="30">
        <v>22790</v>
      </c>
      <c r="K594" s="30">
        <v>22888</v>
      </c>
      <c r="L594" s="30">
        <v>23163</v>
      </c>
      <c r="M594" s="30">
        <v>23507</v>
      </c>
      <c r="N594" s="30">
        <v>23951</v>
      </c>
      <c r="O594" s="24" t="str">
        <f t="shared" si="19"/>
        <v>Payette County, Idaho</v>
      </c>
    </row>
    <row r="595" spans="1:15" x14ac:dyDescent="0.25">
      <c r="A595" s="35" t="s">
        <v>1071</v>
      </c>
      <c r="B595" s="28" t="str">
        <f t="shared" si="18"/>
        <v>Power</v>
      </c>
      <c r="C595" s="30">
        <v>7817</v>
      </c>
      <c r="D595" s="30">
        <v>7819</v>
      </c>
      <c r="E595" s="30">
        <v>7872</v>
      </c>
      <c r="F595" s="30">
        <v>7780</v>
      </c>
      <c r="G595" s="30">
        <v>7830</v>
      </c>
      <c r="H595" s="30">
        <v>7791</v>
      </c>
      <c r="I595" s="30">
        <v>7729</v>
      </c>
      <c r="J595" s="30">
        <v>7687</v>
      </c>
      <c r="K595" s="30">
        <v>7681</v>
      </c>
      <c r="L595" s="30">
        <v>7606</v>
      </c>
      <c r="M595" s="30">
        <v>7700</v>
      </c>
      <c r="N595" s="30">
        <v>7681</v>
      </c>
      <c r="O595" s="24" t="str">
        <f t="shared" si="19"/>
        <v>Power County, Idaho</v>
      </c>
    </row>
    <row r="596" spans="1:15" x14ac:dyDescent="0.25">
      <c r="A596" s="35" t="s">
        <v>1072</v>
      </c>
      <c r="B596" s="28" t="str">
        <f t="shared" si="18"/>
        <v>Shoshone</v>
      </c>
      <c r="C596" s="30">
        <v>12765</v>
      </c>
      <c r="D596" s="30">
        <v>12800</v>
      </c>
      <c r="E596" s="30">
        <v>12749</v>
      </c>
      <c r="F596" s="30">
        <v>12662</v>
      </c>
      <c r="G596" s="30">
        <v>12703</v>
      </c>
      <c r="H596" s="30">
        <v>12673</v>
      </c>
      <c r="I596" s="30">
        <v>12375</v>
      </c>
      <c r="J596" s="30">
        <v>12440</v>
      </c>
      <c r="K596" s="30">
        <v>12416</v>
      </c>
      <c r="L596" s="30">
        <v>12519</v>
      </c>
      <c r="M596" s="30">
        <v>12790</v>
      </c>
      <c r="N596" s="30">
        <v>12882</v>
      </c>
      <c r="O596" s="24" t="str">
        <f t="shared" si="19"/>
        <v>Shoshone County, Idaho</v>
      </c>
    </row>
    <row r="597" spans="1:15" x14ac:dyDescent="0.25">
      <c r="A597" s="35" t="s">
        <v>1073</v>
      </c>
      <c r="B597" s="28" t="str">
        <f t="shared" si="18"/>
        <v>Teton</v>
      </c>
      <c r="C597" s="30">
        <v>10170</v>
      </c>
      <c r="D597" s="30">
        <v>10165</v>
      </c>
      <c r="E597" s="30">
        <v>10151</v>
      </c>
      <c r="F597" s="30">
        <v>10161</v>
      </c>
      <c r="G597" s="30">
        <v>10125</v>
      </c>
      <c r="H597" s="30">
        <v>10399</v>
      </c>
      <c r="I597" s="30">
        <v>10436</v>
      </c>
      <c r="J597" s="30">
        <v>10725</v>
      </c>
      <c r="K597" s="30">
        <v>11165</v>
      </c>
      <c r="L597" s="30">
        <v>11445</v>
      </c>
      <c r="M597" s="30">
        <v>11651</v>
      </c>
      <c r="N597" s="30">
        <v>12142</v>
      </c>
      <c r="O597" s="24" t="str">
        <f t="shared" si="19"/>
        <v>Teton County, Idaho</v>
      </c>
    </row>
    <row r="598" spans="1:15" x14ac:dyDescent="0.25">
      <c r="A598" s="35" t="s">
        <v>1074</v>
      </c>
      <c r="B598" s="28" t="str">
        <f t="shared" si="18"/>
        <v>Twin Falls</v>
      </c>
      <c r="C598" s="30">
        <v>77230</v>
      </c>
      <c r="D598" s="30">
        <v>77241</v>
      </c>
      <c r="E598" s="30">
        <v>77545</v>
      </c>
      <c r="F598" s="30">
        <v>78100</v>
      </c>
      <c r="G598" s="30">
        <v>78550</v>
      </c>
      <c r="H598" s="30">
        <v>79894</v>
      </c>
      <c r="I598" s="30">
        <v>80986</v>
      </c>
      <c r="J598" s="30">
        <v>82245</v>
      </c>
      <c r="K598" s="30">
        <v>83819</v>
      </c>
      <c r="L598" s="30">
        <v>85374</v>
      </c>
      <c r="M598" s="30">
        <v>86029</v>
      </c>
      <c r="N598" s="30">
        <v>86878</v>
      </c>
      <c r="O598" s="24" t="str">
        <f t="shared" si="19"/>
        <v>Twin Falls County, Idaho</v>
      </c>
    </row>
    <row r="599" spans="1:15" x14ac:dyDescent="0.25">
      <c r="A599" s="35" t="s">
        <v>1075</v>
      </c>
      <c r="B599" s="28" t="str">
        <f t="shared" si="18"/>
        <v>Valley</v>
      </c>
      <c r="C599" s="30">
        <v>9862</v>
      </c>
      <c r="D599" s="30">
        <v>9854</v>
      </c>
      <c r="E599" s="30">
        <v>9788</v>
      </c>
      <c r="F599" s="30">
        <v>9636</v>
      </c>
      <c r="G599" s="30">
        <v>9536</v>
      </c>
      <c r="H599" s="30">
        <v>9575</v>
      </c>
      <c r="I599" s="30">
        <v>9793</v>
      </c>
      <c r="J599" s="30">
        <v>10043</v>
      </c>
      <c r="K599" s="30">
        <v>10422</v>
      </c>
      <c r="L599" s="30">
        <v>10667</v>
      </c>
      <c r="M599" s="30">
        <v>11021</v>
      </c>
      <c r="N599" s="30">
        <v>11392</v>
      </c>
      <c r="O599" s="24" t="str">
        <f t="shared" si="19"/>
        <v>Valley County, Idaho</v>
      </c>
    </row>
    <row r="600" spans="1:15" x14ac:dyDescent="0.25">
      <c r="A600" s="35" t="s">
        <v>1076</v>
      </c>
      <c r="B600" s="28" t="str">
        <f t="shared" si="18"/>
        <v>Washington</v>
      </c>
      <c r="C600" s="30">
        <v>10198</v>
      </c>
      <c r="D600" s="30">
        <v>10198</v>
      </c>
      <c r="E600" s="30">
        <v>10177</v>
      </c>
      <c r="F600" s="30">
        <v>10136</v>
      </c>
      <c r="G600" s="30">
        <v>10030</v>
      </c>
      <c r="H600" s="30">
        <v>9916</v>
      </c>
      <c r="I600" s="30">
        <v>9955</v>
      </c>
      <c r="J600" s="30">
        <v>9891</v>
      </c>
      <c r="K600" s="30">
        <v>10032</v>
      </c>
      <c r="L600" s="30">
        <v>10051</v>
      </c>
      <c r="M600" s="30">
        <v>10115</v>
      </c>
      <c r="N600" s="30">
        <v>10194</v>
      </c>
      <c r="O600" s="24" t="str">
        <f t="shared" si="19"/>
        <v>Washington County, Idaho</v>
      </c>
    </row>
    <row r="601" spans="1:15" x14ac:dyDescent="0.25">
      <c r="A601" s="35" t="s">
        <v>1077</v>
      </c>
      <c r="B601" s="28" t="str">
        <f t="shared" si="18"/>
        <v>Adams</v>
      </c>
      <c r="C601" s="30">
        <v>67103</v>
      </c>
      <c r="D601" s="30">
        <v>67097</v>
      </c>
      <c r="E601" s="30">
        <v>67160</v>
      </c>
      <c r="F601" s="30">
        <v>67211</v>
      </c>
      <c r="G601" s="30">
        <v>67139</v>
      </c>
      <c r="H601" s="30">
        <v>66999</v>
      </c>
      <c r="I601" s="30">
        <v>66966</v>
      </c>
      <c r="J601" s="30">
        <v>66835</v>
      </c>
      <c r="K601" s="30">
        <v>66475</v>
      </c>
      <c r="L601" s="30">
        <v>66057</v>
      </c>
      <c r="M601" s="30">
        <v>65623</v>
      </c>
      <c r="N601" s="30">
        <v>65435</v>
      </c>
      <c r="O601" s="24" t="str">
        <f t="shared" si="19"/>
        <v>Adams County, Illinois</v>
      </c>
    </row>
    <row r="602" spans="1:15" x14ac:dyDescent="0.25">
      <c r="A602" s="35" t="s">
        <v>1078</v>
      </c>
      <c r="B602" s="28" t="str">
        <f t="shared" si="18"/>
        <v>Alexander</v>
      </c>
      <c r="C602" s="30">
        <v>8238</v>
      </c>
      <c r="D602" s="30">
        <v>8238</v>
      </c>
      <c r="E602" s="30">
        <v>8206</v>
      </c>
      <c r="F602" s="30">
        <v>7992</v>
      </c>
      <c r="G602" s="30">
        <v>7717</v>
      </c>
      <c r="H602" s="30">
        <v>7238</v>
      </c>
      <c r="I602" s="30">
        <v>7083</v>
      </c>
      <c r="J602" s="30">
        <v>6762</v>
      </c>
      <c r="K602" s="30">
        <v>6459</v>
      </c>
      <c r="L602" s="30">
        <v>6278</v>
      </c>
      <c r="M602" s="30">
        <v>6041</v>
      </c>
      <c r="N602" s="30">
        <v>5761</v>
      </c>
      <c r="O602" s="24" t="str">
        <f t="shared" si="19"/>
        <v>Alexander County, Illinois</v>
      </c>
    </row>
    <row r="603" spans="1:15" x14ac:dyDescent="0.25">
      <c r="A603" s="35" t="s">
        <v>1079</v>
      </c>
      <c r="B603" s="28" t="str">
        <f t="shared" si="18"/>
        <v>Bond</v>
      </c>
      <c r="C603" s="30">
        <v>17768</v>
      </c>
      <c r="D603" s="30">
        <v>17768</v>
      </c>
      <c r="E603" s="30">
        <v>17787</v>
      </c>
      <c r="F603" s="30">
        <v>17726</v>
      </c>
      <c r="G603" s="30">
        <v>17537</v>
      </c>
      <c r="H603" s="30">
        <v>17331</v>
      </c>
      <c r="I603" s="30">
        <v>17070</v>
      </c>
      <c r="J603" s="30">
        <v>16686</v>
      </c>
      <c r="K603" s="30">
        <v>16546</v>
      </c>
      <c r="L603" s="30">
        <v>16648</v>
      </c>
      <c r="M603" s="30">
        <v>16637</v>
      </c>
      <c r="N603" s="30">
        <v>16426</v>
      </c>
      <c r="O603" s="24" t="str">
        <f t="shared" si="19"/>
        <v>Bond County, Illinois</v>
      </c>
    </row>
    <row r="604" spans="1:15" x14ac:dyDescent="0.25">
      <c r="A604" s="35" t="s">
        <v>1080</v>
      </c>
      <c r="B604" s="28" t="str">
        <f t="shared" si="18"/>
        <v>Boone</v>
      </c>
      <c r="C604" s="30">
        <v>54165</v>
      </c>
      <c r="D604" s="30">
        <v>54167</v>
      </c>
      <c r="E604" s="30">
        <v>54101</v>
      </c>
      <c r="F604" s="30">
        <v>54131</v>
      </c>
      <c r="G604" s="30">
        <v>53735</v>
      </c>
      <c r="H604" s="30">
        <v>53747</v>
      </c>
      <c r="I604" s="30">
        <v>53714</v>
      </c>
      <c r="J604" s="30">
        <v>53579</v>
      </c>
      <c r="K604" s="30">
        <v>53570</v>
      </c>
      <c r="L604" s="30">
        <v>53513</v>
      </c>
      <c r="M604" s="30">
        <v>53480</v>
      </c>
      <c r="N604" s="30">
        <v>53544</v>
      </c>
      <c r="O604" s="24" t="str">
        <f t="shared" si="19"/>
        <v>Boone County, Illinois</v>
      </c>
    </row>
    <row r="605" spans="1:15" x14ac:dyDescent="0.25">
      <c r="A605" s="35" t="s">
        <v>1081</v>
      </c>
      <c r="B605" s="28" t="str">
        <f t="shared" si="18"/>
        <v>Brown</v>
      </c>
      <c r="C605" s="30">
        <v>6937</v>
      </c>
      <c r="D605" s="30">
        <v>6937</v>
      </c>
      <c r="E605" s="30">
        <v>6919</v>
      </c>
      <c r="F605" s="30">
        <v>6882</v>
      </c>
      <c r="G605" s="30">
        <v>6890</v>
      </c>
      <c r="H605" s="30">
        <v>6864</v>
      </c>
      <c r="I605" s="30">
        <v>6832</v>
      </c>
      <c r="J605" s="30">
        <v>6753</v>
      </c>
      <c r="K605" s="30">
        <v>6637</v>
      </c>
      <c r="L605" s="30">
        <v>6609</v>
      </c>
      <c r="M605" s="30">
        <v>6563</v>
      </c>
      <c r="N605" s="30">
        <v>6578</v>
      </c>
      <c r="O605" s="24" t="str">
        <f t="shared" si="19"/>
        <v>Brown County, Illinois</v>
      </c>
    </row>
    <row r="606" spans="1:15" x14ac:dyDescent="0.25">
      <c r="A606" s="35" t="s">
        <v>1082</v>
      </c>
      <c r="B606" s="28" t="str">
        <f t="shared" si="18"/>
        <v>Bureau</v>
      </c>
      <c r="C606" s="30">
        <v>34978</v>
      </c>
      <c r="D606" s="30">
        <v>34980</v>
      </c>
      <c r="E606" s="30">
        <v>34959</v>
      </c>
      <c r="F606" s="30">
        <v>34625</v>
      </c>
      <c r="G606" s="30">
        <v>34342</v>
      </c>
      <c r="H606" s="30">
        <v>34108</v>
      </c>
      <c r="I606" s="30">
        <v>33856</v>
      </c>
      <c r="J606" s="30">
        <v>33491</v>
      </c>
      <c r="K606" s="30">
        <v>33396</v>
      </c>
      <c r="L606" s="30">
        <v>33137</v>
      </c>
      <c r="M606" s="30">
        <v>32959</v>
      </c>
      <c r="N606" s="30">
        <v>32628</v>
      </c>
      <c r="O606" s="24" t="str">
        <f t="shared" si="19"/>
        <v>Bureau County, Illinois</v>
      </c>
    </row>
    <row r="607" spans="1:15" x14ac:dyDescent="0.25">
      <c r="A607" s="35" t="s">
        <v>1083</v>
      </c>
      <c r="B607" s="28" t="str">
        <f t="shared" si="18"/>
        <v>Calhoun</v>
      </c>
      <c r="C607" s="30">
        <v>5089</v>
      </c>
      <c r="D607" s="30">
        <v>5089</v>
      </c>
      <c r="E607" s="30">
        <v>5096</v>
      </c>
      <c r="F607" s="30">
        <v>5049</v>
      </c>
      <c r="G607" s="30">
        <v>4985</v>
      </c>
      <c r="H607" s="30">
        <v>5008</v>
      </c>
      <c r="I607" s="30">
        <v>4925</v>
      </c>
      <c r="J607" s="30">
        <v>4860</v>
      </c>
      <c r="K607" s="30">
        <v>4869</v>
      </c>
      <c r="L607" s="30">
        <v>4851</v>
      </c>
      <c r="M607" s="30">
        <v>4829</v>
      </c>
      <c r="N607" s="30">
        <v>4739</v>
      </c>
      <c r="O607" s="24" t="str">
        <f t="shared" si="19"/>
        <v>Calhoun County, Illinois</v>
      </c>
    </row>
    <row r="608" spans="1:15" x14ac:dyDescent="0.25">
      <c r="A608" s="35" t="s">
        <v>1084</v>
      </c>
      <c r="B608" s="28" t="str">
        <f t="shared" si="18"/>
        <v>Carroll</v>
      </c>
      <c r="C608" s="30">
        <v>15387</v>
      </c>
      <c r="D608" s="30">
        <v>15394</v>
      </c>
      <c r="E608" s="30">
        <v>15394</v>
      </c>
      <c r="F608" s="30">
        <v>15229</v>
      </c>
      <c r="G608" s="30">
        <v>15121</v>
      </c>
      <c r="H608" s="30">
        <v>14969</v>
      </c>
      <c r="I608" s="30">
        <v>14783</v>
      </c>
      <c r="J608" s="30">
        <v>14642</v>
      </c>
      <c r="K608" s="30">
        <v>14596</v>
      </c>
      <c r="L608" s="30">
        <v>14475</v>
      </c>
      <c r="M608" s="30">
        <v>14314</v>
      </c>
      <c r="N608" s="30">
        <v>14305</v>
      </c>
      <c r="O608" s="24" t="str">
        <f t="shared" si="19"/>
        <v>Carroll County, Illinois</v>
      </c>
    </row>
    <row r="609" spans="1:15" x14ac:dyDescent="0.25">
      <c r="A609" s="35" t="s">
        <v>1085</v>
      </c>
      <c r="B609" s="28" t="str">
        <f t="shared" si="18"/>
        <v>Cass</v>
      </c>
      <c r="C609" s="30">
        <v>13642</v>
      </c>
      <c r="D609" s="30">
        <v>13641</v>
      </c>
      <c r="E609" s="30">
        <v>13633</v>
      </c>
      <c r="F609" s="30">
        <v>13629</v>
      </c>
      <c r="G609" s="30">
        <v>13427</v>
      </c>
      <c r="H609" s="30">
        <v>13293</v>
      </c>
      <c r="I609" s="30">
        <v>13081</v>
      </c>
      <c r="J609" s="30">
        <v>12843</v>
      </c>
      <c r="K609" s="30">
        <v>12672</v>
      </c>
      <c r="L609" s="30">
        <v>12492</v>
      </c>
      <c r="M609" s="30">
        <v>12312</v>
      </c>
      <c r="N609" s="30">
        <v>12147</v>
      </c>
      <c r="O609" s="24" t="str">
        <f t="shared" si="19"/>
        <v>Cass County, Illinois</v>
      </c>
    </row>
    <row r="610" spans="1:15" x14ac:dyDescent="0.25">
      <c r="A610" s="35" t="s">
        <v>1086</v>
      </c>
      <c r="B610" s="28" t="str">
        <f t="shared" si="18"/>
        <v>Champaign</v>
      </c>
      <c r="C610" s="30">
        <v>201081</v>
      </c>
      <c r="D610" s="30">
        <v>201081</v>
      </c>
      <c r="E610" s="30">
        <v>201546</v>
      </c>
      <c r="F610" s="30">
        <v>203197</v>
      </c>
      <c r="G610" s="30">
        <v>204630</v>
      </c>
      <c r="H610" s="30">
        <v>206425</v>
      </c>
      <c r="I610" s="30">
        <v>207942</v>
      </c>
      <c r="J610" s="30">
        <v>209382</v>
      </c>
      <c r="K610" s="30">
        <v>210198</v>
      </c>
      <c r="L610" s="30">
        <v>210425</v>
      </c>
      <c r="M610" s="30">
        <v>209918</v>
      </c>
      <c r="N610" s="30">
        <v>209689</v>
      </c>
      <c r="O610" s="24" t="str">
        <f t="shared" si="19"/>
        <v>Champaign County, Illinois</v>
      </c>
    </row>
    <row r="611" spans="1:15" x14ac:dyDescent="0.25">
      <c r="A611" s="35" t="s">
        <v>1087</v>
      </c>
      <c r="B611" s="28" t="str">
        <f t="shared" si="18"/>
        <v>Christian</v>
      </c>
      <c r="C611" s="30">
        <v>34800</v>
      </c>
      <c r="D611" s="30">
        <v>34795</v>
      </c>
      <c r="E611" s="30">
        <v>34763</v>
      </c>
      <c r="F611" s="30">
        <v>34702</v>
      </c>
      <c r="G611" s="30">
        <v>34518</v>
      </c>
      <c r="H611" s="30">
        <v>34148</v>
      </c>
      <c r="I611" s="30">
        <v>33813</v>
      </c>
      <c r="J611" s="30">
        <v>33463</v>
      </c>
      <c r="K611" s="30">
        <v>33230</v>
      </c>
      <c r="L611" s="30">
        <v>33007</v>
      </c>
      <c r="M611" s="30">
        <v>32653</v>
      </c>
      <c r="N611" s="30">
        <v>32304</v>
      </c>
      <c r="O611" s="24" t="str">
        <f t="shared" si="19"/>
        <v>Christian County, Illinois</v>
      </c>
    </row>
    <row r="612" spans="1:15" x14ac:dyDescent="0.25">
      <c r="A612" s="35" t="s">
        <v>1088</v>
      </c>
      <c r="B612" s="28" t="str">
        <f t="shared" si="18"/>
        <v>Clark</v>
      </c>
      <c r="C612" s="30">
        <v>16335</v>
      </c>
      <c r="D612" s="30">
        <v>16335</v>
      </c>
      <c r="E612" s="30">
        <v>16291</v>
      </c>
      <c r="F612" s="30">
        <v>16202</v>
      </c>
      <c r="G612" s="30">
        <v>16259</v>
      </c>
      <c r="H612" s="30">
        <v>16095</v>
      </c>
      <c r="I612" s="30">
        <v>16047</v>
      </c>
      <c r="J612" s="30">
        <v>15868</v>
      </c>
      <c r="K612" s="30">
        <v>15857</v>
      </c>
      <c r="L612" s="30">
        <v>15812</v>
      </c>
      <c r="M612" s="30">
        <v>15600</v>
      </c>
      <c r="N612" s="30">
        <v>15441</v>
      </c>
      <c r="O612" s="24" t="str">
        <f t="shared" si="19"/>
        <v>Clark County, Illinois</v>
      </c>
    </row>
    <row r="613" spans="1:15" x14ac:dyDescent="0.25">
      <c r="A613" s="35" t="s">
        <v>1089</v>
      </c>
      <c r="B613" s="28" t="str">
        <f t="shared" si="18"/>
        <v>Clay</v>
      </c>
      <c r="C613" s="30">
        <v>13815</v>
      </c>
      <c r="D613" s="30">
        <v>13815</v>
      </c>
      <c r="E613" s="30">
        <v>13826</v>
      </c>
      <c r="F613" s="30">
        <v>13725</v>
      </c>
      <c r="G613" s="30">
        <v>13714</v>
      </c>
      <c r="H613" s="30">
        <v>13554</v>
      </c>
      <c r="I613" s="30">
        <v>13445</v>
      </c>
      <c r="J613" s="30">
        <v>13401</v>
      </c>
      <c r="K613" s="30">
        <v>13314</v>
      </c>
      <c r="L613" s="30">
        <v>13270</v>
      </c>
      <c r="M613" s="30">
        <v>13266</v>
      </c>
      <c r="N613" s="30">
        <v>13184</v>
      </c>
      <c r="O613" s="24" t="str">
        <f t="shared" si="19"/>
        <v>Clay County, Illinois</v>
      </c>
    </row>
    <row r="614" spans="1:15" x14ac:dyDescent="0.25">
      <c r="A614" s="35" t="s">
        <v>1090</v>
      </c>
      <c r="B614" s="28" t="str">
        <f t="shared" si="18"/>
        <v>Clinton</v>
      </c>
      <c r="C614" s="30">
        <v>37762</v>
      </c>
      <c r="D614" s="30">
        <v>37762</v>
      </c>
      <c r="E614" s="30">
        <v>37843</v>
      </c>
      <c r="F614" s="30">
        <v>38031</v>
      </c>
      <c r="G614" s="30">
        <v>37918</v>
      </c>
      <c r="H614" s="30">
        <v>37731</v>
      </c>
      <c r="I614" s="30">
        <v>37646</v>
      </c>
      <c r="J614" s="30">
        <v>37665</v>
      </c>
      <c r="K614" s="30">
        <v>37599</v>
      </c>
      <c r="L614" s="30">
        <v>37645</v>
      </c>
      <c r="M614" s="30">
        <v>37697</v>
      </c>
      <c r="N614" s="30">
        <v>37562</v>
      </c>
      <c r="O614" s="24" t="str">
        <f t="shared" si="19"/>
        <v>Clinton County, Illinois</v>
      </c>
    </row>
    <row r="615" spans="1:15" x14ac:dyDescent="0.25">
      <c r="A615" s="35" t="s">
        <v>1091</v>
      </c>
      <c r="B615" s="28" t="str">
        <f t="shared" si="18"/>
        <v>Coles</v>
      </c>
      <c r="C615" s="30">
        <v>53873</v>
      </c>
      <c r="D615" s="30">
        <v>53876</v>
      </c>
      <c r="E615" s="30">
        <v>53866</v>
      </c>
      <c r="F615" s="30">
        <v>53624</v>
      </c>
      <c r="G615" s="30">
        <v>53318</v>
      </c>
      <c r="H615" s="30">
        <v>53053</v>
      </c>
      <c r="I615" s="30">
        <v>52523</v>
      </c>
      <c r="J615" s="30">
        <v>52179</v>
      </c>
      <c r="K615" s="30">
        <v>51783</v>
      </c>
      <c r="L615" s="30">
        <v>51353</v>
      </c>
      <c r="M615" s="30">
        <v>50829</v>
      </c>
      <c r="N615" s="30">
        <v>50621</v>
      </c>
      <c r="O615" s="24" t="str">
        <f t="shared" si="19"/>
        <v>Coles County, Illinois</v>
      </c>
    </row>
    <row r="616" spans="1:15" x14ac:dyDescent="0.25">
      <c r="A616" s="35" t="s">
        <v>1092</v>
      </c>
      <c r="B616" s="28" t="str">
        <f t="shared" si="18"/>
        <v>Cook</v>
      </c>
      <c r="C616" s="30">
        <v>5194675</v>
      </c>
      <c r="D616" s="30">
        <v>5195026</v>
      </c>
      <c r="E616" s="30">
        <v>5199016</v>
      </c>
      <c r="F616" s="30">
        <v>5219780</v>
      </c>
      <c r="G616" s="30">
        <v>5239351</v>
      </c>
      <c r="H616" s="30">
        <v>5252875</v>
      </c>
      <c r="I616" s="30">
        <v>5254675</v>
      </c>
      <c r="J616" s="30">
        <v>5244088</v>
      </c>
      <c r="K616" s="30">
        <v>5224272</v>
      </c>
      <c r="L616" s="30">
        <v>5200821</v>
      </c>
      <c r="M616" s="30">
        <v>5171960</v>
      </c>
      <c r="N616" s="30">
        <v>5150233</v>
      </c>
      <c r="O616" s="24" t="str">
        <f t="shared" si="19"/>
        <v>Cook County, Illinois</v>
      </c>
    </row>
    <row r="617" spans="1:15" x14ac:dyDescent="0.25">
      <c r="A617" s="35" t="s">
        <v>1093</v>
      </c>
      <c r="B617" s="28" t="str">
        <f t="shared" si="18"/>
        <v>Crawford</v>
      </c>
      <c r="C617" s="30">
        <v>19817</v>
      </c>
      <c r="D617" s="30">
        <v>19818</v>
      </c>
      <c r="E617" s="30">
        <v>19801</v>
      </c>
      <c r="F617" s="30">
        <v>19776</v>
      </c>
      <c r="G617" s="30">
        <v>19588</v>
      </c>
      <c r="H617" s="30">
        <v>19435</v>
      </c>
      <c r="I617" s="30">
        <v>19285</v>
      </c>
      <c r="J617" s="30">
        <v>19255</v>
      </c>
      <c r="K617" s="30">
        <v>19133</v>
      </c>
      <c r="L617" s="30">
        <v>18975</v>
      </c>
      <c r="M617" s="30">
        <v>18830</v>
      </c>
      <c r="N617" s="30">
        <v>18667</v>
      </c>
      <c r="O617" s="24" t="str">
        <f t="shared" si="19"/>
        <v>Crawford County, Illinois</v>
      </c>
    </row>
    <row r="618" spans="1:15" x14ac:dyDescent="0.25">
      <c r="A618" s="35" t="s">
        <v>1094</v>
      </c>
      <c r="B618" s="28" t="str">
        <f t="shared" si="18"/>
        <v>Cumberland</v>
      </c>
      <c r="C618" s="30">
        <v>11048</v>
      </c>
      <c r="D618" s="30">
        <v>11045</v>
      </c>
      <c r="E618" s="30">
        <v>11053</v>
      </c>
      <c r="F618" s="30">
        <v>11080</v>
      </c>
      <c r="G618" s="30">
        <v>10950</v>
      </c>
      <c r="H618" s="30">
        <v>10904</v>
      </c>
      <c r="I618" s="30">
        <v>10923</v>
      </c>
      <c r="J618" s="30">
        <v>10860</v>
      </c>
      <c r="K618" s="30">
        <v>10868</v>
      </c>
      <c r="L618" s="30">
        <v>10880</v>
      </c>
      <c r="M618" s="30">
        <v>10804</v>
      </c>
      <c r="N618" s="30">
        <v>10766</v>
      </c>
      <c r="O618" s="24" t="str">
        <f t="shared" si="19"/>
        <v>Cumberland County, Illinois</v>
      </c>
    </row>
    <row r="619" spans="1:15" x14ac:dyDescent="0.25">
      <c r="A619" s="35" t="s">
        <v>1095</v>
      </c>
      <c r="B619" s="28" t="str">
        <f t="shared" si="18"/>
        <v>DeKalb</v>
      </c>
      <c r="C619" s="30">
        <v>105160</v>
      </c>
      <c r="D619" s="30">
        <v>105162</v>
      </c>
      <c r="E619" s="30">
        <v>105145</v>
      </c>
      <c r="F619" s="30">
        <v>104450</v>
      </c>
      <c r="G619" s="30">
        <v>104365</v>
      </c>
      <c r="H619" s="30">
        <v>104202</v>
      </c>
      <c r="I619" s="30">
        <v>104560</v>
      </c>
      <c r="J619" s="30">
        <v>104195</v>
      </c>
      <c r="K619" s="30">
        <v>104080</v>
      </c>
      <c r="L619" s="30">
        <v>104309</v>
      </c>
      <c r="M619" s="30">
        <v>104349</v>
      </c>
      <c r="N619" s="30">
        <v>104897</v>
      </c>
      <c r="O619" s="24" t="str">
        <f t="shared" si="19"/>
        <v>DeKalb County, Illinois</v>
      </c>
    </row>
    <row r="620" spans="1:15" x14ac:dyDescent="0.25">
      <c r="A620" s="35" t="s">
        <v>1096</v>
      </c>
      <c r="B620" s="28" t="str">
        <f t="shared" si="18"/>
        <v>De Witt</v>
      </c>
      <c r="C620" s="30">
        <v>16561</v>
      </c>
      <c r="D620" s="30">
        <v>16558</v>
      </c>
      <c r="E620" s="30">
        <v>16590</v>
      </c>
      <c r="F620" s="30">
        <v>16548</v>
      </c>
      <c r="G620" s="30">
        <v>16491</v>
      </c>
      <c r="H620" s="30">
        <v>16373</v>
      </c>
      <c r="I620" s="30">
        <v>16217</v>
      </c>
      <c r="J620" s="30">
        <v>16184</v>
      </c>
      <c r="K620" s="30">
        <v>16137</v>
      </c>
      <c r="L620" s="30">
        <v>15906</v>
      </c>
      <c r="M620" s="30">
        <v>15794</v>
      </c>
      <c r="N620" s="30">
        <v>15638</v>
      </c>
      <c r="O620" s="24" t="str">
        <f t="shared" si="19"/>
        <v>De Witt County, Illinois</v>
      </c>
    </row>
    <row r="621" spans="1:15" x14ac:dyDescent="0.25">
      <c r="A621" s="35" t="s">
        <v>1097</v>
      </c>
      <c r="B621" s="28" t="str">
        <f t="shared" si="18"/>
        <v>Douglas</v>
      </c>
      <c r="C621" s="30">
        <v>19980</v>
      </c>
      <c r="D621" s="30">
        <v>19977</v>
      </c>
      <c r="E621" s="30">
        <v>19983</v>
      </c>
      <c r="F621" s="30">
        <v>19871</v>
      </c>
      <c r="G621" s="30">
        <v>19888</v>
      </c>
      <c r="H621" s="30">
        <v>19861</v>
      </c>
      <c r="I621" s="30">
        <v>19906</v>
      </c>
      <c r="J621" s="30">
        <v>19835</v>
      </c>
      <c r="K621" s="30">
        <v>19727</v>
      </c>
      <c r="L621" s="30">
        <v>19629</v>
      </c>
      <c r="M621" s="30">
        <v>19458</v>
      </c>
      <c r="N621" s="30">
        <v>19465</v>
      </c>
      <c r="O621" s="24" t="str">
        <f t="shared" si="19"/>
        <v>Douglas County, Illinois</v>
      </c>
    </row>
    <row r="622" spans="1:15" x14ac:dyDescent="0.25">
      <c r="A622" s="35" t="s">
        <v>1098</v>
      </c>
      <c r="B622" s="28" t="str">
        <f t="shared" si="18"/>
        <v>DuPage</v>
      </c>
      <c r="C622" s="30">
        <v>916924</v>
      </c>
      <c r="D622" s="30">
        <v>916741</v>
      </c>
      <c r="E622" s="30">
        <v>917983</v>
      </c>
      <c r="F622" s="30">
        <v>924831</v>
      </c>
      <c r="G622" s="30">
        <v>928666</v>
      </c>
      <c r="H622" s="30">
        <v>932231</v>
      </c>
      <c r="I622" s="30">
        <v>933425</v>
      </c>
      <c r="J622" s="30">
        <v>933609</v>
      </c>
      <c r="K622" s="30">
        <v>931256</v>
      </c>
      <c r="L622" s="30">
        <v>930265</v>
      </c>
      <c r="M622" s="30">
        <v>927247</v>
      </c>
      <c r="N622" s="30">
        <v>922921</v>
      </c>
      <c r="O622" s="24" t="str">
        <f t="shared" si="19"/>
        <v>DuPage County, Illinois</v>
      </c>
    </row>
    <row r="623" spans="1:15" x14ac:dyDescent="0.25">
      <c r="A623" s="35" t="s">
        <v>1099</v>
      </c>
      <c r="B623" s="28" t="str">
        <f t="shared" si="18"/>
        <v>Edgar</v>
      </c>
      <c r="C623" s="30">
        <v>18576</v>
      </c>
      <c r="D623" s="30">
        <v>18576</v>
      </c>
      <c r="E623" s="30">
        <v>18508</v>
      </c>
      <c r="F623" s="30">
        <v>18391</v>
      </c>
      <c r="G623" s="30">
        <v>18158</v>
      </c>
      <c r="H623" s="30">
        <v>17941</v>
      </c>
      <c r="I623" s="30">
        <v>17807</v>
      </c>
      <c r="J623" s="30">
        <v>17603</v>
      </c>
      <c r="K623" s="30">
        <v>17519</v>
      </c>
      <c r="L623" s="30">
        <v>17390</v>
      </c>
      <c r="M623" s="30">
        <v>17360</v>
      </c>
      <c r="N623" s="30">
        <v>17161</v>
      </c>
      <c r="O623" s="24" t="str">
        <f t="shared" si="19"/>
        <v>Edgar County, Illinois</v>
      </c>
    </row>
    <row r="624" spans="1:15" x14ac:dyDescent="0.25">
      <c r="A624" s="35" t="s">
        <v>1100</v>
      </c>
      <c r="B624" s="28" t="str">
        <f t="shared" si="18"/>
        <v>Edwards</v>
      </c>
      <c r="C624" s="30">
        <v>6721</v>
      </c>
      <c r="D624" s="30">
        <v>6721</v>
      </c>
      <c r="E624" s="30">
        <v>6734</v>
      </c>
      <c r="F624" s="30">
        <v>6669</v>
      </c>
      <c r="G624" s="30">
        <v>6721</v>
      </c>
      <c r="H624" s="30">
        <v>6687</v>
      </c>
      <c r="I624" s="30">
        <v>6628</v>
      </c>
      <c r="J624" s="30">
        <v>6511</v>
      </c>
      <c r="K624" s="30">
        <v>6536</v>
      </c>
      <c r="L624" s="30">
        <v>6448</v>
      </c>
      <c r="M624" s="30">
        <v>6387</v>
      </c>
      <c r="N624" s="30">
        <v>6395</v>
      </c>
      <c r="O624" s="24" t="str">
        <f t="shared" si="19"/>
        <v>Edwards County, Illinois</v>
      </c>
    </row>
    <row r="625" spans="1:15" x14ac:dyDescent="0.25">
      <c r="A625" s="35" t="s">
        <v>1101</v>
      </c>
      <c r="B625" s="28" t="str">
        <f t="shared" si="18"/>
        <v>Effingham</v>
      </c>
      <c r="C625" s="30">
        <v>34242</v>
      </c>
      <c r="D625" s="30">
        <v>34246</v>
      </c>
      <c r="E625" s="30">
        <v>34224</v>
      </c>
      <c r="F625" s="30">
        <v>34270</v>
      </c>
      <c r="G625" s="30">
        <v>34273</v>
      </c>
      <c r="H625" s="30">
        <v>34217</v>
      </c>
      <c r="I625" s="30">
        <v>34122</v>
      </c>
      <c r="J625" s="30">
        <v>34202</v>
      </c>
      <c r="K625" s="30">
        <v>34170</v>
      </c>
      <c r="L625" s="30">
        <v>34123</v>
      </c>
      <c r="M625" s="30">
        <v>34181</v>
      </c>
      <c r="N625" s="30">
        <v>34008</v>
      </c>
      <c r="O625" s="24" t="str">
        <f t="shared" si="19"/>
        <v>Effingham County, Illinois</v>
      </c>
    </row>
    <row r="626" spans="1:15" x14ac:dyDescent="0.25">
      <c r="A626" s="35" t="s">
        <v>1102</v>
      </c>
      <c r="B626" s="28" t="str">
        <f t="shared" si="18"/>
        <v>Fayette</v>
      </c>
      <c r="C626" s="30">
        <v>22140</v>
      </c>
      <c r="D626" s="30">
        <v>22142</v>
      </c>
      <c r="E626" s="30">
        <v>22131</v>
      </c>
      <c r="F626" s="30">
        <v>22378</v>
      </c>
      <c r="G626" s="30">
        <v>22163</v>
      </c>
      <c r="H626" s="30">
        <v>22195</v>
      </c>
      <c r="I626" s="30">
        <v>22076</v>
      </c>
      <c r="J626" s="30">
        <v>22036</v>
      </c>
      <c r="K626" s="30">
        <v>21570</v>
      </c>
      <c r="L626" s="30">
        <v>21514</v>
      </c>
      <c r="M626" s="30">
        <v>21368</v>
      </c>
      <c r="N626" s="30">
        <v>21336</v>
      </c>
      <c r="O626" s="24" t="str">
        <f t="shared" si="19"/>
        <v>Fayette County, Illinois</v>
      </c>
    </row>
    <row r="627" spans="1:15" x14ac:dyDescent="0.25">
      <c r="A627" s="35" t="s">
        <v>1103</v>
      </c>
      <c r="B627" s="28" t="str">
        <f t="shared" si="18"/>
        <v>Ford</v>
      </c>
      <c r="C627" s="30">
        <v>14081</v>
      </c>
      <c r="D627" s="30">
        <v>14081</v>
      </c>
      <c r="E627" s="30">
        <v>14081</v>
      </c>
      <c r="F627" s="30">
        <v>13881</v>
      </c>
      <c r="G627" s="30">
        <v>13879</v>
      </c>
      <c r="H627" s="30">
        <v>13672</v>
      </c>
      <c r="I627" s="30">
        <v>13540</v>
      </c>
      <c r="J627" s="30">
        <v>13529</v>
      </c>
      <c r="K627" s="30">
        <v>13352</v>
      </c>
      <c r="L627" s="30">
        <v>13298</v>
      </c>
      <c r="M627" s="30">
        <v>13212</v>
      </c>
      <c r="N627" s="30">
        <v>12961</v>
      </c>
      <c r="O627" s="24" t="str">
        <f t="shared" si="19"/>
        <v>Ford County, Illinois</v>
      </c>
    </row>
    <row r="628" spans="1:15" x14ac:dyDescent="0.25">
      <c r="A628" s="35" t="s">
        <v>1104</v>
      </c>
      <c r="B628" s="28" t="str">
        <f t="shared" si="18"/>
        <v>Franklin</v>
      </c>
      <c r="C628" s="30">
        <v>39561</v>
      </c>
      <c r="D628" s="30">
        <v>39996</v>
      </c>
      <c r="E628" s="30">
        <v>40035</v>
      </c>
      <c r="F628" s="30">
        <v>40033</v>
      </c>
      <c r="G628" s="30">
        <v>39865</v>
      </c>
      <c r="H628" s="30">
        <v>39555</v>
      </c>
      <c r="I628" s="30">
        <v>39446</v>
      </c>
      <c r="J628" s="30">
        <v>39383</v>
      </c>
      <c r="K628" s="30">
        <v>39075</v>
      </c>
      <c r="L628" s="30">
        <v>38995</v>
      </c>
      <c r="M628" s="30">
        <v>38695</v>
      </c>
      <c r="N628" s="30">
        <v>38469</v>
      </c>
      <c r="O628" s="24" t="str">
        <f t="shared" si="19"/>
        <v>Franklin County, Illinois</v>
      </c>
    </row>
    <row r="629" spans="1:15" x14ac:dyDescent="0.25">
      <c r="A629" s="35" t="s">
        <v>1105</v>
      </c>
      <c r="B629" s="28" t="str">
        <f t="shared" si="18"/>
        <v>Fulton</v>
      </c>
      <c r="C629" s="30">
        <v>37069</v>
      </c>
      <c r="D629" s="30">
        <v>37071</v>
      </c>
      <c r="E629" s="30">
        <v>37076</v>
      </c>
      <c r="F629" s="30">
        <v>36910</v>
      </c>
      <c r="G629" s="30">
        <v>36587</v>
      </c>
      <c r="H629" s="30">
        <v>36323</v>
      </c>
      <c r="I629" s="30">
        <v>35995</v>
      </c>
      <c r="J629" s="30">
        <v>35713</v>
      </c>
      <c r="K629" s="30">
        <v>35473</v>
      </c>
      <c r="L629" s="30">
        <v>35104</v>
      </c>
      <c r="M629" s="30">
        <v>34830</v>
      </c>
      <c r="N629" s="30">
        <v>34340</v>
      </c>
      <c r="O629" s="24" t="str">
        <f t="shared" si="19"/>
        <v>Fulton County, Illinois</v>
      </c>
    </row>
    <row r="630" spans="1:15" x14ac:dyDescent="0.25">
      <c r="A630" s="35" t="s">
        <v>1106</v>
      </c>
      <c r="B630" s="28" t="str">
        <f t="shared" si="18"/>
        <v>Gallatin</v>
      </c>
      <c r="C630" s="30">
        <v>5589</v>
      </c>
      <c r="D630" s="30">
        <v>5587</v>
      </c>
      <c r="E630" s="30">
        <v>5573</v>
      </c>
      <c r="F630" s="30">
        <v>5490</v>
      </c>
      <c r="G630" s="30">
        <v>5390</v>
      </c>
      <c r="H630" s="30">
        <v>5386</v>
      </c>
      <c r="I630" s="30">
        <v>5278</v>
      </c>
      <c r="J630" s="30">
        <v>5221</v>
      </c>
      <c r="K630" s="30">
        <v>5157</v>
      </c>
      <c r="L630" s="30">
        <v>5071</v>
      </c>
      <c r="M630" s="30">
        <v>5045</v>
      </c>
      <c r="N630" s="30">
        <v>4828</v>
      </c>
      <c r="O630" s="24" t="str">
        <f t="shared" si="19"/>
        <v>Gallatin County, Illinois</v>
      </c>
    </row>
    <row r="631" spans="1:15" x14ac:dyDescent="0.25">
      <c r="A631" s="35" t="s">
        <v>1107</v>
      </c>
      <c r="B631" s="28" t="str">
        <f t="shared" si="18"/>
        <v>Greene</v>
      </c>
      <c r="C631" s="30">
        <v>13886</v>
      </c>
      <c r="D631" s="30">
        <v>13886</v>
      </c>
      <c r="E631" s="30">
        <v>13890</v>
      </c>
      <c r="F631" s="30">
        <v>13856</v>
      </c>
      <c r="G631" s="30">
        <v>13656</v>
      </c>
      <c r="H631" s="30">
        <v>13633</v>
      </c>
      <c r="I631" s="30">
        <v>13415</v>
      </c>
      <c r="J631" s="30">
        <v>13345</v>
      </c>
      <c r="K631" s="30">
        <v>13123</v>
      </c>
      <c r="L631" s="30">
        <v>13156</v>
      </c>
      <c r="M631" s="30">
        <v>13065</v>
      </c>
      <c r="N631" s="30">
        <v>12969</v>
      </c>
      <c r="O631" s="24" t="str">
        <f t="shared" si="19"/>
        <v>Greene County, Illinois</v>
      </c>
    </row>
    <row r="632" spans="1:15" x14ac:dyDescent="0.25">
      <c r="A632" s="35" t="s">
        <v>1108</v>
      </c>
      <c r="B632" s="28" t="str">
        <f t="shared" si="18"/>
        <v>Grundy</v>
      </c>
      <c r="C632" s="30">
        <v>50063</v>
      </c>
      <c r="D632" s="30">
        <v>50079</v>
      </c>
      <c r="E632" s="30">
        <v>50154</v>
      </c>
      <c r="F632" s="30">
        <v>50099</v>
      </c>
      <c r="G632" s="30">
        <v>50160</v>
      </c>
      <c r="H632" s="30">
        <v>50187</v>
      </c>
      <c r="I632" s="30">
        <v>50287</v>
      </c>
      <c r="J632" s="30">
        <v>50363</v>
      </c>
      <c r="K632" s="30">
        <v>50317</v>
      </c>
      <c r="L632" s="30">
        <v>50622</v>
      </c>
      <c r="M632" s="30">
        <v>50973</v>
      </c>
      <c r="N632" s="30">
        <v>51054</v>
      </c>
      <c r="O632" s="24" t="str">
        <f t="shared" si="19"/>
        <v>Grundy County, Illinois</v>
      </c>
    </row>
    <row r="633" spans="1:15" x14ac:dyDescent="0.25">
      <c r="A633" s="35" t="s">
        <v>1109</v>
      </c>
      <c r="B633" s="28" t="str">
        <f t="shared" si="18"/>
        <v>Hamilton</v>
      </c>
      <c r="C633" s="30">
        <v>8457</v>
      </c>
      <c r="D633" s="30">
        <v>8457</v>
      </c>
      <c r="E633" s="30">
        <v>8446</v>
      </c>
      <c r="F633" s="30">
        <v>8425</v>
      </c>
      <c r="G633" s="30">
        <v>8388</v>
      </c>
      <c r="H633" s="30">
        <v>8348</v>
      </c>
      <c r="I633" s="30">
        <v>8314</v>
      </c>
      <c r="J633" s="30">
        <v>8248</v>
      </c>
      <c r="K633" s="30">
        <v>8186</v>
      </c>
      <c r="L633" s="30">
        <v>8181</v>
      </c>
      <c r="M633" s="30">
        <v>8148</v>
      </c>
      <c r="N633" s="30">
        <v>8116</v>
      </c>
      <c r="O633" s="24" t="str">
        <f t="shared" si="19"/>
        <v>Hamilton County, Illinois</v>
      </c>
    </row>
    <row r="634" spans="1:15" x14ac:dyDescent="0.25">
      <c r="A634" s="35" t="s">
        <v>1110</v>
      </c>
      <c r="B634" s="28" t="str">
        <f t="shared" si="18"/>
        <v>Hancock</v>
      </c>
      <c r="C634" s="30">
        <v>19104</v>
      </c>
      <c r="D634" s="30">
        <v>19104</v>
      </c>
      <c r="E634" s="30">
        <v>19091</v>
      </c>
      <c r="F634" s="30">
        <v>18999</v>
      </c>
      <c r="G634" s="30">
        <v>18829</v>
      </c>
      <c r="H634" s="30">
        <v>18544</v>
      </c>
      <c r="I634" s="30">
        <v>18324</v>
      </c>
      <c r="J634" s="30">
        <v>18216</v>
      </c>
      <c r="K634" s="30">
        <v>18205</v>
      </c>
      <c r="L634" s="30">
        <v>17958</v>
      </c>
      <c r="M634" s="30">
        <v>17828</v>
      </c>
      <c r="N634" s="30">
        <v>17708</v>
      </c>
      <c r="O634" s="24" t="str">
        <f t="shared" si="19"/>
        <v>Hancock County, Illinois</v>
      </c>
    </row>
    <row r="635" spans="1:15" x14ac:dyDescent="0.25">
      <c r="A635" s="35" t="s">
        <v>1111</v>
      </c>
      <c r="B635" s="28" t="str">
        <f t="shared" si="18"/>
        <v>Hardin</v>
      </c>
      <c r="C635" s="30">
        <v>4320</v>
      </c>
      <c r="D635" s="30">
        <v>4323</v>
      </c>
      <c r="E635" s="30">
        <v>4319</v>
      </c>
      <c r="F635" s="30">
        <v>4294</v>
      </c>
      <c r="G635" s="30">
        <v>4281</v>
      </c>
      <c r="H635" s="30">
        <v>4177</v>
      </c>
      <c r="I635" s="30">
        <v>4149</v>
      </c>
      <c r="J635" s="30">
        <v>4067</v>
      </c>
      <c r="K635" s="30">
        <v>3991</v>
      </c>
      <c r="L635" s="30">
        <v>3922</v>
      </c>
      <c r="M635" s="30">
        <v>3893</v>
      </c>
      <c r="N635" s="30">
        <v>3821</v>
      </c>
      <c r="O635" s="24" t="str">
        <f t="shared" si="19"/>
        <v>Hardin County, Illinois</v>
      </c>
    </row>
    <row r="636" spans="1:15" x14ac:dyDescent="0.25">
      <c r="A636" s="35" t="s">
        <v>1112</v>
      </c>
      <c r="B636" s="28" t="str">
        <f t="shared" si="18"/>
        <v>Henderson</v>
      </c>
      <c r="C636" s="30">
        <v>7331</v>
      </c>
      <c r="D636" s="30">
        <v>7328</v>
      </c>
      <c r="E636" s="30">
        <v>7343</v>
      </c>
      <c r="F636" s="30">
        <v>7216</v>
      </c>
      <c r="G636" s="30">
        <v>7043</v>
      </c>
      <c r="H636" s="30">
        <v>6963</v>
      </c>
      <c r="I636" s="30">
        <v>7011</v>
      </c>
      <c r="J636" s="30">
        <v>6997</v>
      </c>
      <c r="K636" s="30">
        <v>6886</v>
      </c>
      <c r="L636" s="30">
        <v>6819</v>
      </c>
      <c r="M636" s="30">
        <v>6697</v>
      </c>
      <c r="N636" s="30">
        <v>6646</v>
      </c>
      <c r="O636" s="24" t="str">
        <f t="shared" si="19"/>
        <v>Henderson County, Illinois</v>
      </c>
    </row>
    <row r="637" spans="1:15" x14ac:dyDescent="0.25">
      <c r="A637" s="35" t="s">
        <v>1113</v>
      </c>
      <c r="B637" s="28" t="str">
        <f t="shared" si="18"/>
        <v>Henry</v>
      </c>
      <c r="C637" s="30">
        <v>50486</v>
      </c>
      <c r="D637" s="30">
        <v>50483</v>
      </c>
      <c r="E637" s="30">
        <v>50452</v>
      </c>
      <c r="F637" s="30">
        <v>50283</v>
      </c>
      <c r="G637" s="30">
        <v>50249</v>
      </c>
      <c r="H637" s="30">
        <v>49917</v>
      </c>
      <c r="I637" s="30">
        <v>49824</v>
      </c>
      <c r="J637" s="30">
        <v>49638</v>
      </c>
      <c r="K637" s="30">
        <v>49498</v>
      </c>
      <c r="L637" s="30">
        <v>49219</v>
      </c>
      <c r="M637" s="30">
        <v>49069</v>
      </c>
      <c r="N637" s="30">
        <v>48913</v>
      </c>
      <c r="O637" s="24" t="str">
        <f t="shared" si="19"/>
        <v>Henry County, Illinois</v>
      </c>
    </row>
    <row r="638" spans="1:15" x14ac:dyDescent="0.25">
      <c r="A638" s="35" t="s">
        <v>1114</v>
      </c>
      <c r="B638" s="28" t="str">
        <f t="shared" si="18"/>
        <v>Iroquois</v>
      </c>
      <c r="C638" s="30">
        <v>29718</v>
      </c>
      <c r="D638" s="30">
        <v>29719</v>
      </c>
      <c r="E638" s="30">
        <v>29701</v>
      </c>
      <c r="F638" s="30">
        <v>29500</v>
      </c>
      <c r="G638" s="30">
        <v>29267</v>
      </c>
      <c r="H638" s="30">
        <v>28940</v>
      </c>
      <c r="I638" s="30">
        <v>28719</v>
      </c>
      <c r="J638" s="30">
        <v>28522</v>
      </c>
      <c r="K638" s="30">
        <v>28163</v>
      </c>
      <c r="L638" s="30">
        <v>27777</v>
      </c>
      <c r="M638" s="30">
        <v>27484</v>
      </c>
      <c r="N638" s="30">
        <v>27114</v>
      </c>
      <c r="O638" s="24" t="str">
        <f t="shared" si="19"/>
        <v>Iroquois County, Illinois</v>
      </c>
    </row>
    <row r="639" spans="1:15" x14ac:dyDescent="0.25">
      <c r="A639" s="35" t="s">
        <v>1115</v>
      </c>
      <c r="B639" s="28" t="str">
        <f t="shared" si="18"/>
        <v>Jackson</v>
      </c>
      <c r="C639" s="30">
        <v>60218</v>
      </c>
      <c r="D639" s="30">
        <v>60206</v>
      </c>
      <c r="E639" s="30">
        <v>60373</v>
      </c>
      <c r="F639" s="30">
        <v>60369</v>
      </c>
      <c r="G639" s="30">
        <v>59066</v>
      </c>
      <c r="H639" s="30">
        <v>59760</v>
      </c>
      <c r="I639" s="30">
        <v>59359</v>
      </c>
      <c r="J639" s="30">
        <v>59214</v>
      </c>
      <c r="K639" s="30">
        <v>58726</v>
      </c>
      <c r="L639" s="30">
        <v>57904</v>
      </c>
      <c r="M639" s="30">
        <v>57289</v>
      </c>
      <c r="N639" s="30">
        <v>56750</v>
      </c>
      <c r="O639" s="24" t="str">
        <f t="shared" si="19"/>
        <v>Jackson County, Illinois</v>
      </c>
    </row>
    <row r="640" spans="1:15" x14ac:dyDescent="0.25">
      <c r="A640" s="35" t="s">
        <v>1116</v>
      </c>
      <c r="B640" s="28" t="str">
        <f t="shared" si="18"/>
        <v>Jasper</v>
      </c>
      <c r="C640" s="30">
        <v>9698</v>
      </c>
      <c r="D640" s="30">
        <v>9701</v>
      </c>
      <c r="E640" s="30">
        <v>9725</v>
      </c>
      <c r="F640" s="30">
        <v>9754</v>
      </c>
      <c r="G640" s="30">
        <v>9672</v>
      </c>
      <c r="H640" s="30">
        <v>9607</v>
      </c>
      <c r="I640" s="30">
        <v>9633</v>
      </c>
      <c r="J640" s="30">
        <v>9630</v>
      </c>
      <c r="K640" s="30">
        <v>9583</v>
      </c>
      <c r="L640" s="30">
        <v>9523</v>
      </c>
      <c r="M640" s="30">
        <v>9624</v>
      </c>
      <c r="N640" s="30">
        <v>9610</v>
      </c>
      <c r="O640" s="24" t="str">
        <f t="shared" si="19"/>
        <v>Jasper County, Illinois</v>
      </c>
    </row>
    <row r="641" spans="1:15" x14ac:dyDescent="0.25">
      <c r="A641" s="35" t="s">
        <v>1117</v>
      </c>
      <c r="B641" s="28" t="str">
        <f t="shared" si="18"/>
        <v>Jefferson</v>
      </c>
      <c r="C641" s="30">
        <v>38827</v>
      </c>
      <c r="D641" s="30">
        <v>38825</v>
      </c>
      <c r="E641" s="30">
        <v>38755</v>
      </c>
      <c r="F641" s="30">
        <v>38749</v>
      </c>
      <c r="G641" s="30">
        <v>38658</v>
      </c>
      <c r="H641" s="30">
        <v>38641</v>
      </c>
      <c r="I641" s="30">
        <v>38374</v>
      </c>
      <c r="J641" s="30">
        <v>38272</v>
      </c>
      <c r="K641" s="30">
        <v>38214</v>
      </c>
      <c r="L641" s="30">
        <v>38045</v>
      </c>
      <c r="M641" s="30">
        <v>37708</v>
      </c>
      <c r="N641" s="30">
        <v>37684</v>
      </c>
      <c r="O641" s="24" t="str">
        <f t="shared" si="19"/>
        <v>Jefferson County, Illinois</v>
      </c>
    </row>
    <row r="642" spans="1:15" x14ac:dyDescent="0.25">
      <c r="A642" s="35" t="s">
        <v>1118</v>
      </c>
      <c r="B642" s="28" t="str">
        <f t="shared" si="18"/>
        <v>Jersey</v>
      </c>
      <c r="C642" s="30">
        <v>22985</v>
      </c>
      <c r="D642" s="30">
        <v>23010</v>
      </c>
      <c r="E642" s="30">
        <v>22995</v>
      </c>
      <c r="F642" s="30">
        <v>22879</v>
      </c>
      <c r="G642" s="30">
        <v>22710</v>
      </c>
      <c r="H642" s="30">
        <v>22599</v>
      </c>
      <c r="I642" s="30">
        <v>22492</v>
      </c>
      <c r="J642" s="30">
        <v>22260</v>
      </c>
      <c r="K642" s="30">
        <v>21947</v>
      </c>
      <c r="L642" s="30">
        <v>21912</v>
      </c>
      <c r="M642" s="30">
        <v>21795</v>
      </c>
      <c r="N642" s="30">
        <v>21773</v>
      </c>
      <c r="O642" s="24" t="str">
        <f t="shared" si="19"/>
        <v>Jersey County, Illinois</v>
      </c>
    </row>
    <row r="643" spans="1:15" x14ac:dyDescent="0.25">
      <c r="A643" s="35" t="s">
        <v>1119</v>
      </c>
      <c r="B643" s="28" t="str">
        <f t="shared" si="18"/>
        <v>Jo Daviess</v>
      </c>
      <c r="C643" s="30">
        <v>22678</v>
      </c>
      <c r="D643" s="30">
        <v>22681</v>
      </c>
      <c r="E643" s="30">
        <v>22648</v>
      </c>
      <c r="F643" s="30">
        <v>22640</v>
      </c>
      <c r="G643" s="30">
        <v>22543</v>
      </c>
      <c r="H643" s="30">
        <v>22399</v>
      </c>
      <c r="I643" s="30">
        <v>22341</v>
      </c>
      <c r="J643" s="30">
        <v>22066</v>
      </c>
      <c r="K643" s="30">
        <v>21814</v>
      </c>
      <c r="L643" s="30">
        <v>21495</v>
      </c>
      <c r="M643" s="30">
        <v>21331</v>
      </c>
      <c r="N643" s="30">
        <v>21235</v>
      </c>
      <c r="O643" s="24" t="str">
        <f t="shared" si="19"/>
        <v>Jo Daviess County, Illinois</v>
      </c>
    </row>
    <row r="644" spans="1:15" x14ac:dyDescent="0.25">
      <c r="A644" s="35" t="s">
        <v>1120</v>
      </c>
      <c r="B644" s="28" t="str">
        <f t="shared" si="18"/>
        <v>Johnson</v>
      </c>
      <c r="C644" s="30">
        <v>12582</v>
      </c>
      <c r="D644" s="30">
        <v>12577</v>
      </c>
      <c r="E644" s="30">
        <v>12604</v>
      </c>
      <c r="F644" s="30">
        <v>12855</v>
      </c>
      <c r="G644" s="30">
        <v>12856</v>
      </c>
      <c r="H644" s="30">
        <v>12867</v>
      </c>
      <c r="I644" s="30">
        <v>12887</v>
      </c>
      <c r="J644" s="30">
        <v>12777</v>
      </c>
      <c r="K644" s="30">
        <v>12454</v>
      </c>
      <c r="L644" s="30">
        <v>12399</v>
      </c>
      <c r="M644" s="30">
        <v>12423</v>
      </c>
      <c r="N644" s="30">
        <v>12417</v>
      </c>
      <c r="O644" s="24" t="str">
        <f t="shared" si="19"/>
        <v>Johnson County, Illinois</v>
      </c>
    </row>
    <row r="645" spans="1:15" x14ac:dyDescent="0.25">
      <c r="A645" s="35" t="s">
        <v>1121</v>
      </c>
      <c r="B645" s="28" t="str">
        <f t="shared" si="18"/>
        <v>Kane</v>
      </c>
      <c r="C645" s="30">
        <v>515269</v>
      </c>
      <c r="D645" s="30">
        <v>515322</v>
      </c>
      <c r="E645" s="30">
        <v>516068</v>
      </c>
      <c r="F645" s="30">
        <v>519110</v>
      </c>
      <c r="G645" s="30">
        <v>520669</v>
      </c>
      <c r="H645" s="30">
        <v>522626</v>
      </c>
      <c r="I645" s="30">
        <v>525625</v>
      </c>
      <c r="J645" s="30">
        <v>528760</v>
      </c>
      <c r="K645" s="30">
        <v>530726</v>
      </c>
      <c r="L645" s="30">
        <v>532272</v>
      </c>
      <c r="M645" s="30">
        <v>532720</v>
      </c>
      <c r="N645" s="30">
        <v>532403</v>
      </c>
      <c r="O645" s="24" t="str">
        <f t="shared" si="19"/>
        <v>Kane County, Illinois</v>
      </c>
    </row>
    <row r="646" spans="1:15" x14ac:dyDescent="0.25">
      <c r="A646" s="35" t="s">
        <v>1122</v>
      </c>
      <c r="B646" s="28" t="str">
        <f t="shared" si="18"/>
        <v>Kankakee</v>
      </c>
      <c r="C646" s="30">
        <v>113449</v>
      </c>
      <c r="D646" s="30">
        <v>113450</v>
      </c>
      <c r="E646" s="30">
        <v>113418</v>
      </c>
      <c r="F646" s="30">
        <v>113519</v>
      </c>
      <c r="G646" s="30">
        <v>112974</v>
      </c>
      <c r="H646" s="30">
        <v>112735</v>
      </c>
      <c r="I646" s="30">
        <v>111883</v>
      </c>
      <c r="J646" s="30">
        <v>111750</v>
      </c>
      <c r="K646" s="30">
        <v>111080</v>
      </c>
      <c r="L646" s="30">
        <v>110540</v>
      </c>
      <c r="M646" s="30">
        <v>109953</v>
      </c>
      <c r="N646" s="30">
        <v>109862</v>
      </c>
      <c r="O646" s="24" t="str">
        <f t="shared" si="19"/>
        <v>Kankakee County, Illinois</v>
      </c>
    </row>
    <row r="647" spans="1:15" x14ac:dyDescent="0.25">
      <c r="A647" s="35" t="s">
        <v>1123</v>
      </c>
      <c r="B647" s="28" t="str">
        <f t="shared" ref="B647:B710" si="20">LEFT(A647,FIND("County",A647,1)-2)</f>
        <v>Kendall</v>
      </c>
      <c r="C647" s="30">
        <v>114736</v>
      </c>
      <c r="D647" s="30">
        <v>114804</v>
      </c>
      <c r="E647" s="30">
        <v>115373</v>
      </c>
      <c r="F647" s="30">
        <v>116814</v>
      </c>
      <c r="G647" s="30">
        <v>118246</v>
      </c>
      <c r="H647" s="30">
        <v>119566</v>
      </c>
      <c r="I647" s="30">
        <v>121374</v>
      </c>
      <c r="J647" s="30">
        <v>122878</v>
      </c>
      <c r="K647" s="30">
        <v>124535</v>
      </c>
      <c r="L647" s="30">
        <v>126152</v>
      </c>
      <c r="M647" s="30">
        <v>127717</v>
      </c>
      <c r="N647" s="30">
        <v>128990</v>
      </c>
      <c r="O647" s="24" t="str">
        <f t="shared" ref="O647:O710" si="21">A647</f>
        <v>Kendall County, Illinois</v>
      </c>
    </row>
    <row r="648" spans="1:15" x14ac:dyDescent="0.25">
      <c r="A648" s="35" t="s">
        <v>1124</v>
      </c>
      <c r="B648" s="28" t="str">
        <f t="shared" si="20"/>
        <v>Knox</v>
      </c>
      <c r="C648" s="30">
        <v>52919</v>
      </c>
      <c r="D648" s="30">
        <v>52926</v>
      </c>
      <c r="E648" s="30">
        <v>52912</v>
      </c>
      <c r="F648" s="30">
        <v>52705</v>
      </c>
      <c r="G648" s="30">
        <v>52302</v>
      </c>
      <c r="H648" s="30">
        <v>52129</v>
      </c>
      <c r="I648" s="30">
        <v>51944</v>
      </c>
      <c r="J648" s="30">
        <v>51370</v>
      </c>
      <c r="K648" s="30">
        <v>50917</v>
      </c>
      <c r="L648" s="30">
        <v>50577</v>
      </c>
      <c r="M648" s="30">
        <v>49978</v>
      </c>
      <c r="N648" s="30">
        <v>49699</v>
      </c>
      <c r="O648" s="24" t="str">
        <f t="shared" si="21"/>
        <v>Knox County, Illinois</v>
      </c>
    </row>
    <row r="649" spans="1:15" x14ac:dyDescent="0.25">
      <c r="A649" s="35" t="s">
        <v>1125</v>
      </c>
      <c r="B649" s="28" t="str">
        <f t="shared" si="20"/>
        <v>Lake</v>
      </c>
      <c r="C649" s="30">
        <v>703462</v>
      </c>
      <c r="D649" s="30">
        <v>703400</v>
      </c>
      <c r="E649" s="30">
        <v>704170</v>
      </c>
      <c r="F649" s="30">
        <v>701642</v>
      </c>
      <c r="G649" s="30">
        <v>702083</v>
      </c>
      <c r="H649" s="30">
        <v>704207</v>
      </c>
      <c r="I649" s="30">
        <v>704294</v>
      </c>
      <c r="J649" s="30">
        <v>704611</v>
      </c>
      <c r="K649" s="30">
        <v>704158</v>
      </c>
      <c r="L649" s="30">
        <v>702475</v>
      </c>
      <c r="M649" s="30">
        <v>699587</v>
      </c>
      <c r="N649" s="30">
        <v>696535</v>
      </c>
      <c r="O649" s="24" t="str">
        <f t="shared" si="21"/>
        <v>Lake County, Illinois</v>
      </c>
    </row>
    <row r="650" spans="1:15" x14ac:dyDescent="0.25">
      <c r="A650" s="35" t="s">
        <v>1126</v>
      </c>
      <c r="B650" s="28" t="str">
        <f t="shared" si="20"/>
        <v>LaSalle</v>
      </c>
      <c r="C650" s="30">
        <v>113924</v>
      </c>
      <c r="D650" s="30">
        <v>113920</v>
      </c>
      <c r="E650" s="30">
        <v>113823</v>
      </c>
      <c r="F650" s="30">
        <v>113533</v>
      </c>
      <c r="G650" s="30">
        <v>112918</v>
      </c>
      <c r="H650" s="30">
        <v>112430</v>
      </c>
      <c r="I650" s="30">
        <v>111660</v>
      </c>
      <c r="J650" s="30">
        <v>111019</v>
      </c>
      <c r="K650" s="30">
        <v>110215</v>
      </c>
      <c r="L650" s="30">
        <v>109622</v>
      </c>
      <c r="M650" s="30">
        <v>109159</v>
      </c>
      <c r="N650" s="30">
        <v>108669</v>
      </c>
      <c r="O650" s="24" t="str">
        <f t="shared" si="21"/>
        <v>LaSalle County, Illinois</v>
      </c>
    </row>
    <row r="651" spans="1:15" x14ac:dyDescent="0.25">
      <c r="A651" s="35" t="s">
        <v>1127</v>
      </c>
      <c r="B651" s="28" t="str">
        <f t="shared" si="20"/>
        <v>Lawrence</v>
      </c>
      <c r="C651" s="30">
        <v>16833</v>
      </c>
      <c r="D651" s="30">
        <v>16903</v>
      </c>
      <c r="E651" s="30">
        <v>16940</v>
      </c>
      <c r="F651" s="30">
        <v>16901</v>
      </c>
      <c r="G651" s="30">
        <v>16728</v>
      </c>
      <c r="H651" s="30">
        <v>16728</v>
      </c>
      <c r="I651" s="30">
        <v>16562</v>
      </c>
      <c r="J651" s="30">
        <v>16465</v>
      </c>
      <c r="K651" s="30">
        <v>16182</v>
      </c>
      <c r="L651" s="30">
        <v>16027</v>
      </c>
      <c r="M651" s="30">
        <v>15813</v>
      </c>
      <c r="N651" s="30">
        <v>15678</v>
      </c>
      <c r="O651" s="24" t="str">
        <f t="shared" si="21"/>
        <v>Lawrence County, Illinois</v>
      </c>
    </row>
    <row r="652" spans="1:15" x14ac:dyDescent="0.25">
      <c r="A652" s="35" t="s">
        <v>1128</v>
      </c>
      <c r="B652" s="28" t="str">
        <f t="shared" si="20"/>
        <v>Lee</v>
      </c>
      <c r="C652" s="30">
        <v>36031</v>
      </c>
      <c r="D652" s="30">
        <v>36038</v>
      </c>
      <c r="E652" s="30">
        <v>35983</v>
      </c>
      <c r="F652" s="30">
        <v>35609</v>
      </c>
      <c r="G652" s="30">
        <v>35216</v>
      </c>
      <c r="H652" s="30">
        <v>35121</v>
      </c>
      <c r="I652" s="30">
        <v>34910</v>
      </c>
      <c r="J652" s="30">
        <v>34521</v>
      </c>
      <c r="K652" s="30">
        <v>34494</v>
      </c>
      <c r="L652" s="30">
        <v>34540</v>
      </c>
      <c r="M652" s="30">
        <v>34296</v>
      </c>
      <c r="N652" s="30">
        <v>34096</v>
      </c>
      <c r="O652" s="24" t="str">
        <f t="shared" si="21"/>
        <v>Lee County, Illinois</v>
      </c>
    </row>
    <row r="653" spans="1:15" x14ac:dyDescent="0.25">
      <c r="A653" s="35" t="s">
        <v>1129</v>
      </c>
      <c r="B653" s="28" t="str">
        <f t="shared" si="20"/>
        <v>Livingston</v>
      </c>
      <c r="C653" s="30">
        <v>38950</v>
      </c>
      <c r="D653" s="30">
        <v>38945</v>
      </c>
      <c r="E653" s="30">
        <v>38854</v>
      </c>
      <c r="F653" s="30">
        <v>38805</v>
      </c>
      <c r="G653" s="30">
        <v>38511</v>
      </c>
      <c r="H653" s="30">
        <v>37394</v>
      </c>
      <c r="I653" s="30">
        <v>37036</v>
      </c>
      <c r="J653" s="30">
        <v>36605</v>
      </c>
      <c r="K653" s="30">
        <v>36107</v>
      </c>
      <c r="L653" s="30">
        <v>36124</v>
      </c>
      <c r="M653" s="30">
        <v>35714</v>
      </c>
      <c r="N653" s="30">
        <v>35648</v>
      </c>
      <c r="O653" s="24" t="str">
        <f t="shared" si="21"/>
        <v>Livingston County, Illinois</v>
      </c>
    </row>
    <row r="654" spans="1:15" x14ac:dyDescent="0.25">
      <c r="A654" s="35" t="s">
        <v>1130</v>
      </c>
      <c r="B654" s="28" t="str">
        <f t="shared" si="20"/>
        <v>Logan</v>
      </c>
      <c r="C654" s="30">
        <v>30305</v>
      </c>
      <c r="D654" s="30">
        <v>30305</v>
      </c>
      <c r="E654" s="30">
        <v>30283</v>
      </c>
      <c r="F654" s="30">
        <v>30270</v>
      </c>
      <c r="G654" s="30">
        <v>30358</v>
      </c>
      <c r="H654" s="30">
        <v>29826</v>
      </c>
      <c r="I654" s="30">
        <v>29660</v>
      </c>
      <c r="J654" s="30">
        <v>29284</v>
      </c>
      <c r="K654" s="30">
        <v>29166</v>
      </c>
      <c r="L654" s="30">
        <v>29034</v>
      </c>
      <c r="M654" s="30">
        <v>28912</v>
      </c>
      <c r="N654" s="30">
        <v>28618</v>
      </c>
      <c r="O654" s="24" t="str">
        <f t="shared" si="21"/>
        <v>Logan County, Illinois</v>
      </c>
    </row>
    <row r="655" spans="1:15" x14ac:dyDescent="0.25">
      <c r="A655" s="35" t="s">
        <v>1131</v>
      </c>
      <c r="B655" s="28" t="str">
        <f t="shared" si="20"/>
        <v>McDonough</v>
      </c>
      <c r="C655" s="30">
        <v>32612</v>
      </c>
      <c r="D655" s="30">
        <v>32616</v>
      </c>
      <c r="E655" s="30">
        <v>32634</v>
      </c>
      <c r="F655" s="30">
        <v>32521</v>
      </c>
      <c r="G655" s="30">
        <v>32558</v>
      </c>
      <c r="H655" s="30">
        <v>32253</v>
      </c>
      <c r="I655" s="30">
        <v>31799</v>
      </c>
      <c r="J655" s="30">
        <v>31449</v>
      </c>
      <c r="K655" s="30">
        <v>30907</v>
      </c>
      <c r="L655" s="30">
        <v>30373</v>
      </c>
      <c r="M655" s="30">
        <v>29984</v>
      </c>
      <c r="N655" s="30">
        <v>29682</v>
      </c>
      <c r="O655" s="24" t="str">
        <f t="shared" si="21"/>
        <v>McDonough County, Illinois</v>
      </c>
    </row>
    <row r="656" spans="1:15" x14ac:dyDescent="0.25">
      <c r="A656" s="35" t="s">
        <v>1132</v>
      </c>
      <c r="B656" s="28" t="str">
        <f t="shared" si="20"/>
        <v>McHenry</v>
      </c>
      <c r="C656" s="30">
        <v>308760</v>
      </c>
      <c r="D656" s="30">
        <v>308882</v>
      </c>
      <c r="E656" s="30">
        <v>309112</v>
      </c>
      <c r="F656" s="30">
        <v>308504</v>
      </c>
      <c r="G656" s="30">
        <v>308230</v>
      </c>
      <c r="H656" s="30">
        <v>307605</v>
      </c>
      <c r="I656" s="30">
        <v>307404</v>
      </c>
      <c r="J656" s="30">
        <v>307572</v>
      </c>
      <c r="K656" s="30">
        <v>307159</v>
      </c>
      <c r="L656" s="30">
        <v>307815</v>
      </c>
      <c r="M656" s="30">
        <v>308251</v>
      </c>
      <c r="N656" s="30">
        <v>307774</v>
      </c>
      <c r="O656" s="24" t="str">
        <f t="shared" si="21"/>
        <v>McHenry County, Illinois</v>
      </c>
    </row>
    <row r="657" spans="1:15" x14ac:dyDescent="0.25">
      <c r="A657" s="35" t="s">
        <v>1133</v>
      </c>
      <c r="B657" s="28" t="str">
        <f t="shared" si="20"/>
        <v>McLean</v>
      </c>
      <c r="C657" s="30">
        <v>169572</v>
      </c>
      <c r="D657" s="30">
        <v>169577</v>
      </c>
      <c r="E657" s="30">
        <v>169810</v>
      </c>
      <c r="F657" s="30">
        <v>170909</v>
      </c>
      <c r="G657" s="30">
        <v>172721</v>
      </c>
      <c r="H657" s="30">
        <v>175037</v>
      </c>
      <c r="I657" s="30">
        <v>174105</v>
      </c>
      <c r="J657" s="30">
        <v>173141</v>
      </c>
      <c r="K657" s="30">
        <v>173070</v>
      </c>
      <c r="L657" s="30">
        <v>172754</v>
      </c>
      <c r="M657" s="30">
        <v>172410</v>
      </c>
      <c r="N657" s="30">
        <v>171517</v>
      </c>
      <c r="O657" s="24" t="str">
        <f t="shared" si="21"/>
        <v>McLean County, Illinois</v>
      </c>
    </row>
    <row r="658" spans="1:15" x14ac:dyDescent="0.25">
      <c r="A658" s="35" t="s">
        <v>1134</v>
      </c>
      <c r="B658" s="28" t="str">
        <f t="shared" si="20"/>
        <v>Macon</v>
      </c>
      <c r="C658" s="30">
        <v>110768</v>
      </c>
      <c r="D658" s="30">
        <v>110777</v>
      </c>
      <c r="E658" s="30">
        <v>110787</v>
      </c>
      <c r="F658" s="30">
        <v>110684</v>
      </c>
      <c r="G658" s="30">
        <v>110134</v>
      </c>
      <c r="H658" s="30">
        <v>109561</v>
      </c>
      <c r="I658" s="30">
        <v>108515</v>
      </c>
      <c r="J658" s="30">
        <v>107343</v>
      </c>
      <c r="K658" s="30">
        <v>106383</v>
      </c>
      <c r="L658" s="30">
        <v>105399</v>
      </c>
      <c r="M658" s="30">
        <v>104504</v>
      </c>
      <c r="N658" s="30">
        <v>104009</v>
      </c>
      <c r="O658" s="24" t="str">
        <f t="shared" si="21"/>
        <v>Macon County, Illinois</v>
      </c>
    </row>
    <row r="659" spans="1:15" x14ac:dyDescent="0.25">
      <c r="A659" s="35" t="s">
        <v>1135</v>
      </c>
      <c r="B659" s="28" t="str">
        <f t="shared" si="20"/>
        <v>Macoupin</v>
      </c>
      <c r="C659" s="30">
        <v>47765</v>
      </c>
      <c r="D659" s="30">
        <v>47763</v>
      </c>
      <c r="E659" s="30">
        <v>47797</v>
      </c>
      <c r="F659" s="30">
        <v>47739</v>
      </c>
      <c r="G659" s="30">
        <v>47054</v>
      </c>
      <c r="H659" s="30">
        <v>46680</v>
      </c>
      <c r="I659" s="30">
        <v>46208</v>
      </c>
      <c r="J659" s="30">
        <v>45876</v>
      </c>
      <c r="K659" s="30">
        <v>45691</v>
      </c>
      <c r="L659" s="30">
        <v>45505</v>
      </c>
      <c r="M659" s="30">
        <v>45318</v>
      </c>
      <c r="N659" s="30">
        <v>44926</v>
      </c>
      <c r="O659" s="24" t="str">
        <f t="shared" si="21"/>
        <v>Macoupin County, Illinois</v>
      </c>
    </row>
    <row r="660" spans="1:15" x14ac:dyDescent="0.25">
      <c r="A660" s="35" t="s">
        <v>1136</v>
      </c>
      <c r="B660" s="28" t="str">
        <f t="shared" si="20"/>
        <v>Madison</v>
      </c>
      <c r="C660" s="30">
        <v>269282</v>
      </c>
      <c r="D660" s="30">
        <v>269298</v>
      </c>
      <c r="E660" s="30">
        <v>269310</v>
      </c>
      <c r="F660" s="30">
        <v>268636</v>
      </c>
      <c r="G660" s="30">
        <v>268072</v>
      </c>
      <c r="H660" s="30">
        <v>267268</v>
      </c>
      <c r="I660" s="30">
        <v>266566</v>
      </c>
      <c r="J660" s="30">
        <v>265996</v>
      </c>
      <c r="K660" s="30">
        <v>265641</v>
      </c>
      <c r="L660" s="30">
        <v>265251</v>
      </c>
      <c r="M660" s="30">
        <v>264026</v>
      </c>
      <c r="N660" s="30">
        <v>262966</v>
      </c>
      <c r="O660" s="24" t="str">
        <f t="shared" si="21"/>
        <v>Madison County, Illinois</v>
      </c>
    </row>
    <row r="661" spans="1:15" x14ac:dyDescent="0.25">
      <c r="A661" s="35" t="s">
        <v>1137</v>
      </c>
      <c r="B661" s="28" t="str">
        <f t="shared" si="20"/>
        <v>Marion</v>
      </c>
      <c r="C661" s="30">
        <v>39437</v>
      </c>
      <c r="D661" s="30">
        <v>39437</v>
      </c>
      <c r="E661" s="30">
        <v>39416</v>
      </c>
      <c r="F661" s="30">
        <v>39141</v>
      </c>
      <c r="G661" s="30">
        <v>39008</v>
      </c>
      <c r="H661" s="30">
        <v>38669</v>
      </c>
      <c r="I661" s="30">
        <v>38555</v>
      </c>
      <c r="J661" s="30">
        <v>38359</v>
      </c>
      <c r="K661" s="30">
        <v>38045</v>
      </c>
      <c r="L661" s="30">
        <v>37726</v>
      </c>
      <c r="M661" s="30">
        <v>37381</v>
      </c>
      <c r="N661" s="30">
        <v>37205</v>
      </c>
      <c r="O661" s="24" t="str">
        <f t="shared" si="21"/>
        <v>Marion County, Illinois</v>
      </c>
    </row>
    <row r="662" spans="1:15" x14ac:dyDescent="0.25">
      <c r="A662" s="35" t="s">
        <v>1138</v>
      </c>
      <c r="B662" s="28" t="str">
        <f t="shared" si="20"/>
        <v>Marshall</v>
      </c>
      <c r="C662" s="30">
        <v>12640</v>
      </c>
      <c r="D662" s="30">
        <v>12646</v>
      </c>
      <c r="E662" s="30">
        <v>12637</v>
      </c>
      <c r="F662" s="30">
        <v>12487</v>
      </c>
      <c r="G662" s="30">
        <v>12259</v>
      </c>
      <c r="H662" s="30">
        <v>12128</v>
      </c>
      <c r="I662" s="30">
        <v>11966</v>
      </c>
      <c r="J662" s="30">
        <v>11925</v>
      </c>
      <c r="K662" s="30">
        <v>11881</v>
      </c>
      <c r="L662" s="30">
        <v>11668</v>
      </c>
      <c r="M662" s="30">
        <v>11483</v>
      </c>
      <c r="N662" s="30">
        <v>11438</v>
      </c>
      <c r="O662" s="24" t="str">
        <f t="shared" si="21"/>
        <v>Marshall County, Illinois</v>
      </c>
    </row>
    <row r="663" spans="1:15" x14ac:dyDescent="0.25">
      <c r="A663" s="35" t="s">
        <v>1139</v>
      </c>
      <c r="B663" s="28" t="str">
        <f t="shared" si="20"/>
        <v>Mason</v>
      </c>
      <c r="C663" s="30">
        <v>14666</v>
      </c>
      <c r="D663" s="30">
        <v>14666</v>
      </c>
      <c r="E663" s="30">
        <v>14651</v>
      </c>
      <c r="F663" s="30">
        <v>14471</v>
      </c>
      <c r="G663" s="30">
        <v>14322</v>
      </c>
      <c r="H663" s="30">
        <v>14144</v>
      </c>
      <c r="I663" s="30">
        <v>14103</v>
      </c>
      <c r="J663" s="30">
        <v>13863</v>
      </c>
      <c r="K663" s="30">
        <v>13675</v>
      </c>
      <c r="L663" s="30">
        <v>13677</v>
      </c>
      <c r="M663" s="30">
        <v>13533</v>
      </c>
      <c r="N663" s="30">
        <v>13359</v>
      </c>
      <c r="O663" s="24" t="str">
        <f t="shared" si="21"/>
        <v>Mason County, Illinois</v>
      </c>
    </row>
    <row r="664" spans="1:15" x14ac:dyDescent="0.25">
      <c r="A664" s="35" t="s">
        <v>1140</v>
      </c>
      <c r="B664" s="28" t="str">
        <f t="shared" si="20"/>
        <v>Massac</v>
      </c>
      <c r="C664" s="30">
        <v>15429</v>
      </c>
      <c r="D664" s="30">
        <v>15431</v>
      </c>
      <c r="E664" s="30">
        <v>15380</v>
      </c>
      <c r="F664" s="30">
        <v>15281</v>
      </c>
      <c r="G664" s="30">
        <v>15066</v>
      </c>
      <c r="H664" s="30">
        <v>14847</v>
      </c>
      <c r="I664" s="30">
        <v>14756</v>
      </c>
      <c r="J664" s="30">
        <v>14567</v>
      </c>
      <c r="K664" s="30">
        <v>14440</v>
      </c>
      <c r="L664" s="30">
        <v>14291</v>
      </c>
      <c r="M664" s="30">
        <v>14023</v>
      </c>
      <c r="N664" s="30">
        <v>13772</v>
      </c>
      <c r="O664" s="24" t="str">
        <f t="shared" si="21"/>
        <v>Massac County, Illinois</v>
      </c>
    </row>
    <row r="665" spans="1:15" x14ac:dyDescent="0.25">
      <c r="A665" s="35" t="s">
        <v>1141</v>
      </c>
      <c r="B665" s="28" t="str">
        <f t="shared" si="20"/>
        <v>Menard</v>
      </c>
      <c r="C665" s="30">
        <v>12705</v>
      </c>
      <c r="D665" s="30">
        <v>12705</v>
      </c>
      <c r="E665" s="30">
        <v>12696</v>
      </c>
      <c r="F665" s="30">
        <v>12698</v>
      </c>
      <c r="G665" s="30">
        <v>12691</v>
      </c>
      <c r="H665" s="30">
        <v>12572</v>
      </c>
      <c r="I665" s="30">
        <v>12508</v>
      </c>
      <c r="J665" s="30">
        <v>12356</v>
      </c>
      <c r="K665" s="30">
        <v>12398</v>
      </c>
      <c r="L665" s="30">
        <v>12293</v>
      </c>
      <c r="M665" s="30">
        <v>12289</v>
      </c>
      <c r="N665" s="30">
        <v>12196</v>
      </c>
      <c r="O665" s="24" t="str">
        <f t="shared" si="21"/>
        <v>Menard County, Illinois</v>
      </c>
    </row>
    <row r="666" spans="1:15" x14ac:dyDescent="0.25">
      <c r="A666" s="35" t="s">
        <v>1142</v>
      </c>
      <c r="B666" s="28" t="str">
        <f t="shared" si="20"/>
        <v>Mercer</v>
      </c>
      <c r="C666" s="30">
        <v>16434</v>
      </c>
      <c r="D666" s="30">
        <v>16434</v>
      </c>
      <c r="E666" s="30">
        <v>16409</v>
      </c>
      <c r="F666" s="30">
        <v>16316</v>
      </c>
      <c r="G666" s="30">
        <v>16163</v>
      </c>
      <c r="H666" s="30">
        <v>16075</v>
      </c>
      <c r="I666" s="30">
        <v>15901</v>
      </c>
      <c r="J666" s="30">
        <v>15746</v>
      </c>
      <c r="K666" s="30">
        <v>15602</v>
      </c>
      <c r="L666" s="30">
        <v>15608</v>
      </c>
      <c r="M666" s="30">
        <v>15551</v>
      </c>
      <c r="N666" s="30">
        <v>15437</v>
      </c>
      <c r="O666" s="24" t="str">
        <f t="shared" si="21"/>
        <v>Mercer County, Illinois</v>
      </c>
    </row>
    <row r="667" spans="1:15" x14ac:dyDescent="0.25">
      <c r="A667" s="35" t="s">
        <v>1143</v>
      </c>
      <c r="B667" s="28" t="str">
        <f t="shared" si="20"/>
        <v>Monroe</v>
      </c>
      <c r="C667" s="30">
        <v>32957</v>
      </c>
      <c r="D667" s="30">
        <v>32949</v>
      </c>
      <c r="E667" s="30">
        <v>32994</v>
      </c>
      <c r="F667" s="30">
        <v>33214</v>
      </c>
      <c r="G667" s="30">
        <v>33260</v>
      </c>
      <c r="H667" s="30">
        <v>33457</v>
      </c>
      <c r="I667" s="30">
        <v>33540</v>
      </c>
      <c r="J667" s="30">
        <v>33739</v>
      </c>
      <c r="K667" s="30">
        <v>33913</v>
      </c>
      <c r="L667" s="30">
        <v>34179</v>
      </c>
      <c r="M667" s="30">
        <v>34373</v>
      </c>
      <c r="N667" s="30">
        <v>34637</v>
      </c>
      <c r="O667" s="24" t="str">
        <f t="shared" si="21"/>
        <v>Monroe County, Illinois</v>
      </c>
    </row>
    <row r="668" spans="1:15" x14ac:dyDescent="0.25">
      <c r="A668" s="35" t="s">
        <v>1144</v>
      </c>
      <c r="B668" s="28" t="str">
        <f t="shared" si="20"/>
        <v>Montgomery</v>
      </c>
      <c r="C668" s="30">
        <v>30104</v>
      </c>
      <c r="D668" s="30">
        <v>30105</v>
      </c>
      <c r="E668" s="30">
        <v>30097</v>
      </c>
      <c r="F668" s="30">
        <v>29864</v>
      </c>
      <c r="G668" s="30">
        <v>29616</v>
      </c>
      <c r="H668" s="30">
        <v>29362</v>
      </c>
      <c r="I668" s="30">
        <v>29449</v>
      </c>
      <c r="J668" s="30">
        <v>29192</v>
      </c>
      <c r="K668" s="30">
        <v>29061</v>
      </c>
      <c r="L668" s="30">
        <v>28781</v>
      </c>
      <c r="M668" s="30">
        <v>28691</v>
      </c>
      <c r="N668" s="30">
        <v>28414</v>
      </c>
      <c r="O668" s="24" t="str">
        <f t="shared" si="21"/>
        <v>Montgomery County, Illinois</v>
      </c>
    </row>
    <row r="669" spans="1:15" x14ac:dyDescent="0.25">
      <c r="A669" s="35" t="s">
        <v>1145</v>
      </c>
      <c r="B669" s="28" t="str">
        <f t="shared" si="20"/>
        <v>Morgan</v>
      </c>
      <c r="C669" s="30">
        <v>35547</v>
      </c>
      <c r="D669" s="30">
        <v>35545</v>
      </c>
      <c r="E669" s="30">
        <v>35503</v>
      </c>
      <c r="F669" s="30">
        <v>35481</v>
      </c>
      <c r="G669" s="30">
        <v>35317</v>
      </c>
      <c r="H669" s="30">
        <v>35000</v>
      </c>
      <c r="I669" s="30">
        <v>34673</v>
      </c>
      <c r="J669" s="30">
        <v>34673</v>
      </c>
      <c r="K669" s="30">
        <v>34632</v>
      </c>
      <c r="L669" s="30">
        <v>34245</v>
      </c>
      <c r="M669" s="30">
        <v>34027</v>
      </c>
      <c r="N669" s="30">
        <v>33658</v>
      </c>
      <c r="O669" s="24" t="str">
        <f t="shared" si="21"/>
        <v>Morgan County, Illinois</v>
      </c>
    </row>
    <row r="670" spans="1:15" x14ac:dyDescent="0.25">
      <c r="A670" s="35" t="s">
        <v>1146</v>
      </c>
      <c r="B670" s="28" t="str">
        <f t="shared" si="20"/>
        <v>Moultrie</v>
      </c>
      <c r="C670" s="30">
        <v>14846</v>
      </c>
      <c r="D670" s="30">
        <v>14852</v>
      </c>
      <c r="E670" s="30">
        <v>14859</v>
      </c>
      <c r="F670" s="30">
        <v>14856</v>
      </c>
      <c r="G670" s="30">
        <v>14874</v>
      </c>
      <c r="H670" s="30">
        <v>14796</v>
      </c>
      <c r="I670" s="30">
        <v>14751</v>
      </c>
      <c r="J670" s="30">
        <v>14743</v>
      </c>
      <c r="K670" s="30">
        <v>14610</v>
      </c>
      <c r="L670" s="30">
        <v>14701</v>
      </c>
      <c r="M670" s="30">
        <v>14648</v>
      </c>
      <c r="N670" s="30">
        <v>14501</v>
      </c>
      <c r="O670" s="24" t="str">
        <f t="shared" si="21"/>
        <v>Moultrie County, Illinois</v>
      </c>
    </row>
    <row r="671" spans="1:15" x14ac:dyDescent="0.25">
      <c r="A671" s="35" t="s">
        <v>1147</v>
      </c>
      <c r="B671" s="28" t="str">
        <f t="shared" si="20"/>
        <v>Ogle</v>
      </c>
      <c r="C671" s="30">
        <v>53497</v>
      </c>
      <c r="D671" s="30">
        <v>53490</v>
      </c>
      <c r="E671" s="30">
        <v>53414</v>
      </c>
      <c r="F671" s="30">
        <v>53064</v>
      </c>
      <c r="G671" s="30">
        <v>52776</v>
      </c>
      <c r="H671" s="30">
        <v>52266</v>
      </c>
      <c r="I671" s="30">
        <v>51931</v>
      </c>
      <c r="J671" s="30">
        <v>51559</v>
      </c>
      <c r="K671" s="30">
        <v>51148</v>
      </c>
      <c r="L671" s="30">
        <v>50993</v>
      </c>
      <c r="M671" s="30">
        <v>50781</v>
      </c>
      <c r="N671" s="30">
        <v>50643</v>
      </c>
      <c r="O671" s="24" t="str">
        <f t="shared" si="21"/>
        <v>Ogle County, Illinois</v>
      </c>
    </row>
    <row r="672" spans="1:15" x14ac:dyDescent="0.25">
      <c r="A672" s="35" t="s">
        <v>1148</v>
      </c>
      <c r="B672" s="28" t="str">
        <f t="shared" si="20"/>
        <v>Peoria</v>
      </c>
      <c r="C672" s="30">
        <v>186494</v>
      </c>
      <c r="D672" s="30">
        <v>186496</v>
      </c>
      <c r="E672" s="30">
        <v>186222</v>
      </c>
      <c r="F672" s="30">
        <v>186754</v>
      </c>
      <c r="G672" s="30">
        <v>187317</v>
      </c>
      <c r="H672" s="30">
        <v>188643</v>
      </c>
      <c r="I672" s="30">
        <v>187512</v>
      </c>
      <c r="J672" s="30">
        <v>186481</v>
      </c>
      <c r="K672" s="30">
        <v>185043</v>
      </c>
      <c r="L672" s="30">
        <v>182525</v>
      </c>
      <c r="M672" s="30">
        <v>180620</v>
      </c>
      <c r="N672" s="30">
        <v>179179</v>
      </c>
      <c r="O672" s="24" t="str">
        <f t="shared" si="21"/>
        <v>Peoria County, Illinois</v>
      </c>
    </row>
    <row r="673" spans="1:15" x14ac:dyDescent="0.25">
      <c r="A673" s="35" t="s">
        <v>1149</v>
      </c>
      <c r="B673" s="28" t="str">
        <f t="shared" si="20"/>
        <v>Perry</v>
      </c>
      <c r="C673" s="30">
        <v>22350</v>
      </c>
      <c r="D673" s="30">
        <v>22346</v>
      </c>
      <c r="E673" s="30">
        <v>22315</v>
      </c>
      <c r="F673" s="30">
        <v>22263</v>
      </c>
      <c r="G673" s="30">
        <v>21846</v>
      </c>
      <c r="H673" s="30">
        <v>21714</v>
      </c>
      <c r="I673" s="30">
        <v>21541</v>
      </c>
      <c r="J673" s="30">
        <v>21521</v>
      </c>
      <c r="K673" s="30">
        <v>21391</v>
      </c>
      <c r="L673" s="30">
        <v>21281</v>
      </c>
      <c r="M673" s="30">
        <v>21144</v>
      </c>
      <c r="N673" s="30">
        <v>20916</v>
      </c>
      <c r="O673" s="24" t="str">
        <f t="shared" si="21"/>
        <v>Perry County, Illinois</v>
      </c>
    </row>
    <row r="674" spans="1:15" x14ac:dyDescent="0.25">
      <c r="A674" s="35" t="s">
        <v>1150</v>
      </c>
      <c r="B674" s="28" t="str">
        <f t="shared" si="20"/>
        <v>Piatt</v>
      </c>
      <c r="C674" s="30">
        <v>16729</v>
      </c>
      <c r="D674" s="30">
        <v>16725</v>
      </c>
      <c r="E674" s="30">
        <v>16709</v>
      </c>
      <c r="F674" s="30">
        <v>16679</v>
      </c>
      <c r="G674" s="30">
        <v>16501</v>
      </c>
      <c r="H674" s="30">
        <v>16429</v>
      </c>
      <c r="I674" s="30">
        <v>16409</v>
      </c>
      <c r="J674" s="30">
        <v>16350</v>
      </c>
      <c r="K674" s="30">
        <v>16524</v>
      </c>
      <c r="L674" s="30">
        <v>16422</v>
      </c>
      <c r="M674" s="30">
        <v>16366</v>
      </c>
      <c r="N674" s="30">
        <v>16344</v>
      </c>
      <c r="O674" s="24" t="str">
        <f t="shared" si="21"/>
        <v>Piatt County, Illinois</v>
      </c>
    </row>
    <row r="675" spans="1:15" x14ac:dyDescent="0.25">
      <c r="A675" s="35" t="s">
        <v>1151</v>
      </c>
      <c r="B675" s="28" t="str">
        <f t="shared" si="20"/>
        <v>Pike</v>
      </c>
      <c r="C675" s="30">
        <v>16430</v>
      </c>
      <c r="D675" s="30">
        <v>16430</v>
      </c>
      <c r="E675" s="30">
        <v>16394</v>
      </c>
      <c r="F675" s="30">
        <v>16348</v>
      </c>
      <c r="G675" s="30">
        <v>16234</v>
      </c>
      <c r="H675" s="30">
        <v>16071</v>
      </c>
      <c r="I675" s="30">
        <v>15956</v>
      </c>
      <c r="J675" s="30">
        <v>15795</v>
      </c>
      <c r="K675" s="30">
        <v>15742</v>
      </c>
      <c r="L675" s="30">
        <v>15668</v>
      </c>
      <c r="M675" s="30">
        <v>15595</v>
      </c>
      <c r="N675" s="30">
        <v>15561</v>
      </c>
      <c r="O675" s="24" t="str">
        <f t="shared" si="21"/>
        <v>Pike County, Illinois</v>
      </c>
    </row>
    <row r="676" spans="1:15" x14ac:dyDescent="0.25">
      <c r="A676" s="35" t="s">
        <v>1152</v>
      </c>
      <c r="B676" s="28" t="str">
        <f t="shared" si="20"/>
        <v>Pope</v>
      </c>
      <c r="C676" s="30">
        <v>4470</v>
      </c>
      <c r="D676" s="30">
        <v>4474</v>
      </c>
      <c r="E676" s="30">
        <v>4474</v>
      </c>
      <c r="F676" s="30">
        <v>4498</v>
      </c>
      <c r="G676" s="30">
        <v>4459</v>
      </c>
      <c r="H676" s="30">
        <v>4457</v>
      </c>
      <c r="I676" s="30">
        <v>4375</v>
      </c>
      <c r="J676" s="30">
        <v>4291</v>
      </c>
      <c r="K676" s="30">
        <v>4182</v>
      </c>
      <c r="L676" s="30">
        <v>4183</v>
      </c>
      <c r="M676" s="30">
        <v>4184</v>
      </c>
      <c r="N676" s="30">
        <v>4177</v>
      </c>
      <c r="O676" s="24" t="str">
        <f t="shared" si="21"/>
        <v>Pope County, Illinois</v>
      </c>
    </row>
    <row r="677" spans="1:15" x14ac:dyDescent="0.25">
      <c r="A677" s="35" t="s">
        <v>1153</v>
      </c>
      <c r="B677" s="28" t="str">
        <f t="shared" si="20"/>
        <v>Pulaski</v>
      </c>
      <c r="C677" s="30">
        <v>6161</v>
      </c>
      <c r="D677" s="30">
        <v>6161</v>
      </c>
      <c r="E677" s="30">
        <v>6126</v>
      </c>
      <c r="F677" s="30">
        <v>5986</v>
      </c>
      <c r="G677" s="30">
        <v>5962</v>
      </c>
      <c r="H677" s="30">
        <v>5893</v>
      </c>
      <c r="I677" s="30">
        <v>5797</v>
      </c>
      <c r="J677" s="30">
        <v>5657</v>
      </c>
      <c r="K677" s="30">
        <v>5604</v>
      </c>
      <c r="L677" s="30">
        <v>5520</v>
      </c>
      <c r="M677" s="30">
        <v>5434</v>
      </c>
      <c r="N677" s="30">
        <v>5335</v>
      </c>
      <c r="O677" s="24" t="str">
        <f t="shared" si="21"/>
        <v>Pulaski County, Illinois</v>
      </c>
    </row>
    <row r="678" spans="1:15" x14ac:dyDescent="0.25">
      <c r="A678" s="35" t="s">
        <v>1154</v>
      </c>
      <c r="B678" s="28" t="str">
        <f t="shared" si="20"/>
        <v>Putnam</v>
      </c>
      <c r="C678" s="30">
        <v>6006</v>
      </c>
      <c r="D678" s="30">
        <v>6006</v>
      </c>
      <c r="E678" s="30">
        <v>6012</v>
      </c>
      <c r="F678" s="30">
        <v>5976</v>
      </c>
      <c r="G678" s="30">
        <v>5910</v>
      </c>
      <c r="H678" s="30">
        <v>5855</v>
      </c>
      <c r="I678" s="30">
        <v>5832</v>
      </c>
      <c r="J678" s="30">
        <v>5727</v>
      </c>
      <c r="K678" s="30">
        <v>5710</v>
      </c>
      <c r="L678" s="30">
        <v>5694</v>
      </c>
      <c r="M678" s="30">
        <v>5736</v>
      </c>
      <c r="N678" s="30">
        <v>5739</v>
      </c>
      <c r="O678" s="24" t="str">
        <f t="shared" si="21"/>
        <v>Putnam County, Illinois</v>
      </c>
    </row>
    <row r="679" spans="1:15" x14ac:dyDescent="0.25">
      <c r="A679" s="35" t="s">
        <v>1155</v>
      </c>
      <c r="B679" s="28" t="str">
        <f t="shared" si="20"/>
        <v>Randolph</v>
      </c>
      <c r="C679" s="30">
        <v>33476</v>
      </c>
      <c r="D679" s="30">
        <v>33480</v>
      </c>
      <c r="E679" s="30">
        <v>33464</v>
      </c>
      <c r="F679" s="30">
        <v>33425</v>
      </c>
      <c r="G679" s="30">
        <v>33075</v>
      </c>
      <c r="H679" s="30">
        <v>33175</v>
      </c>
      <c r="I679" s="30">
        <v>33138</v>
      </c>
      <c r="J679" s="30">
        <v>32806</v>
      </c>
      <c r="K679" s="30">
        <v>32414</v>
      </c>
      <c r="L679" s="30">
        <v>32297</v>
      </c>
      <c r="M679" s="30">
        <v>32177</v>
      </c>
      <c r="N679" s="30">
        <v>31782</v>
      </c>
      <c r="O679" s="24" t="str">
        <f t="shared" si="21"/>
        <v>Randolph County, Illinois</v>
      </c>
    </row>
    <row r="680" spans="1:15" x14ac:dyDescent="0.25">
      <c r="A680" s="35" t="s">
        <v>1156</v>
      </c>
      <c r="B680" s="28" t="str">
        <f t="shared" si="20"/>
        <v>Richland</v>
      </c>
      <c r="C680" s="30">
        <v>16233</v>
      </c>
      <c r="D680" s="30">
        <v>16233</v>
      </c>
      <c r="E680" s="30">
        <v>16194</v>
      </c>
      <c r="F680" s="30">
        <v>16190</v>
      </c>
      <c r="G680" s="30">
        <v>16134</v>
      </c>
      <c r="H680" s="30">
        <v>16008</v>
      </c>
      <c r="I680" s="30">
        <v>16020</v>
      </c>
      <c r="J680" s="30">
        <v>15957</v>
      </c>
      <c r="K680" s="30">
        <v>15829</v>
      </c>
      <c r="L680" s="30">
        <v>15837</v>
      </c>
      <c r="M680" s="30">
        <v>15695</v>
      </c>
      <c r="N680" s="30">
        <v>15513</v>
      </c>
      <c r="O680" s="24" t="str">
        <f t="shared" si="21"/>
        <v>Richland County, Illinois</v>
      </c>
    </row>
    <row r="681" spans="1:15" x14ac:dyDescent="0.25">
      <c r="A681" s="35" t="s">
        <v>1157</v>
      </c>
      <c r="B681" s="28" t="str">
        <f t="shared" si="20"/>
        <v>Rock Island</v>
      </c>
      <c r="C681" s="30">
        <v>147546</v>
      </c>
      <c r="D681" s="30">
        <v>147541</v>
      </c>
      <c r="E681" s="30">
        <v>147610</v>
      </c>
      <c r="F681" s="30">
        <v>147457</v>
      </c>
      <c r="G681" s="30">
        <v>147672</v>
      </c>
      <c r="H681" s="30">
        <v>147650</v>
      </c>
      <c r="I681" s="30">
        <v>147035</v>
      </c>
      <c r="J681" s="30">
        <v>146094</v>
      </c>
      <c r="K681" s="30">
        <v>144943</v>
      </c>
      <c r="L681" s="30">
        <v>143828</v>
      </c>
      <c r="M681" s="30">
        <v>142621</v>
      </c>
      <c r="N681" s="30">
        <v>141879</v>
      </c>
      <c r="O681" s="24" t="str">
        <f t="shared" si="21"/>
        <v>Rock Island County, Illinois</v>
      </c>
    </row>
    <row r="682" spans="1:15" x14ac:dyDescent="0.25">
      <c r="A682" s="35" t="s">
        <v>1158</v>
      </c>
      <c r="B682" s="28" t="str">
        <f t="shared" si="20"/>
        <v>St Clair</v>
      </c>
      <c r="C682" s="30">
        <v>270056</v>
      </c>
      <c r="D682" s="30">
        <v>270078</v>
      </c>
      <c r="E682" s="30">
        <v>270353</v>
      </c>
      <c r="F682" s="30">
        <v>270048</v>
      </c>
      <c r="G682" s="30">
        <v>268673</v>
      </c>
      <c r="H682" s="30">
        <v>266831</v>
      </c>
      <c r="I682" s="30">
        <v>265941</v>
      </c>
      <c r="J682" s="30">
        <v>264858</v>
      </c>
      <c r="K682" s="30">
        <v>263187</v>
      </c>
      <c r="L682" s="30">
        <v>262600</v>
      </c>
      <c r="M682" s="30">
        <v>261360</v>
      </c>
      <c r="N682" s="30">
        <v>259686</v>
      </c>
      <c r="O682" s="24" t="str">
        <f t="shared" si="21"/>
        <v>St Clair County, Illinois</v>
      </c>
    </row>
    <row r="683" spans="1:15" x14ac:dyDescent="0.25">
      <c r="A683" s="35" t="s">
        <v>1159</v>
      </c>
      <c r="B683" s="28" t="str">
        <f t="shared" si="20"/>
        <v>Saline</v>
      </c>
      <c r="C683" s="30">
        <v>24913</v>
      </c>
      <c r="D683" s="30">
        <v>24915</v>
      </c>
      <c r="E683" s="30">
        <v>24902</v>
      </c>
      <c r="F683" s="30">
        <v>24907</v>
      </c>
      <c r="G683" s="30">
        <v>24914</v>
      </c>
      <c r="H683" s="30">
        <v>24803</v>
      </c>
      <c r="I683" s="30">
        <v>24496</v>
      </c>
      <c r="J683" s="30">
        <v>24495</v>
      </c>
      <c r="K683" s="30">
        <v>24230</v>
      </c>
      <c r="L683" s="30">
        <v>23963</v>
      </c>
      <c r="M683" s="30">
        <v>23789</v>
      </c>
      <c r="N683" s="30">
        <v>23491</v>
      </c>
      <c r="O683" s="24" t="str">
        <f t="shared" si="21"/>
        <v>Saline County, Illinois</v>
      </c>
    </row>
    <row r="684" spans="1:15" x14ac:dyDescent="0.25">
      <c r="A684" s="35" t="s">
        <v>1160</v>
      </c>
      <c r="B684" s="28" t="str">
        <f t="shared" si="20"/>
        <v>Sangamon</v>
      </c>
      <c r="C684" s="30">
        <v>197465</v>
      </c>
      <c r="D684" s="30">
        <v>197465</v>
      </c>
      <c r="E684" s="30">
        <v>197769</v>
      </c>
      <c r="F684" s="30">
        <v>199038</v>
      </c>
      <c r="G684" s="30">
        <v>199404</v>
      </c>
      <c r="H684" s="30">
        <v>199141</v>
      </c>
      <c r="I684" s="30">
        <v>199184</v>
      </c>
      <c r="J684" s="30">
        <v>198898</v>
      </c>
      <c r="K684" s="30">
        <v>198026</v>
      </c>
      <c r="L684" s="30">
        <v>197072</v>
      </c>
      <c r="M684" s="30">
        <v>195639</v>
      </c>
      <c r="N684" s="30">
        <v>194672</v>
      </c>
      <c r="O684" s="24" t="str">
        <f t="shared" si="21"/>
        <v>Sangamon County, Illinois</v>
      </c>
    </row>
    <row r="685" spans="1:15" x14ac:dyDescent="0.25">
      <c r="A685" s="35" t="s">
        <v>1161</v>
      </c>
      <c r="B685" s="28" t="str">
        <f t="shared" si="20"/>
        <v>Schuyler</v>
      </c>
      <c r="C685" s="30">
        <v>7544</v>
      </c>
      <c r="D685" s="30">
        <v>7544</v>
      </c>
      <c r="E685" s="30">
        <v>7535</v>
      </c>
      <c r="F685" s="30">
        <v>7464</v>
      </c>
      <c r="G685" s="30">
        <v>7456</v>
      </c>
      <c r="H685" s="30">
        <v>7392</v>
      </c>
      <c r="I685" s="30">
        <v>7261</v>
      </c>
      <c r="J685" s="30">
        <v>7151</v>
      </c>
      <c r="K685" s="30">
        <v>7030</v>
      </c>
      <c r="L685" s="30">
        <v>6948</v>
      </c>
      <c r="M685" s="30">
        <v>6870</v>
      </c>
      <c r="N685" s="30">
        <v>6768</v>
      </c>
      <c r="O685" s="24" t="str">
        <f t="shared" si="21"/>
        <v>Schuyler County, Illinois</v>
      </c>
    </row>
    <row r="686" spans="1:15" x14ac:dyDescent="0.25">
      <c r="A686" s="35" t="s">
        <v>1162</v>
      </c>
      <c r="B686" s="28" t="str">
        <f t="shared" si="20"/>
        <v>Scott</v>
      </c>
      <c r="C686" s="30">
        <v>5355</v>
      </c>
      <c r="D686" s="30">
        <v>5355</v>
      </c>
      <c r="E686" s="30">
        <v>5327</v>
      </c>
      <c r="F686" s="30">
        <v>5229</v>
      </c>
      <c r="G686" s="30">
        <v>5287</v>
      </c>
      <c r="H686" s="30">
        <v>5211</v>
      </c>
      <c r="I686" s="30">
        <v>5170</v>
      </c>
      <c r="J686" s="30">
        <v>5110</v>
      </c>
      <c r="K686" s="30">
        <v>5052</v>
      </c>
      <c r="L686" s="30">
        <v>4983</v>
      </c>
      <c r="M686" s="30">
        <v>4927</v>
      </c>
      <c r="N686" s="30">
        <v>4951</v>
      </c>
      <c r="O686" s="24" t="str">
        <f t="shared" si="21"/>
        <v>Scott County, Illinois</v>
      </c>
    </row>
    <row r="687" spans="1:15" x14ac:dyDescent="0.25">
      <c r="A687" s="35" t="s">
        <v>1163</v>
      </c>
      <c r="B687" s="28" t="str">
        <f t="shared" si="20"/>
        <v>Shelby</v>
      </c>
      <c r="C687" s="30">
        <v>22363</v>
      </c>
      <c r="D687" s="30">
        <v>22355</v>
      </c>
      <c r="E687" s="30">
        <v>22354</v>
      </c>
      <c r="F687" s="30">
        <v>22278</v>
      </c>
      <c r="G687" s="30">
        <v>22203</v>
      </c>
      <c r="H687" s="30">
        <v>22137</v>
      </c>
      <c r="I687" s="30">
        <v>22102</v>
      </c>
      <c r="J687" s="30">
        <v>21819</v>
      </c>
      <c r="K687" s="30">
        <v>21733</v>
      </c>
      <c r="L687" s="30">
        <v>21774</v>
      </c>
      <c r="M687" s="30">
        <v>21726</v>
      </c>
      <c r="N687" s="30">
        <v>21634</v>
      </c>
      <c r="O687" s="24" t="str">
        <f t="shared" si="21"/>
        <v>Shelby County, Illinois</v>
      </c>
    </row>
    <row r="688" spans="1:15" x14ac:dyDescent="0.25">
      <c r="A688" s="35" t="s">
        <v>1164</v>
      </c>
      <c r="B688" s="28" t="str">
        <f t="shared" si="20"/>
        <v>Stark</v>
      </c>
      <c r="C688" s="30">
        <v>5994</v>
      </c>
      <c r="D688" s="30">
        <v>5992</v>
      </c>
      <c r="E688" s="30">
        <v>5969</v>
      </c>
      <c r="F688" s="30">
        <v>5842</v>
      </c>
      <c r="G688" s="30">
        <v>5739</v>
      </c>
      <c r="H688" s="30">
        <v>5705</v>
      </c>
      <c r="I688" s="30">
        <v>5601</v>
      </c>
      <c r="J688" s="30">
        <v>5505</v>
      </c>
      <c r="K688" s="30">
        <v>5512</v>
      </c>
      <c r="L688" s="30">
        <v>5457</v>
      </c>
      <c r="M688" s="30">
        <v>5418</v>
      </c>
      <c r="N688" s="30">
        <v>5342</v>
      </c>
      <c r="O688" s="24" t="str">
        <f t="shared" si="21"/>
        <v>Stark County, Illinois</v>
      </c>
    </row>
    <row r="689" spans="1:15" x14ac:dyDescent="0.25">
      <c r="A689" s="35" t="s">
        <v>1165</v>
      </c>
      <c r="B689" s="28" t="str">
        <f t="shared" si="20"/>
        <v>Stephenson</v>
      </c>
      <c r="C689" s="30">
        <v>47711</v>
      </c>
      <c r="D689" s="30">
        <v>47708</v>
      </c>
      <c r="E689" s="30">
        <v>47606</v>
      </c>
      <c r="F689" s="30">
        <v>47323</v>
      </c>
      <c r="G689" s="30">
        <v>46886</v>
      </c>
      <c r="H689" s="30">
        <v>46671</v>
      </c>
      <c r="I689" s="30">
        <v>46269</v>
      </c>
      <c r="J689" s="30">
        <v>45668</v>
      </c>
      <c r="K689" s="30">
        <v>45503</v>
      </c>
      <c r="L689" s="30">
        <v>44997</v>
      </c>
      <c r="M689" s="30">
        <v>44797</v>
      </c>
      <c r="N689" s="30">
        <v>44498</v>
      </c>
      <c r="O689" s="24" t="str">
        <f t="shared" si="21"/>
        <v>Stephenson County, Illinois</v>
      </c>
    </row>
    <row r="690" spans="1:15" x14ac:dyDescent="0.25">
      <c r="A690" s="35" t="s">
        <v>1166</v>
      </c>
      <c r="B690" s="28" t="str">
        <f t="shared" si="20"/>
        <v>Tazewell</v>
      </c>
      <c r="C690" s="30">
        <v>135394</v>
      </c>
      <c r="D690" s="30">
        <v>135392</v>
      </c>
      <c r="E690" s="30">
        <v>135486</v>
      </c>
      <c r="F690" s="30">
        <v>135850</v>
      </c>
      <c r="G690" s="30">
        <v>136127</v>
      </c>
      <c r="H690" s="30">
        <v>136266</v>
      </c>
      <c r="I690" s="30">
        <v>135353</v>
      </c>
      <c r="J690" s="30">
        <v>134302</v>
      </c>
      <c r="K690" s="30">
        <v>133932</v>
      </c>
      <c r="L690" s="30">
        <v>133489</v>
      </c>
      <c r="M690" s="30">
        <v>132450</v>
      </c>
      <c r="N690" s="30">
        <v>131803</v>
      </c>
      <c r="O690" s="24" t="str">
        <f t="shared" si="21"/>
        <v>Tazewell County, Illinois</v>
      </c>
    </row>
    <row r="691" spans="1:15" x14ac:dyDescent="0.25">
      <c r="A691" s="35" t="s">
        <v>1167</v>
      </c>
      <c r="B691" s="28" t="str">
        <f t="shared" si="20"/>
        <v>Union</v>
      </c>
      <c r="C691" s="30">
        <v>17808</v>
      </c>
      <c r="D691" s="30">
        <v>17806</v>
      </c>
      <c r="E691" s="30">
        <v>17731</v>
      </c>
      <c r="F691" s="30">
        <v>17692</v>
      </c>
      <c r="G691" s="30">
        <v>17608</v>
      </c>
      <c r="H691" s="30">
        <v>17539</v>
      </c>
      <c r="I691" s="30">
        <v>17402</v>
      </c>
      <c r="J691" s="30">
        <v>17284</v>
      </c>
      <c r="K691" s="30">
        <v>17105</v>
      </c>
      <c r="L691" s="30">
        <v>16968</v>
      </c>
      <c r="M691" s="30">
        <v>16832</v>
      </c>
      <c r="N691" s="30">
        <v>16653</v>
      </c>
      <c r="O691" s="24" t="str">
        <f t="shared" si="21"/>
        <v>Union County, Illinois</v>
      </c>
    </row>
    <row r="692" spans="1:15" x14ac:dyDescent="0.25">
      <c r="A692" s="35" t="s">
        <v>1168</v>
      </c>
      <c r="B692" s="28" t="str">
        <f t="shared" si="20"/>
        <v>Vermilion</v>
      </c>
      <c r="C692" s="30">
        <v>81625</v>
      </c>
      <c r="D692" s="30">
        <v>81625</v>
      </c>
      <c r="E692" s="30">
        <v>81640</v>
      </c>
      <c r="F692" s="30">
        <v>81414</v>
      </c>
      <c r="G692" s="30">
        <v>80862</v>
      </c>
      <c r="H692" s="30">
        <v>80585</v>
      </c>
      <c r="I692" s="30">
        <v>79783</v>
      </c>
      <c r="J692" s="30">
        <v>79170</v>
      </c>
      <c r="K692" s="30">
        <v>78494</v>
      </c>
      <c r="L692" s="30">
        <v>77689</v>
      </c>
      <c r="M692" s="30">
        <v>76702</v>
      </c>
      <c r="N692" s="30">
        <v>75758</v>
      </c>
      <c r="O692" s="24" t="str">
        <f t="shared" si="21"/>
        <v>Vermilion County, Illinois</v>
      </c>
    </row>
    <row r="693" spans="1:15" x14ac:dyDescent="0.25">
      <c r="A693" s="35" t="s">
        <v>1169</v>
      </c>
      <c r="B693" s="28" t="str">
        <f t="shared" si="20"/>
        <v>Wabash</v>
      </c>
      <c r="C693" s="30">
        <v>11947</v>
      </c>
      <c r="D693" s="30">
        <v>11947</v>
      </c>
      <c r="E693" s="30">
        <v>11916</v>
      </c>
      <c r="F693" s="30">
        <v>11794</v>
      </c>
      <c r="G693" s="30">
        <v>11686</v>
      </c>
      <c r="H693" s="30">
        <v>11671</v>
      </c>
      <c r="I693" s="30">
        <v>11599</v>
      </c>
      <c r="J693" s="30">
        <v>11624</v>
      </c>
      <c r="K693" s="30">
        <v>11542</v>
      </c>
      <c r="L693" s="30">
        <v>11523</v>
      </c>
      <c r="M693" s="30">
        <v>11523</v>
      </c>
      <c r="N693" s="30">
        <v>11520</v>
      </c>
      <c r="O693" s="24" t="str">
        <f t="shared" si="21"/>
        <v>Wabash County, Illinois</v>
      </c>
    </row>
    <row r="694" spans="1:15" x14ac:dyDescent="0.25">
      <c r="A694" s="35" t="s">
        <v>1170</v>
      </c>
      <c r="B694" s="28" t="str">
        <f t="shared" si="20"/>
        <v>Warren</v>
      </c>
      <c r="C694" s="30">
        <v>17707</v>
      </c>
      <c r="D694" s="30">
        <v>17704</v>
      </c>
      <c r="E694" s="30">
        <v>17713</v>
      </c>
      <c r="F694" s="30">
        <v>17836</v>
      </c>
      <c r="G694" s="30">
        <v>17749</v>
      </c>
      <c r="H694" s="30">
        <v>17662</v>
      </c>
      <c r="I694" s="30">
        <v>17712</v>
      </c>
      <c r="J694" s="30">
        <v>17455</v>
      </c>
      <c r="K694" s="30">
        <v>17294</v>
      </c>
      <c r="L694" s="30">
        <v>17144</v>
      </c>
      <c r="M694" s="30">
        <v>16992</v>
      </c>
      <c r="N694" s="30">
        <v>16844</v>
      </c>
      <c r="O694" s="24" t="str">
        <f t="shared" si="21"/>
        <v>Warren County, Illinois</v>
      </c>
    </row>
    <row r="695" spans="1:15" x14ac:dyDescent="0.25">
      <c r="A695" s="35" t="s">
        <v>1171</v>
      </c>
      <c r="B695" s="28" t="str">
        <f t="shared" si="20"/>
        <v>Washington</v>
      </c>
      <c r="C695" s="30">
        <v>14716</v>
      </c>
      <c r="D695" s="30">
        <v>14716</v>
      </c>
      <c r="E695" s="30">
        <v>14712</v>
      </c>
      <c r="F695" s="30">
        <v>14576</v>
      </c>
      <c r="G695" s="30">
        <v>14599</v>
      </c>
      <c r="H695" s="30">
        <v>14414</v>
      </c>
      <c r="I695" s="30">
        <v>14392</v>
      </c>
      <c r="J695" s="30">
        <v>14262</v>
      </c>
      <c r="K695" s="30">
        <v>14179</v>
      </c>
      <c r="L695" s="30">
        <v>13963</v>
      </c>
      <c r="M695" s="30">
        <v>13999</v>
      </c>
      <c r="N695" s="30">
        <v>13887</v>
      </c>
      <c r="O695" s="24" t="str">
        <f t="shared" si="21"/>
        <v>Washington County, Illinois</v>
      </c>
    </row>
    <row r="696" spans="1:15" x14ac:dyDescent="0.25">
      <c r="A696" s="35" t="s">
        <v>1172</v>
      </c>
      <c r="B696" s="28" t="str">
        <f t="shared" si="20"/>
        <v>Wayne</v>
      </c>
      <c r="C696" s="30">
        <v>16760</v>
      </c>
      <c r="D696" s="30">
        <v>16760</v>
      </c>
      <c r="E696" s="30">
        <v>16738</v>
      </c>
      <c r="F696" s="30">
        <v>16661</v>
      </c>
      <c r="G696" s="30">
        <v>16656</v>
      </c>
      <c r="H696" s="30">
        <v>16664</v>
      </c>
      <c r="I696" s="30">
        <v>16594</v>
      </c>
      <c r="J696" s="30">
        <v>16517</v>
      </c>
      <c r="K696" s="30">
        <v>16542</v>
      </c>
      <c r="L696" s="30">
        <v>16412</v>
      </c>
      <c r="M696" s="30">
        <v>16326</v>
      </c>
      <c r="N696" s="30">
        <v>16215</v>
      </c>
      <c r="O696" s="24" t="str">
        <f t="shared" si="21"/>
        <v>Wayne County, Illinois</v>
      </c>
    </row>
    <row r="697" spans="1:15" x14ac:dyDescent="0.25">
      <c r="A697" s="35" t="s">
        <v>1173</v>
      </c>
      <c r="B697" s="28" t="str">
        <f t="shared" si="20"/>
        <v>White</v>
      </c>
      <c r="C697" s="30">
        <v>14665</v>
      </c>
      <c r="D697" s="30">
        <v>14665</v>
      </c>
      <c r="E697" s="30">
        <v>14597</v>
      </c>
      <c r="F697" s="30">
        <v>14590</v>
      </c>
      <c r="G697" s="30">
        <v>14522</v>
      </c>
      <c r="H697" s="30">
        <v>14434</v>
      </c>
      <c r="I697" s="30">
        <v>14265</v>
      </c>
      <c r="J697" s="30">
        <v>14204</v>
      </c>
      <c r="K697" s="30">
        <v>14079</v>
      </c>
      <c r="L697" s="30">
        <v>13903</v>
      </c>
      <c r="M697" s="30">
        <v>13618</v>
      </c>
      <c r="N697" s="30">
        <v>13537</v>
      </c>
      <c r="O697" s="24" t="str">
        <f t="shared" si="21"/>
        <v>White County, Illinois</v>
      </c>
    </row>
    <row r="698" spans="1:15" x14ac:dyDescent="0.25">
      <c r="A698" s="35" t="s">
        <v>1174</v>
      </c>
      <c r="B698" s="28" t="str">
        <f t="shared" si="20"/>
        <v>Whiteside</v>
      </c>
      <c r="C698" s="30">
        <v>58498</v>
      </c>
      <c r="D698" s="30">
        <v>58501</v>
      </c>
      <c r="E698" s="30">
        <v>58486</v>
      </c>
      <c r="F698" s="30">
        <v>58286</v>
      </c>
      <c r="G698" s="30">
        <v>57766</v>
      </c>
      <c r="H698" s="30">
        <v>57468</v>
      </c>
      <c r="I698" s="30">
        <v>57021</v>
      </c>
      <c r="J698" s="30">
        <v>56919</v>
      </c>
      <c r="K698" s="30">
        <v>56476</v>
      </c>
      <c r="L698" s="30">
        <v>55955</v>
      </c>
      <c r="M698" s="30">
        <v>55553</v>
      </c>
      <c r="N698" s="30">
        <v>55175</v>
      </c>
      <c r="O698" s="24" t="str">
        <f t="shared" si="21"/>
        <v>Whiteside County, Illinois</v>
      </c>
    </row>
    <row r="699" spans="1:15" x14ac:dyDescent="0.25">
      <c r="A699" s="35" t="s">
        <v>1175</v>
      </c>
      <c r="B699" s="28" t="str">
        <f t="shared" si="20"/>
        <v>Will</v>
      </c>
      <c r="C699" s="30">
        <v>677560</v>
      </c>
      <c r="D699" s="30">
        <v>677580</v>
      </c>
      <c r="E699" s="30">
        <v>678824</v>
      </c>
      <c r="F699" s="30">
        <v>680827</v>
      </c>
      <c r="G699" s="30">
        <v>682477</v>
      </c>
      <c r="H699" s="30">
        <v>683734</v>
      </c>
      <c r="I699" s="30">
        <v>685158</v>
      </c>
      <c r="J699" s="30">
        <v>685877</v>
      </c>
      <c r="K699" s="30">
        <v>688328</v>
      </c>
      <c r="L699" s="30">
        <v>690479</v>
      </c>
      <c r="M699" s="30">
        <v>691149</v>
      </c>
      <c r="N699" s="30">
        <v>690743</v>
      </c>
      <c r="O699" s="24" t="str">
        <f t="shared" si="21"/>
        <v>Will County, Illinois</v>
      </c>
    </row>
    <row r="700" spans="1:15" x14ac:dyDescent="0.25">
      <c r="A700" s="35" t="s">
        <v>1176</v>
      </c>
      <c r="B700" s="28" t="str">
        <f t="shared" si="20"/>
        <v>Williamson</v>
      </c>
      <c r="C700" s="30">
        <v>66357</v>
      </c>
      <c r="D700" s="30">
        <v>66365</v>
      </c>
      <c r="E700" s="30">
        <v>66432</v>
      </c>
      <c r="F700" s="30">
        <v>66732</v>
      </c>
      <c r="G700" s="30">
        <v>66776</v>
      </c>
      <c r="H700" s="30">
        <v>67450</v>
      </c>
      <c r="I700" s="30">
        <v>67412</v>
      </c>
      <c r="J700" s="30">
        <v>67428</v>
      </c>
      <c r="K700" s="30">
        <v>67454</v>
      </c>
      <c r="L700" s="30">
        <v>67049</v>
      </c>
      <c r="M700" s="30">
        <v>66982</v>
      </c>
      <c r="N700" s="30">
        <v>66597</v>
      </c>
      <c r="O700" s="24" t="str">
        <f t="shared" si="21"/>
        <v>Williamson County, Illinois</v>
      </c>
    </row>
    <row r="701" spans="1:15" x14ac:dyDescent="0.25">
      <c r="A701" s="35" t="s">
        <v>1177</v>
      </c>
      <c r="B701" s="28" t="str">
        <f t="shared" si="20"/>
        <v>Winnebago</v>
      </c>
      <c r="C701" s="30">
        <v>295266</v>
      </c>
      <c r="D701" s="30">
        <v>295264</v>
      </c>
      <c r="E701" s="30">
        <v>295083</v>
      </c>
      <c r="F701" s="30">
        <v>293642</v>
      </c>
      <c r="G701" s="30">
        <v>292084</v>
      </c>
      <c r="H701" s="30">
        <v>290945</v>
      </c>
      <c r="I701" s="30">
        <v>288695</v>
      </c>
      <c r="J701" s="30">
        <v>287148</v>
      </c>
      <c r="K701" s="30">
        <v>286065</v>
      </c>
      <c r="L701" s="30">
        <v>284681</v>
      </c>
      <c r="M701" s="30">
        <v>283630</v>
      </c>
      <c r="N701" s="30">
        <v>282572</v>
      </c>
      <c r="O701" s="24" t="str">
        <f t="shared" si="21"/>
        <v>Winnebago County, Illinois</v>
      </c>
    </row>
    <row r="702" spans="1:15" x14ac:dyDescent="0.25">
      <c r="A702" s="35" t="s">
        <v>1178</v>
      </c>
      <c r="B702" s="28" t="str">
        <f t="shared" si="20"/>
        <v>Woodford</v>
      </c>
      <c r="C702" s="30">
        <v>38664</v>
      </c>
      <c r="D702" s="30">
        <v>38656</v>
      </c>
      <c r="E702" s="30">
        <v>38661</v>
      </c>
      <c r="F702" s="30">
        <v>38844</v>
      </c>
      <c r="G702" s="30">
        <v>38837</v>
      </c>
      <c r="H702" s="30">
        <v>39027</v>
      </c>
      <c r="I702" s="30">
        <v>39052</v>
      </c>
      <c r="J702" s="30">
        <v>38930</v>
      </c>
      <c r="K702" s="30">
        <v>38913</v>
      </c>
      <c r="L702" s="30">
        <v>38670</v>
      </c>
      <c r="M702" s="30">
        <v>38527</v>
      </c>
      <c r="N702" s="30">
        <v>38459</v>
      </c>
      <c r="O702" s="24" t="str">
        <f t="shared" si="21"/>
        <v>Woodford County, Illinois</v>
      </c>
    </row>
    <row r="703" spans="1:15" x14ac:dyDescent="0.25">
      <c r="A703" s="35" t="s">
        <v>1179</v>
      </c>
      <c r="B703" s="28" t="str">
        <f t="shared" si="20"/>
        <v>Adams</v>
      </c>
      <c r="C703" s="30">
        <v>34387</v>
      </c>
      <c r="D703" s="30">
        <v>34384</v>
      </c>
      <c r="E703" s="30">
        <v>34444</v>
      </c>
      <c r="F703" s="30">
        <v>34368</v>
      </c>
      <c r="G703" s="30">
        <v>34400</v>
      </c>
      <c r="H703" s="30">
        <v>34644</v>
      </c>
      <c r="I703" s="30">
        <v>34758</v>
      </c>
      <c r="J703" s="30">
        <v>34945</v>
      </c>
      <c r="K703" s="30">
        <v>35178</v>
      </c>
      <c r="L703" s="30">
        <v>35385</v>
      </c>
      <c r="M703" s="30">
        <v>35595</v>
      </c>
      <c r="N703" s="30">
        <v>35777</v>
      </c>
      <c r="O703" s="24" t="str">
        <f t="shared" si="21"/>
        <v>Adams County, Indiana</v>
      </c>
    </row>
    <row r="704" spans="1:15" x14ac:dyDescent="0.25">
      <c r="A704" s="35" t="s">
        <v>1180</v>
      </c>
      <c r="B704" s="28" t="str">
        <f t="shared" si="20"/>
        <v>Allen</v>
      </c>
      <c r="C704" s="30">
        <v>355329</v>
      </c>
      <c r="D704" s="30">
        <v>355339</v>
      </c>
      <c r="E704" s="30">
        <v>355945</v>
      </c>
      <c r="F704" s="30">
        <v>358974</v>
      </c>
      <c r="G704" s="30">
        <v>360890</v>
      </c>
      <c r="H704" s="30">
        <v>363355</v>
      </c>
      <c r="I704" s="30">
        <v>365147</v>
      </c>
      <c r="J704" s="30">
        <v>367362</v>
      </c>
      <c r="K704" s="30">
        <v>369412</v>
      </c>
      <c r="L704" s="30">
        <v>371723</v>
      </c>
      <c r="M704" s="30">
        <v>375079</v>
      </c>
      <c r="N704" s="30">
        <v>379299</v>
      </c>
      <c r="O704" s="24" t="str">
        <f t="shared" si="21"/>
        <v>Allen County, Indiana</v>
      </c>
    </row>
    <row r="705" spans="1:15" x14ac:dyDescent="0.25">
      <c r="A705" s="35" t="s">
        <v>1181</v>
      </c>
      <c r="B705" s="28" t="str">
        <f t="shared" si="20"/>
        <v>Bartholomew</v>
      </c>
      <c r="C705" s="30">
        <v>76794</v>
      </c>
      <c r="D705" s="30">
        <v>76783</v>
      </c>
      <c r="E705" s="30">
        <v>76818</v>
      </c>
      <c r="F705" s="30">
        <v>77620</v>
      </c>
      <c r="G705" s="30">
        <v>79001</v>
      </c>
      <c r="H705" s="30">
        <v>79655</v>
      </c>
      <c r="I705" s="30">
        <v>80497</v>
      </c>
      <c r="J705" s="30">
        <v>81458</v>
      </c>
      <c r="K705" s="30">
        <v>82231</v>
      </c>
      <c r="L705" s="30">
        <v>82213</v>
      </c>
      <c r="M705" s="30">
        <v>82722</v>
      </c>
      <c r="N705" s="30">
        <v>83779</v>
      </c>
      <c r="O705" s="24" t="str">
        <f t="shared" si="21"/>
        <v>Bartholomew County, Indiana</v>
      </c>
    </row>
    <row r="706" spans="1:15" x14ac:dyDescent="0.25">
      <c r="A706" s="35" t="s">
        <v>1182</v>
      </c>
      <c r="B706" s="28" t="str">
        <f t="shared" si="20"/>
        <v>Benton</v>
      </c>
      <c r="C706" s="30">
        <v>8854</v>
      </c>
      <c r="D706" s="30">
        <v>8836</v>
      </c>
      <c r="E706" s="30">
        <v>8863</v>
      </c>
      <c r="F706" s="30">
        <v>8856</v>
      </c>
      <c r="G706" s="30">
        <v>8821</v>
      </c>
      <c r="H706" s="30">
        <v>8748</v>
      </c>
      <c r="I706" s="30">
        <v>8720</v>
      </c>
      <c r="J706" s="30">
        <v>8693</v>
      </c>
      <c r="K706" s="30">
        <v>8658</v>
      </c>
      <c r="L706" s="30">
        <v>8631</v>
      </c>
      <c r="M706" s="30">
        <v>8653</v>
      </c>
      <c r="N706" s="30">
        <v>8748</v>
      </c>
      <c r="O706" s="24" t="str">
        <f t="shared" si="21"/>
        <v>Benton County, Indiana</v>
      </c>
    </row>
    <row r="707" spans="1:15" x14ac:dyDescent="0.25">
      <c r="A707" s="35" t="s">
        <v>1183</v>
      </c>
      <c r="B707" s="28" t="str">
        <f t="shared" si="20"/>
        <v>Blackford</v>
      </c>
      <c r="C707" s="30">
        <v>12766</v>
      </c>
      <c r="D707" s="30">
        <v>12766</v>
      </c>
      <c r="E707" s="30">
        <v>12771</v>
      </c>
      <c r="F707" s="30">
        <v>12656</v>
      </c>
      <c r="G707" s="30">
        <v>12528</v>
      </c>
      <c r="H707" s="30">
        <v>12461</v>
      </c>
      <c r="I707" s="30">
        <v>12347</v>
      </c>
      <c r="J707" s="30">
        <v>12242</v>
      </c>
      <c r="K707" s="30">
        <v>12115</v>
      </c>
      <c r="L707" s="30">
        <v>12028</v>
      </c>
      <c r="M707" s="30">
        <v>11924</v>
      </c>
      <c r="N707" s="30">
        <v>11758</v>
      </c>
      <c r="O707" s="24" t="str">
        <f t="shared" si="21"/>
        <v>Blackford County, Indiana</v>
      </c>
    </row>
    <row r="708" spans="1:15" x14ac:dyDescent="0.25">
      <c r="A708" s="35" t="s">
        <v>1184</v>
      </c>
      <c r="B708" s="28" t="str">
        <f t="shared" si="20"/>
        <v>Boone</v>
      </c>
      <c r="C708" s="30">
        <v>56640</v>
      </c>
      <c r="D708" s="30">
        <v>56641</v>
      </c>
      <c r="E708" s="30">
        <v>56916</v>
      </c>
      <c r="F708" s="30">
        <v>57915</v>
      </c>
      <c r="G708" s="30">
        <v>59033</v>
      </c>
      <c r="H708" s="30">
        <v>60346</v>
      </c>
      <c r="I708" s="30">
        <v>61631</v>
      </c>
      <c r="J708" s="30">
        <v>63033</v>
      </c>
      <c r="K708" s="30">
        <v>64192</v>
      </c>
      <c r="L708" s="30">
        <v>65723</v>
      </c>
      <c r="M708" s="30">
        <v>66930</v>
      </c>
      <c r="N708" s="30">
        <v>67843</v>
      </c>
      <c r="O708" s="24" t="str">
        <f t="shared" si="21"/>
        <v>Boone County, Indiana</v>
      </c>
    </row>
    <row r="709" spans="1:15" x14ac:dyDescent="0.25">
      <c r="A709" s="35" t="s">
        <v>1185</v>
      </c>
      <c r="B709" s="28" t="str">
        <f t="shared" si="20"/>
        <v>Brown</v>
      </c>
      <c r="C709" s="30">
        <v>15242</v>
      </c>
      <c r="D709" s="30">
        <v>15244</v>
      </c>
      <c r="E709" s="30">
        <v>15207</v>
      </c>
      <c r="F709" s="30">
        <v>15076</v>
      </c>
      <c r="G709" s="30">
        <v>15049</v>
      </c>
      <c r="H709" s="30">
        <v>15055</v>
      </c>
      <c r="I709" s="30">
        <v>14944</v>
      </c>
      <c r="J709" s="30">
        <v>14994</v>
      </c>
      <c r="K709" s="30">
        <v>14996</v>
      </c>
      <c r="L709" s="30">
        <v>15010</v>
      </c>
      <c r="M709" s="30">
        <v>15230</v>
      </c>
      <c r="N709" s="30">
        <v>15092</v>
      </c>
      <c r="O709" s="24" t="str">
        <f t="shared" si="21"/>
        <v>Brown County, Indiana</v>
      </c>
    </row>
    <row r="710" spans="1:15" x14ac:dyDescent="0.25">
      <c r="A710" s="35" t="s">
        <v>1186</v>
      </c>
      <c r="B710" s="28" t="str">
        <f t="shared" si="20"/>
        <v>Carroll</v>
      </c>
      <c r="C710" s="30">
        <v>20155</v>
      </c>
      <c r="D710" s="30">
        <v>20160</v>
      </c>
      <c r="E710" s="30">
        <v>20199</v>
      </c>
      <c r="F710" s="30">
        <v>20043</v>
      </c>
      <c r="G710" s="30">
        <v>20112</v>
      </c>
      <c r="H710" s="30">
        <v>20113</v>
      </c>
      <c r="I710" s="30">
        <v>19953</v>
      </c>
      <c r="J710" s="30">
        <v>19887</v>
      </c>
      <c r="K710" s="30">
        <v>19973</v>
      </c>
      <c r="L710" s="30">
        <v>20067</v>
      </c>
      <c r="M710" s="30">
        <v>20188</v>
      </c>
      <c r="N710" s="30">
        <v>20257</v>
      </c>
      <c r="O710" s="24" t="str">
        <f t="shared" si="21"/>
        <v>Carroll County, Indiana</v>
      </c>
    </row>
    <row r="711" spans="1:15" x14ac:dyDescent="0.25">
      <c r="A711" s="35" t="s">
        <v>1187</v>
      </c>
      <c r="B711" s="28" t="str">
        <f t="shared" ref="B711:B774" si="22">LEFT(A711,FIND("County",A711,1)-2)</f>
        <v>Cass</v>
      </c>
      <c r="C711" s="30">
        <v>38966</v>
      </c>
      <c r="D711" s="30">
        <v>38970</v>
      </c>
      <c r="E711" s="30">
        <v>38985</v>
      </c>
      <c r="F711" s="30">
        <v>38916</v>
      </c>
      <c r="G711" s="30">
        <v>38771</v>
      </c>
      <c r="H711" s="30">
        <v>38585</v>
      </c>
      <c r="I711" s="30">
        <v>38487</v>
      </c>
      <c r="J711" s="30">
        <v>38081</v>
      </c>
      <c r="K711" s="30">
        <v>37905</v>
      </c>
      <c r="L711" s="30">
        <v>37828</v>
      </c>
      <c r="M711" s="30">
        <v>37895</v>
      </c>
      <c r="N711" s="30">
        <v>37689</v>
      </c>
      <c r="O711" s="24" t="str">
        <f t="shared" ref="O711:O774" si="23">A711</f>
        <v>Cass County, Indiana</v>
      </c>
    </row>
    <row r="712" spans="1:15" x14ac:dyDescent="0.25">
      <c r="A712" s="35" t="s">
        <v>1188</v>
      </c>
      <c r="B712" s="28" t="str">
        <f t="shared" si="22"/>
        <v>Clark</v>
      </c>
      <c r="C712" s="30">
        <v>110232</v>
      </c>
      <c r="D712" s="30">
        <v>110222</v>
      </c>
      <c r="E712" s="30">
        <v>110567</v>
      </c>
      <c r="F712" s="30">
        <v>111490</v>
      </c>
      <c r="G712" s="30">
        <v>111853</v>
      </c>
      <c r="H712" s="30">
        <v>112688</v>
      </c>
      <c r="I712" s="30">
        <v>114035</v>
      </c>
      <c r="J712" s="30">
        <v>114819</v>
      </c>
      <c r="K712" s="30">
        <v>115588</v>
      </c>
      <c r="L712" s="30">
        <v>116545</v>
      </c>
      <c r="M712" s="30">
        <v>117280</v>
      </c>
      <c r="N712" s="30">
        <v>118302</v>
      </c>
      <c r="O712" s="24" t="str">
        <f t="shared" si="23"/>
        <v>Clark County, Indiana</v>
      </c>
    </row>
    <row r="713" spans="1:15" x14ac:dyDescent="0.25">
      <c r="A713" s="35" t="s">
        <v>1189</v>
      </c>
      <c r="B713" s="28" t="str">
        <f t="shared" si="22"/>
        <v>Clay</v>
      </c>
      <c r="C713" s="30">
        <v>26890</v>
      </c>
      <c r="D713" s="30">
        <v>26888</v>
      </c>
      <c r="E713" s="30">
        <v>26854</v>
      </c>
      <c r="F713" s="30">
        <v>26837</v>
      </c>
      <c r="G713" s="30">
        <v>26788</v>
      </c>
      <c r="H713" s="30">
        <v>26662</v>
      </c>
      <c r="I713" s="30">
        <v>26430</v>
      </c>
      <c r="J713" s="30">
        <v>26395</v>
      </c>
      <c r="K713" s="30">
        <v>26210</v>
      </c>
      <c r="L713" s="30">
        <v>26167</v>
      </c>
      <c r="M713" s="30">
        <v>26175</v>
      </c>
      <c r="N713" s="30">
        <v>26225</v>
      </c>
      <c r="O713" s="24" t="str">
        <f t="shared" si="23"/>
        <v>Clay County, Indiana</v>
      </c>
    </row>
    <row r="714" spans="1:15" x14ac:dyDescent="0.25">
      <c r="A714" s="35" t="s">
        <v>1190</v>
      </c>
      <c r="B714" s="28" t="str">
        <f t="shared" si="22"/>
        <v>Clinton</v>
      </c>
      <c r="C714" s="30">
        <v>33224</v>
      </c>
      <c r="D714" s="30">
        <v>33219</v>
      </c>
      <c r="E714" s="30">
        <v>33221</v>
      </c>
      <c r="F714" s="30">
        <v>33034</v>
      </c>
      <c r="G714" s="30">
        <v>32890</v>
      </c>
      <c r="H714" s="30">
        <v>32766</v>
      </c>
      <c r="I714" s="30">
        <v>32462</v>
      </c>
      <c r="J714" s="30">
        <v>32373</v>
      </c>
      <c r="K714" s="30">
        <v>32207</v>
      </c>
      <c r="L714" s="30">
        <v>32195</v>
      </c>
      <c r="M714" s="30">
        <v>32192</v>
      </c>
      <c r="N714" s="30">
        <v>32399</v>
      </c>
      <c r="O714" s="24" t="str">
        <f t="shared" si="23"/>
        <v>Clinton County, Indiana</v>
      </c>
    </row>
    <row r="715" spans="1:15" x14ac:dyDescent="0.25">
      <c r="A715" s="35" t="s">
        <v>1191</v>
      </c>
      <c r="B715" s="28" t="str">
        <f t="shared" si="22"/>
        <v>Crawford</v>
      </c>
      <c r="C715" s="30">
        <v>10713</v>
      </c>
      <c r="D715" s="30">
        <v>10711</v>
      </c>
      <c r="E715" s="30">
        <v>10708</v>
      </c>
      <c r="F715" s="30">
        <v>10621</v>
      </c>
      <c r="G715" s="30">
        <v>10669</v>
      </c>
      <c r="H715" s="30">
        <v>10620</v>
      </c>
      <c r="I715" s="30">
        <v>10668</v>
      </c>
      <c r="J715" s="30">
        <v>10555</v>
      </c>
      <c r="K715" s="30">
        <v>10583</v>
      </c>
      <c r="L715" s="30">
        <v>10535</v>
      </c>
      <c r="M715" s="30">
        <v>10594</v>
      </c>
      <c r="N715" s="30">
        <v>10577</v>
      </c>
      <c r="O715" s="24" t="str">
        <f t="shared" si="23"/>
        <v>Crawford County, Indiana</v>
      </c>
    </row>
    <row r="716" spans="1:15" x14ac:dyDescent="0.25">
      <c r="A716" s="35" t="s">
        <v>1192</v>
      </c>
      <c r="B716" s="28" t="str">
        <f t="shared" si="22"/>
        <v>Daviess</v>
      </c>
      <c r="C716" s="30">
        <v>31648</v>
      </c>
      <c r="D716" s="30">
        <v>31654</v>
      </c>
      <c r="E716" s="30">
        <v>31720</v>
      </c>
      <c r="F716" s="30">
        <v>31950</v>
      </c>
      <c r="G716" s="30">
        <v>32116</v>
      </c>
      <c r="H716" s="30">
        <v>32282</v>
      </c>
      <c r="I716" s="30">
        <v>32680</v>
      </c>
      <c r="J716" s="30">
        <v>32823</v>
      </c>
      <c r="K716" s="30">
        <v>33010</v>
      </c>
      <c r="L716" s="30">
        <v>33136</v>
      </c>
      <c r="M716" s="30">
        <v>33278</v>
      </c>
      <c r="N716" s="30">
        <v>33351</v>
      </c>
      <c r="O716" s="24" t="str">
        <f t="shared" si="23"/>
        <v>Daviess County, Indiana</v>
      </c>
    </row>
    <row r="717" spans="1:15" x14ac:dyDescent="0.25">
      <c r="A717" s="35" t="s">
        <v>1193</v>
      </c>
      <c r="B717" s="28" t="str">
        <f t="shared" si="22"/>
        <v>Dearborn</v>
      </c>
      <c r="C717" s="30">
        <v>50047</v>
      </c>
      <c r="D717" s="30">
        <v>50027</v>
      </c>
      <c r="E717" s="30">
        <v>50083</v>
      </c>
      <c r="F717" s="30">
        <v>49986</v>
      </c>
      <c r="G717" s="30">
        <v>49727</v>
      </c>
      <c r="H717" s="30">
        <v>49739</v>
      </c>
      <c r="I717" s="30">
        <v>49418</v>
      </c>
      <c r="J717" s="30">
        <v>49455</v>
      </c>
      <c r="K717" s="30">
        <v>49436</v>
      </c>
      <c r="L717" s="30">
        <v>49564</v>
      </c>
      <c r="M717" s="30">
        <v>49482</v>
      </c>
      <c r="N717" s="30">
        <v>49458</v>
      </c>
      <c r="O717" s="24" t="str">
        <f t="shared" si="23"/>
        <v>Dearborn County, Indiana</v>
      </c>
    </row>
    <row r="718" spans="1:15" x14ac:dyDescent="0.25">
      <c r="A718" s="35" t="s">
        <v>1194</v>
      </c>
      <c r="B718" s="28" t="str">
        <f t="shared" si="22"/>
        <v>Decatur</v>
      </c>
      <c r="C718" s="30">
        <v>25740</v>
      </c>
      <c r="D718" s="30">
        <v>25739</v>
      </c>
      <c r="E718" s="30">
        <v>25798</v>
      </c>
      <c r="F718" s="30">
        <v>25902</v>
      </c>
      <c r="G718" s="30">
        <v>26043</v>
      </c>
      <c r="H718" s="30">
        <v>26236</v>
      </c>
      <c r="I718" s="30">
        <v>26416</v>
      </c>
      <c r="J718" s="30">
        <v>26339</v>
      </c>
      <c r="K718" s="30">
        <v>26565</v>
      </c>
      <c r="L718" s="30">
        <v>26620</v>
      </c>
      <c r="M718" s="30">
        <v>26725</v>
      </c>
      <c r="N718" s="30">
        <v>26559</v>
      </c>
      <c r="O718" s="24" t="str">
        <f t="shared" si="23"/>
        <v>Decatur County, Indiana</v>
      </c>
    </row>
    <row r="719" spans="1:15" x14ac:dyDescent="0.25">
      <c r="A719" s="35" t="s">
        <v>1195</v>
      </c>
      <c r="B719" s="28" t="str">
        <f t="shared" si="22"/>
        <v>DeKalb</v>
      </c>
      <c r="C719" s="30">
        <v>42223</v>
      </c>
      <c r="D719" s="30">
        <v>42255</v>
      </c>
      <c r="E719" s="30">
        <v>42336</v>
      </c>
      <c r="F719" s="30">
        <v>42494</v>
      </c>
      <c r="G719" s="30">
        <v>42328</v>
      </c>
      <c r="H719" s="30">
        <v>42369</v>
      </c>
      <c r="I719" s="30">
        <v>42428</v>
      </c>
      <c r="J719" s="30">
        <v>42496</v>
      </c>
      <c r="K719" s="30">
        <v>42652</v>
      </c>
      <c r="L719" s="30">
        <v>42806</v>
      </c>
      <c r="M719" s="30">
        <v>43208</v>
      </c>
      <c r="N719" s="30">
        <v>43475</v>
      </c>
      <c r="O719" s="24" t="str">
        <f t="shared" si="23"/>
        <v>DeKalb County, Indiana</v>
      </c>
    </row>
    <row r="720" spans="1:15" x14ac:dyDescent="0.25">
      <c r="A720" s="35" t="s">
        <v>1196</v>
      </c>
      <c r="B720" s="28" t="str">
        <f t="shared" si="22"/>
        <v>Delaware</v>
      </c>
      <c r="C720" s="30">
        <v>117671</v>
      </c>
      <c r="D720" s="30">
        <v>117670</v>
      </c>
      <c r="E720" s="30">
        <v>117665</v>
      </c>
      <c r="F720" s="30">
        <v>117901</v>
      </c>
      <c r="G720" s="30">
        <v>117027</v>
      </c>
      <c r="H720" s="30">
        <v>116831</v>
      </c>
      <c r="I720" s="30">
        <v>116487</v>
      </c>
      <c r="J720" s="30">
        <v>115767</v>
      </c>
      <c r="K720" s="30">
        <v>115657</v>
      </c>
      <c r="L720" s="30">
        <v>115246</v>
      </c>
      <c r="M720" s="30">
        <v>114297</v>
      </c>
      <c r="N720" s="30">
        <v>114135</v>
      </c>
      <c r="O720" s="24" t="str">
        <f t="shared" si="23"/>
        <v>Delaware County, Indiana</v>
      </c>
    </row>
    <row r="721" spans="1:15" x14ac:dyDescent="0.25">
      <c r="A721" s="35" t="s">
        <v>1197</v>
      </c>
      <c r="B721" s="28" t="str">
        <f t="shared" si="22"/>
        <v>Dubois</v>
      </c>
      <c r="C721" s="30">
        <v>41889</v>
      </c>
      <c r="D721" s="30">
        <v>41886</v>
      </c>
      <c r="E721" s="30">
        <v>41905</v>
      </c>
      <c r="F721" s="30">
        <v>42162</v>
      </c>
      <c r="G721" s="30">
        <v>42083</v>
      </c>
      <c r="H721" s="30">
        <v>42275</v>
      </c>
      <c r="I721" s="30">
        <v>42297</v>
      </c>
      <c r="J721" s="30">
        <v>42317</v>
      </c>
      <c r="K721" s="30">
        <v>42450</v>
      </c>
      <c r="L721" s="30">
        <v>42538</v>
      </c>
      <c r="M721" s="30">
        <v>42674</v>
      </c>
      <c r="N721" s="30">
        <v>42736</v>
      </c>
      <c r="O721" s="24" t="str">
        <f t="shared" si="23"/>
        <v>Dubois County, Indiana</v>
      </c>
    </row>
    <row r="722" spans="1:15" x14ac:dyDescent="0.25">
      <c r="A722" s="35" t="s">
        <v>1198</v>
      </c>
      <c r="B722" s="28" t="str">
        <f t="shared" si="22"/>
        <v>Elkhart</v>
      </c>
      <c r="C722" s="30">
        <v>197559</v>
      </c>
      <c r="D722" s="30">
        <v>197569</v>
      </c>
      <c r="E722" s="30">
        <v>197451</v>
      </c>
      <c r="F722" s="30">
        <v>198279</v>
      </c>
      <c r="G722" s="30">
        <v>198968</v>
      </c>
      <c r="H722" s="30">
        <v>200205</v>
      </c>
      <c r="I722" s="30">
        <v>201423</v>
      </c>
      <c r="J722" s="30">
        <v>202995</v>
      </c>
      <c r="K722" s="30">
        <v>203642</v>
      </c>
      <c r="L722" s="30">
        <v>204194</v>
      </c>
      <c r="M722" s="30">
        <v>205617</v>
      </c>
      <c r="N722" s="30">
        <v>206341</v>
      </c>
      <c r="O722" s="24" t="str">
        <f t="shared" si="23"/>
        <v>Elkhart County, Indiana</v>
      </c>
    </row>
    <row r="723" spans="1:15" x14ac:dyDescent="0.25">
      <c r="A723" s="35" t="s">
        <v>1199</v>
      </c>
      <c r="B723" s="28" t="str">
        <f t="shared" si="22"/>
        <v>Fayette</v>
      </c>
      <c r="C723" s="30">
        <v>24277</v>
      </c>
      <c r="D723" s="30">
        <v>24301</v>
      </c>
      <c r="E723" s="30">
        <v>24325</v>
      </c>
      <c r="F723" s="30">
        <v>24150</v>
      </c>
      <c r="G723" s="30">
        <v>23947</v>
      </c>
      <c r="H723" s="30">
        <v>23826</v>
      </c>
      <c r="I723" s="30">
        <v>23442</v>
      </c>
      <c r="J723" s="30">
        <v>23388</v>
      </c>
      <c r="K723" s="30">
        <v>23252</v>
      </c>
      <c r="L723" s="30">
        <v>23154</v>
      </c>
      <c r="M723" s="30">
        <v>23076</v>
      </c>
      <c r="N723" s="30">
        <v>23102</v>
      </c>
      <c r="O723" s="24" t="str">
        <f t="shared" si="23"/>
        <v>Fayette County, Indiana</v>
      </c>
    </row>
    <row r="724" spans="1:15" x14ac:dyDescent="0.25">
      <c r="A724" s="35" t="s">
        <v>1200</v>
      </c>
      <c r="B724" s="28" t="str">
        <f t="shared" si="22"/>
        <v>Floyd</v>
      </c>
      <c r="C724" s="30">
        <v>74578</v>
      </c>
      <c r="D724" s="30">
        <v>74579</v>
      </c>
      <c r="E724" s="30">
        <v>74709</v>
      </c>
      <c r="F724" s="30">
        <v>74978</v>
      </c>
      <c r="G724" s="30">
        <v>75260</v>
      </c>
      <c r="H724" s="30">
        <v>76018</v>
      </c>
      <c r="I724" s="30">
        <v>76094</v>
      </c>
      <c r="J724" s="30">
        <v>76505</v>
      </c>
      <c r="K724" s="30">
        <v>76734</v>
      </c>
      <c r="L724" s="30">
        <v>77006</v>
      </c>
      <c r="M724" s="30">
        <v>77834</v>
      </c>
      <c r="N724" s="30">
        <v>78522</v>
      </c>
      <c r="O724" s="24" t="str">
        <f t="shared" si="23"/>
        <v>Floyd County, Indiana</v>
      </c>
    </row>
    <row r="725" spans="1:15" x14ac:dyDescent="0.25">
      <c r="A725" s="35" t="s">
        <v>1201</v>
      </c>
      <c r="B725" s="28" t="str">
        <f t="shared" si="22"/>
        <v>Fountain</v>
      </c>
      <c r="C725" s="30">
        <v>17240</v>
      </c>
      <c r="D725" s="30">
        <v>17240</v>
      </c>
      <c r="E725" s="30">
        <v>17276</v>
      </c>
      <c r="F725" s="30">
        <v>17157</v>
      </c>
      <c r="G725" s="30">
        <v>17117</v>
      </c>
      <c r="H725" s="30">
        <v>16882</v>
      </c>
      <c r="I725" s="30">
        <v>16693</v>
      </c>
      <c r="J725" s="30">
        <v>16537</v>
      </c>
      <c r="K725" s="30">
        <v>16457</v>
      </c>
      <c r="L725" s="30">
        <v>16419</v>
      </c>
      <c r="M725" s="30">
        <v>16390</v>
      </c>
      <c r="N725" s="30">
        <v>16346</v>
      </c>
      <c r="O725" s="24" t="str">
        <f t="shared" si="23"/>
        <v>Fountain County, Indiana</v>
      </c>
    </row>
    <row r="726" spans="1:15" x14ac:dyDescent="0.25">
      <c r="A726" s="35" t="s">
        <v>1202</v>
      </c>
      <c r="B726" s="28" t="str">
        <f t="shared" si="22"/>
        <v>Franklin</v>
      </c>
      <c r="C726" s="30">
        <v>23087</v>
      </c>
      <c r="D726" s="30">
        <v>23098</v>
      </c>
      <c r="E726" s="30">
        <v>23059</v>
      </c>
      <c r="F726" s="30">
        <v>23040</v>
      </c>
      <c r="G726" s="30">
        <v>23032</v>
      </c>
      <c r="H726" s="30">
        <v>22970</v>
      </c>
      <c r="I726" s="30">
        <v>22982</v>
      </c>
      <c r="J726" s="30">
        <v>22940</v>
      </c>
      <c r="K726" s="30">
        <v>22770</v>
      </c>
      <c r="L726" s="30">
        <v>22694</v>
      </c>
      <c r="M726" s="30">
        <v>22706</v>
      </c>
      <c r="N726" s="30">
        <v>22758</v>
      </c>
      <c r="O726" s="24" t="str">
        <f t="shared" si="23"/>
        <v>Franklin County, Indiana</v>
      </c>
    </row>
    <row r="727" spans="1:15" x14ac:dyDescent="0.25">
      <c r="A727" s="35" t="s">
        <v>1203</v>
      </c>
      <c r="B727" s="28" t="str">
        <f t="shared" si="22"/>
        <v>Fulton</v>
      </c>
      <c r="C727" s="30">
        <v>20836</v>
      </c>
      <c r="D727" s="30">
        <v>20856</v>
      </c>
      <c r="E727" s="30">
        <v>20817</v>
      </c>
      <c r="F727" s="30">
        <v>20735</v>
      </c>
      <c r="G727" s="30">
        <v>20638</v>
      </c>
      <c r="H727" s="30">
        <v>20449</v>
      </c>
      <c r="I727" s="30">
        <v>20517</v>
      </c>
      <c r="J727" s="30">
        <v>20340</v>
      </c>
      <c r="K727" s="30">
        <v>20118</v>
      </c>
      <c r="L727" s="30">
        <v>19995</v>
      </c>
      <c r="M727" s="30">
        <v>20053</v>
      </c>
      <c r="N727" s="30">
        <v>19974</v>
      </c>
      <c r="O727" s="24" t="str">
        <f t="shared" si="23"/>
        <v>Fulton County, Indiana</v>
      </c>
    </row>
    <row r="728" spans="1:15" x14ac:dyDescent="0.25">
      <c r="A728" s="35" t="s">
        <v>1204</v>
      </c>
      <c r="B728" s="28" t="str">
        <f t="shared" si="22"/>
        <v>Gibson</v>
      </c>
      <c r="C728" s="30">
        <v>33503</v>
      </c>
      <c r="D728" s="30">
        <v>33503</v>
      </c>
      <c r="E728" s="30">
        <v>33545</v>
      </c>
      <c r="F728" s="30">
        <v>33524</v>
      </c>
      <c r="G728" s="30">
        <v>33527</v>
      </c>
      <c r="H728" s="30">
        <v>33484</v>
      </c>
      <c r="I728" s="30">
        <v>33723</v>
      </c>
      <c r="J728" s="30">
        <v>33644</v>
      </c>
      <c r="K728" s="30">
        <v>33644</v>
      </c>
      <c r="L728" s="30">
        <v>33721</v>
      </c>
      <c r="M728" s="30">
        <v>33610</v>
      </c>
      <c r="N728" s="30">
        <v>33659</v>
      </c>
      <c r="O728" s="24" t="str">
        <f t="shared" si="23"/>
        <v>Gibson County, Indiana</v>
      </c>
    </row>
    <row r="729" spans="1:15" x14ac:dyDescent="0.25">
      <c r="A729" s="35" t="s">
        <v>1205</v>
      </c>
      <c r="B729" s="28" t="str">
        <f t="shared" si="22"/>
        <v>Grant</v>
      </c>
      <c r="C729" s="30">
        <v>70061</v>
      </c>
      <c r="D729" s="30">
        <v>70063</v>
      </c>
      <c r="E729" s="30">
        <v>69903</v>
      </c>
      <c r="F729" s="30">
        <v>69616</v>
      </c>
      <c r="G729" s="30">
        <v>69078</v>
      </c>
      <c r="H729" s="30">
        <v>68845</v>
      </c>
      <c r="I729" s="30">
        <v>68326</v>
      </c>
      <c r="J729" s="30">
        <v>67479</v>
      </c>
      <c r="K729" s="30">
        <v>66669</v>
      </c>
      <c r="L729" s="30">
        <v>66305</v>
      </c>
      <c r="M729" s="30">
        <v>66039</v>
      </c>
      <c r="N729" s="30">
        <v>65769</v>
      </c>
      <c r="O729" s="24" t="str">
        <f t="shared" si="23"/>
        <v>Grant County, Indiana</v>
      </c>
    </row>
    <row r="730" spans="1:15" x14ac:dyDescent="0.25">
      <c r="A730" s="35" t="s">
        <v>1206</v>
      </c>
      <c r="B730" s="28" t="str">
        <f t="shared" si="22"/>
        <v>Greene</v>
      </c>
      <c r="C730" s="30">
        <v>33165</v>
      </c>
      <c r="D730" s="30">
        <v>33172</v>
      </c>
      <c r="E730" s="30">
        <v>33207</v>
      </c>
      <c r="F730" s="30">
        <v>33032</v>
      </c>
      <c r="G730" s="30">
        <v>32944</v>
      </c>
      <c r="H730" s="30">
        <v>32741</v>
      </c>
      <c r="I730" s="30">
        <v>32646</v>
      </c>
      <c r="J730" s="30">
        <v>32416</v>
      </c>
      <c r="K730" s="30">
        <v>32228</v>
      </c>
      <c r="L730" s="30">
        <v>32172</v>
      </c>
      <c r="M730" s="30">
        <v>32059</v>
      </c>
      <c r="N730" s="30">
        <v>31922</v>
      </c>
      <c r="O730" s="24" t="str">
        <f t="shared" si="23"/>
        <v>Greene County, Indiana</v>
      </c>
    </row>
    <row r="731" spans="1:15" x14ac:dyDescent="0.25">
      <c r="A731" s="35" t="s">
        <v>1207</v>
      </c>
      <c r="B731" s="28" t="str">
        <f t="shared" si="22"/>
        <v>Hamilton</v>
      </c>
      <c r="C731" s="30">
        <v>274569</v>
      </c>
      <c r="D731" s="30">
        <v>274557</v>
      </c>
      <c r="E731" s="30">
        <v>276493</v>
      </c>
      <c r="F731" s="30">
        <v>283368</v>
      </c>
      <c r="G731" s="30">
        <v>289747</v>
      </c>
      <c r="H731" s="30">
        <v>296858</v>
      </c>
      <c r="I731" s="30">
        <v>302772</v>
      </c>
      <c r="J731" s="30">
        <v>308428</v>
      </c>
      <c r="K731" s="30">
        <v>315902</v>
      </c>
      <c r="L731" s="30">
        <v>322933</v>
      </c>
      <c r="M731" s="30">
        <v>330311</v>
      </c>
      <c r="N731" s="30">
        <v>338011</v>
      </c>
      <c r="O731" s="24" t="str">
        <f t="shared" si="23"/>
        <v>Hamilton County, Indiana</v>
      </c>
    </row>
    <row r="732" spans="1:15" x14ac:dyDescent="0.25">
      <c r="A732" s="35" t="s">
        <v>1208</v>
      </c>
      <c r="B732" s="28" t="str">
        <f t="shared" si="22"/>
        <v>Hancock</v>
      </c>
      <c r="C732" s="30">
        <v>70002</v>
      </c>
      <c r="D732" s="30">
        <v>70060</v>
      </c>
      <c r="E732" s="30">
        <v>70247</v>
      </c>
      <c r="F732" s="30">
        <v>70363</v>
      </c>
      <c r="G732" s="30">
        <v>70582</v>
      </c>
      <c r="H732" s="30">
        <v>70980</v>
      </c>
      <c r="I732" s="30">
        <v>71754</v>
      </c>
      <c r="J732" s="30">
        <v>72413</v>
      </c>
      <c r="K732" s="30">
        <v>73765</v>
      </c>
      <c r="L732" s="30">
        <v>74998</v>
      </c>
      <c r="M732" s="30">
        <v>76478</v>
      </c>
      <c r="N732" s="30">
        <v>78168</v>
      </c>
      <c r="O732" s="24" t="str">
        <f t="shared" si="23"/>
        <v>Hancock County, Indiana</v>
      </c>
    </row>
    <row r="733" spans="1:15" x14ac:dyDescent="0.25">
      <c r="A733" s="35" t="s">
        <v>1209</v>
      </c>
      <c r="B733" s="28" t="str">
        <f t="shared" si="22"/>
        <v>Harrison</v>
      </c>
      <c r="C733" s="30">
        <v>39364</v>
      </c>
      <c r="D733" s="30">
        <v>39366</v>
      </c>
      <c r="E733" s="30">
        <v>39330</v>
      </c>
      <c r="F733" s="30">
        <v>39188</v>
      </c>
      <c r="G733" s="30">
        <v>39011</v>
      </c>
      <c r="H733" s="30">
        <v>39000</v>
      </c>
      <c r="I733" s="30">
        <v>39173</v>
      </c>
      <c r="J733" s="30">
        <v>39532</v>
      </c>
      <c r="K733" s="30">
        <v>39661</v>
      </c>
      <c r="L733" s="30">
        <v>39777</v>
      </c>
      <c r="M733" s="30">
        <v>40214</v>
      </c>
      <c r="N733" s="30">
        <v>40515</v>
      </c>
      <c r="O733" s="24" t="str">
        <f t="shared" si="23"/>
        <v>Harrison County, Indiana</v>
      </c>
    </row>
    <row r="734" spans="1:15" x14ac:dyDescent="0.25">
      <c r="A734" s="35" t="s">
        <v>1210</v>
      </c>
      <c r="B734" s="28" t="str">
        <f t="shared" si="22"/>
        <v>Hendricks</v>
      </c>
      <c r="C734" s="30">
        <v>145448</v>
      </c>
      <c r="D734" s="30">
        <v>145456</v>
      </c>
      <c r="E734" s="30">
        <v>145954</v>
      </c>
      <c r="F734" s="30">
        <v>148664</v>
      </c>
      <c r="G734" s="30">
        <v>150735</v>
      </c>
      <c r="H734" s="30">
        <v>153555</v>
      </c>
      <c r="I734" s="30">
        <v>155845</v>
      </c>
      <c r="J734" s="30">
        <v>157776</v>
      </c>
      <c r="K734" s="30">
        <v>160376</v>
      </c>
      <c r="L734" s="30">
        <v>163622</v>
      </c>
      <c r="M734" s="30">
        <v>166908</v>
      </c>
      <c r="N734" s="30">
        <v>170311</v>
      </c>
      <c r="O734" s="24" t="str">
        <f t="shared" si="23"/>
        <v>Hendricks County, Indiana</v>
      </c>
    </row>
    <row r="735" spans="1:15" x14ac:dyDescent="0.25">
      <c r="A735" s="35" t="s">
        <v>1211</v>
      </c>
      <c r="B735" s="28" t="str">
        <f t="shared" si="22"/>
        <v>Henry</v>
      </c>
      <c r="C735" s="30">
        <v>49462</v>
      </c>
      <c r="D735" s="30">
        <v>49466</v>
      </c>
      <c r="E735" s="30">
        <v>49530</v>
      </c>
      <c r="F735" s="30">
        <v>49216</v>
      </c>
      <c r="G735" s="30">
        <v>49112</v>
      </c>
      <c r="H735" s="30">
        <v>48843</v>
      </c>
      <c r="I735" s="30">
        <v>48886</v>
      </c>
      <c r="J735" s="30">
        <v>48655</v>
      </c>
      <c r="K735" s="30">
        <v>48345</v>
      </c>
      <c r="L735" s="30">
        <v>48170</v>
      </c>
      <c r="M735" s="30">
        <v>48131</v>
      </c>
      <c r="N735" s="30">
        <v>47972</v>
      </c>
      <c r="O735" s="24" t="str">
        <f t="shared" si="23"/>
        <v>Henry County, Indiana</v>
      </c>
    </row>
    <row r="736" spans="1:15" x14ac:dyDescent="0.25">
      <c r="A736" s="35" t="s">
        <v>1212</v>
      </c>
      <c r="B736" s="28" t="str">
        <f t="shared" si="22"/>
        <v>Howard</v>
      </c>
      <c r="C736" s="30">
        <v>82752</v>
      </c>
      <c r="D736" s="30">
        <v>82748</v>
      </c>
      <c r="E736" s="30">
        <v>82752</v>
      </c>
      <c r="F736" s="30">
        <v>82797</v>
      </c>
      <c r="G736" s="30">
        <v>82839</v>
      </c>
      <c r="H736" s="30">
        <v>82738</v>
      </c>
      <c r="I736" s="30">
        <v>82605</v>
      </c>
      <c r="J736" s="30">
        <v>82338</v>
      </c>
      <c r="K736" s="30">
        <v>82304</v>
      </c>
      <c r="L736" s="30">
        <v>82210</v>
      </c>
      <c r="M736" s="30">
        <v>82257</v>
      </c>
      <c r="N736" s="30">
        <v>82544</v>
      </c>
      <c r="O736" s="24" t="str">
        <f t="shared" si="23"/>
        <v>Howard County, Indiana</v>
      </c>
    </row>
    <row r="737" spans="1:15" x14ac:dyDescent="0.25">
      <c r="A737" s="35" t="s">
        <v>1213</v>
      </c>
      <c r="B737" s="28" t="str">
        <f t="shared" si="22"/>
        <v>Huntington</v>
      </c>
      <c r="C737" s="30">
        <v>37124</v>
      </c>
      <c r="D737" s="30">
        <v>37123</v>
      </c>
      <c r="E737" s="30">
        <v>37117</v>
      </c>
      <c r="F737" s="30">
        <v>37167</v>
      </c>
      <c r="G737" s="30">
        <v>36979</v>
      </c>
      <c r="H737" s="30">
        <v>36777</v>
      </c>
      <c r="I737" s="30">
        <v>36609</v>
      </c>
      <c r="J737" s="30">
        <v>36518</v>
      </c>
      <c r="K737" s="30">
        <v>36294</v>
      </c>
      <c r="L737" s="30">
        <v>36222</v>
      </c>
      <c r="M737" s="30">
        <v>36243</v>
      </c>
      <c r="N737" s="30">
        <v>36520</v>
      </c>
      <c r="O737" s="24" t="str">
        <f t="shared" si="23"/>
        <v>Huntington County, Indiana</v>
      </c>
    </row>
    <row r="738" spans="1:15" x14ac:dyDescent="0.25">
      <c r="A738" s="35" t="s">
        <v>1214</v>
      </c>
      <c r="B738" s="28" t="str">
        <f t="shared" si="22"/>
        <v>Jackson</v>
      </c>
      <c r="C738" s="30">
        <v>42376</v>
      </c>
      <c r="D738" s="30">
        <v>42376</v>
      </c>
      <c r="E738" s="30">
        <v>42586</v>
      </c>
      <c r="F738" s="30">
        <v>42917</v>
      </c>
      <c r="G738" s="30">
        <v>42986</v>
      </c>
      <c r="H738" s="30">
        <v>43437</v>
      </c>
      <c r="I738" s="30">
        <v>43703</v>
      </c>
      <c r="J738" s="30">
        <v>43875</v>
      </c>
      <c r="K738" s="30">
        <v>43997</v>
      </c>
      <c r="L738" s="30">
        <v>43955</v>
      </c>
      <c r="M738" s="30">
        <v>44068</v>
      </c>
      <c r="N738" s="30">
        <v>44231</v>
      </c>
      <c r="O738" s="24" t="str">
        <f t="shared" si="23"/>
        <v>Jackson County, Indiana</v>
      </c>
    </row>
    <row r="739" spans="1:15" x14ac:dyDescent="0.25">
      <c r="A739" s="35" t="s">
        <v>1215</v>
      </c>
      <c r="B739" s="28" t="str">
        <f t="shared" si="22"/>
        <v>Jasper</v>
      </c>
      <c r="C739" s="30">
        <v>33478</v>
      </c>
      <c r="D739" s="30">
        <v>33481</v>
      </c>
      <c r="E739" s="30">
        <v>33496</v>
      </c>
      <c r="F739" s="30">
        <v>33427</v>
      </c>
      <c r="G739" s="30">
        <v>33492</v>
      </c>
      <c r="H739" s="30">
        <v>33423</v>
      </c>
      <c r="I739" s="30">
        <v>33512</v>
      </c>
      <c r="J739" s="30">
        <v>33478</v>
      </c>
      <c r="K739" s="30">
        <v>33405</v>
      </c>
      <c r="L739" s="30">
        <v>33424</v>
      </c>
      <c r="M739" s="30">
        <v>33365</v>
      </c>
      <c r="N739" s="30">
        <v>33562</v>
      </c>
      <c r="O739" s="24" t="str">
        <f t="shared" si="23"/>
        <v>Jasper County, Indiana</v>
      </c>
    </row>
    <row r="740" spans="1:15" x14ac:dyDescent="0.25">
      <c r="A740" s="35" t="s">
        <v>1216</v>
      </c>
      <c r="B740" s="28" t="str">
        <f t="shared" si="22"/>
        <v>Jay</v>
      </c>
      <c r="C740" s="30">
        <v>21253</v>
      </c>
      <c r="D740" s="30">
        <v>21253</v>
      </c>
      <c r="E740" s="30">
        <v>21179</v>
      </c>
      <c r="F740" s="30">
        <v>21335</v>
      </c>
      <c r="G740" s="30">
        <v>21348</v>
      </c>
      <c r="H740" s="30">
        <v>21270</v>
      </c>
      <c r="I740" s="30">
        <v>21139</v>
      </c>
      <c r="J740" s="30">
        <v>21137</v>
      </c>
      <c r="K740" s="30">
        <v>21017</v>
      </c>
      <c r="L740" s="30">
        <v>20883</v>
      </c>
      <c r="M740" s="30">
        <v>20727</v>
      </c>
      <c r="N740" s="30">
        <v>20436</v>
      </c>
      <c r="O740" s="24" t="str">
        <f t="shared" si="23"/>
        <v>Jay County, Indiana</v>
      </c>
    </row>
    <row r="741" spans="1:15" x14ac:dyDescent="0.25">
      <c r="A741" s="35" t="s">
        <v>1217</v>
      </c>
      <c r="B741" s="28" t="str">
        <f t="shared" si="22"/>
        <v>Jefferson</v>
      </c>
      <c r="C741" s="30">
        <v>32428</v>
      </c>
      <c r="D741" s="30">
        <v>32400</v>
      </c>
      <c r="E741" s="30">
        <v>32395</v>
      </c>
      <c r="F741" s="30">
        <v>32272</v>
      </c>
      <c r="G741" s="30">
        <v>32436</v>
      </c>
      <c r="H741" s="30">
        <v>32390</v>
      </c>
      <c r="I741" s="30">
        <v>32402</v>
      </c>
      <c r="J741" s="30">
        <v>32297</v>
      </c>
      <c r="K741" s="30">
        <v>32230</v>
      </c>
      <c r="L741" s="30">
        <v>32013</v>
      </c>
      <c r="M741" s="30">
        <v>32157</v>
      </c>
      <c r="N741" s="30">
        <v>32308</v>
      </c>
      <c r="O741" s="24" t="str">
        <f t="shared" si="23"/>
        <v>Jefferson County, Indiana</v>
      </c>
    </row>
    <row r="742" spans="1:15" x14ac:dyDescent="0.25">
      <c r="A742" s="35" t="s">
        <v>1218</v>
      </c>
      <c r="B742" s="28" t="str">
        <f t="shared" si="22"/>
        <v>Jennings</v>
      </c>
      <c r="C742" s="30">
        <v>28525</v>
      </c>
      <c r="D742" s="30">
        <v>28529</v>
      </c>
      <c r="E742" s="30">
        <v>28481</v>
      </c>
      <c r="F742" s="30">
        <v>28155</v>
      </c>
      <c r="G742" s="30">
        <v>28145</v>
      </c>
      <c r="H742" s="30">
        <v>28227</v>
      </c>
      <c r="I742" s="30">
        <v>27916</v>
      </c>
      <c r="J742" s="30">
        <v>27834</v>
      </c>
      <c r="K742" s="30">
        <v>27648</v>
      </c>
      <c r="L742" s="30">
        <v>27652</v>
      </c>
      <c r="M742" s="30">
        <v>27679</v>
      </c>
      <c r="N742" s="30">
        <v>27735</v>
      </c>
      <c r="O742" s="24" t="str">
        <f t="shared" si="23"/>
        <v>Jennings County, Indiana</v>
      </c>
    </row>
    <row r="743" spans="1:15" x14ac:dyDescent="0.25">
      <c r="A743" s="35" t="s">
        <v>1219</v>
      </c>
      <c r="B743" s="28" t="str">
        <f t="shared" si="22"/>
        <v>Johnson</v>
      </c>
      <c r="C743" s="30">
        <v>139654</v>
      </c>
      <c r="D743" s="30">
        <v>139855</v>
      </c>
      <c r="E743" s="30">
        <v>140269</v>
      </c>
      <c r="F743" s="30">
        <v>141734</v>
      </c>
      <c r="G743" s="30">
        <v>143475</v>
      </c>
      <c r="H743" s="30">
        <v>145410</v>
      </c>
      <c r="I743" s="30">
        <v>147085</v>
      </c>
      <c r="J743" s="30">
        <v>148962</v>
      </c>
      <c r="K743" s="30">
        <v>151540</v>
      </c>
      <c r="L743" s="30">
        <v>153820</v>
      </c>
      <c r="M743" s="30">
        <v>156093</v>
      </c>
      <c r="N743" s="30">
        <v>158167</v>
      </c>
      <c r="O743" s="24" t="str">
        <f t="shared" si="23"/>
        <v>Johnson County, Indiana</v>
      </c>
    </row>
    <row r="744" spans="1:15" x14ac:dyDescent="0.25">
      <c r="A744" s="35" t="s">
        <v>1220</v>
      </c>
      <c r="B744" s="28" t="str">
        <f t="shared" si="22"/>
        <v>Knox</v>
      </c>
      <c r="C744" s="30">
        <v>38440</v>
      </c>
      <c r="D744" s="30">
        <v>38440</v>
      </c>
      <c r="E744" s="30">
        <v>38391</v>
      </c>
      <c r="F744" s="30">
        <v>38473</v>
      </c>
      <c r="G744" s="30">
        <v>37974</v>
      </c>
      <c r="H744" s="30">
        <v>38055</v>
      </c>
      <c r="I744" s="30">
        <v>37961</v>
      </c>
      <c r="J744" s="30">
        <v>37760</v>
      </c>
      <c r="K744" s="30">
        <v>37333</v>
      </c>
      <c r="L744" s="30">
        <v>37044</v>
      </c>
      <c r="M744" s="30">
        <v>36596</v>
      </c>
      <c r="N744" s="30">
        <v>36594</v>
      </c>
      <c r="O744" s="24" t="str">
        <f t="shared" si="23"/>
        <v>Knox County, Indiana</v>
      </c>
    </row>
    <row r="745" spans="1:15" x14ac:dyDescent="0.25">
      <c r="A745" s="35" t="s">
        <v>1221</v>
      </c>
      <c r="B745" s="28" t="str">
        <f t="shared" si="22"/>
        <v>Kosciusko</v>
      </c>
      <c r="C745" s="30">
        <v>77358</v>
      </c>
      <c r="D745" s="30">
        <v>77355</v>
      </c>
      <c r="E745" s="30">
        <v>77340</v>
      </c>
      <c r="F745" s="30">
        <v>77353</v>
      </c>
      <c r="G745" s="30">
        <v>77603</v>
      </c>
      <c r="H745" s="30">
        <v>77865</v>
      </c>
      <c r="I745" s="30">
        <v>78371</v>
      </c>
      <c r="J745" s="30">
        <v>78547</v>
      </c>
      <c r="K745" s="30">
        <v>78732</v>
      </c>
      <c r="L745" s="30">
        <v>79026</v>
      </c>
      <c r="M745" s="30">
        <v>79416</v>
      </c>
      <c r="N745" s="30">
        <v>79456</v>
      </c>
      <c r="O745" s="24" t="str">
        <f t="shared" si="23"/>
        <v>Kosciusko County, Indiana</v>
      </c>
    </row>
    <row r="746" spans="1:15" x14ac:dyDescent="0.25">
      <c r="A746" s="35" t="s">
        <v>1222</v>
      </c>
      <c r="B746" s="28" t="str">
        <f t="shared" si="22"/>
        <v>LaGrange</v>
      </c>
      <c r="C746" s="30">
        <v>37128</v>
      </c>
      <c r="D746" s="30">
        <v>37131</v>
      </c>
      <c r="E746" s="30">
        <v>37159</v>
      </c>
      <c r="F746" s="30">
        <v>37469</v>
      </c>
      <c r="G746" s="30">
        <v>37662</v>
      </c>
      <c r="H746" s="30">
        <v>38089</v>
      </c>
      <c r="I746" s="30">
        <v>38435</v>
      </c>
      <c r="J746" s="30">
        <v>38616</v>
      </c>
      <c r="K746" s="30">
        <v>39113</v>
      </c>
      <c r="L746" s="30">
        <v>39248</v>
      </c>
      <c r="M746" s="30">
        <v>39375</v>
      </c>
      <c r="N746" s="30">
        <v>39614</v>
      </c>
      <c r="O746" s="24" t="str">
        <f t="shared" si="23"/>
        <v>LaGrange County, Indiana</v>
      </c>
    </row>
    <row r="747" spans="1:15" x14ac:dyDescent="0.25">
      <c r="A747" s="35" t="s">
        <v>1223</v>
      </c>
      <c r="B747" s="28" t="str">
        <f t="shared" si="22"/>
        <v>Lake</v>
      </c>
      <c r="C747" s="30">
        <v>496005</v>
      </c>
      <c r="D747" s="30">
        <v>496108</v>
      </c>
      <c r="E747" s="30">
        <v>495947</v>
      </c>
      <c r="F747" s="30">
        <v>494954</v>
      </c>
      <c r="G747" s="30">
        <v>493390</v>
      </c>
      <c r="H747" s="30">
        <v>491732</v>
      </c>
      <c r="I747" s="30">
        <v>491027</v>
      </c>
      <c r="J747" s="30">
        <v>487908</v>
      </c>
      <c r="K747" s="30">
        <v>486092</v>
      </c>
      <c r="L747" s="30">
        <v>484601</v>
      </c>
      <c r="M747" s="30">
        <v>484440</v>
      </c>
      <c r="N747" s="30">
        <v>485493</v>
      </c>
      <c r="O747" s="24" t="str">
        <f t="shared" si="23"/>
        <v>Lake County, Indiana</v>
      </c>
    </row>
    <row r="748" spans="1:15" x14ac:dyDescent="0.25">
      <c r="A748" s="35" t="s">
        <v>1224</v>
      </c>
      <c r="B748" s="28" t="str">
        <f t="shared" si="22"/>
        <v>LaPorte</v>
      </c>
      <c r="C748" s="30">
        <v>111467</v>
      </c>
      <c r="D748" s="30">
        <v>111466</v>
      </c>
      <c r="E748" s="30">
        <v>111459</v>
      </c>
      <c r="F748" s="30">
        <v>111317</v>
      </c>
      <c r="G748" s="30">
        <v>111304</v>
      </c>
      <c r="H748" s="30">
        <v>111423</v>
      </c>
      <c r="I748" s="30">
        <v>111735</v>
      </c>
      <c r="J748" s="30">
        <v>110835</v>
      </c>
      <c r="K748" s="30">
        <v>110222</v>
      </c>
      <c r="L748" s="30">
        <v>109842</v>
      </c>
      <c r="M748" s="30">
        <v>109981</v>
      </c>
      <c r="N748" s="30">
        <v>109888</v>
      </c>
      <c r="O748" s="24" t="str">
        <f t="shared" si="23"/>
        <v>LaPorte County, Indiana</v>
      </c>
    </row>
    <row r="749" spans="1:15" x14ac:dyDescent="0.25">
      <c r="A749" s="35" t="s">
        <v>1225</v>
      </c>
      <c r="B749" s="28" t="str">
        <f t="shared" si="22"/>
        <v>Lawrence</v>
      </c>
      <c r="C749" s="30">
        <v>46134</v>
      </c>
      <c r="D749" s="30">
        <v>46129</v>
      </c>
      <c r="E749" s="30">
        <v>46102</v>
      </c>
      <c r="F749" s="30">
        <v>46141</v>
      </c>
      <c r="G749" s="30">
        <v>46116</v>
      </c>
      <c r="H749" s="30">
        <v>45896</v>
      </c>
      <c r="I749" s="30">
        <v>45651</v>
      </c>
      <c r="J749" s="30">
        <v>45568</v>
      </c>
      <c r="K749" s="30">
        <v>45578</v>
      </c>
      <c r="L749" s="30">
        <v>45592</v>
      </c>
      <c r="M749" s="30">
        <v>45630</v>
      </c>
      <c r="N749" s="30">
        <v>45370</v>
      </c>
      <c r="O749" s="24" t="str">
        <f t="shared" si="23"/>
        <v>Lawrence County, Indiana</v>
      </c>
    </row>
    <row r="750" spans="1:15" x14ac:dyDescent="0.25">
      <c r="A750" s="35" t="s">
        <v>1226</v>
      </c>
      <c r="B750" s="28" t="str">
        <f t="shared" si="22"/>
        <v>Madison</v>
      </c>
      <c r="C750" s="30">
        <v>131636</v>
      </c>
      <c r="D750" s="30">
        <v>131637</v>
      </c>
      <c r="E750" s="30">
        <v>131619</v>
      </c>
      <c r="F750" s="30">
        <v>131002</v>
      </c>
      <c r="G750" s="30">
        <v>130197</v>
      </c>
      <c r="H750" s="30">
        <v>130303</v>
      </c>
      <c r="I750" s="30">
        <v>129736</v>
      </c>
      <c r="J750" s="30">
        <v>129388</v>
      </c>
      <c r="K750" s="30">
        <v>129329</v>
      </c>
      <c r="L750" s="30">
        <v>129418</v>
      </c>
      <c r="M750" s="30">
        <v>129573</v>
      </c>
      <c r="N750" s="30">
        <v>129569</v>
      </c>
      <c r="O750" s="24" t="str">
        <f t="shared" si="23"/>
        <v>Madison County, Indiana</v>
      </c>
    </row>
    <row r="751" spans="1:15" x14ac:dyDescent="0.25">
      <c r="A751" s="35" t="s">
        <v>1227</v>
      </c>
      <c r="B751" s="28" t="str">
        <f t="shared" si="22"/>
        <v>Marion</v>
      </c>
      <c r="C751" s="30">
        <v>903393</v>
      </c>
      <c r="D751" s="30">
        <v>903375</v>
      </c>
      <c r="E751" s="30">
        <v>904591</v>
      </c>
      <c r="F751" s="30">
        <v>911217</v>
      </c>
      <c r="G751" s="30">
        <v>919786</v>
      </c>
      <c r="H751" s="30">
        <v>929922</v>
      </c>
      <c r="I751" s="30">
        <v>935935</v>
      </c>
      <c r="J751" s="30">
        <v>939843</v>
      </c>
      <c r="K751" s="30">
        <v>945685</v>
      </c>
      <c r="L751" s="30">
        <v>950537</v>
      </c>
      <c r="M751" s="30">
        <v>958700</v>
      </c>
      <c r="N751" s="30">
        <v>964582</v>
      </c>
      <c r="O751" s="24" t="str">
        <f t="shared" si="23"/>
        <v>Marion County, Indiana</v>
      </c>
    </row>
    <row r="752" spans="1:15" x14ac:dyDescent="0.25">
      <c r="A752" s="35" t="s">
        <v>1228</v>
      </c>
      <c r="B752" s="28" t="str">
        <f t="shared" si="22"/>
        <v>Marshall</v>
      </c>
      <c r="C752" s="30">
        <v>47051</v>
      </c>
      <c r="D752" s="30">
        <v>47050</v>
      </c>
      <c r="E752" s="30">
        <v>47000</v>
      </c>
      <c r="F752" s="30">
        <v>46938</v>
      </c>
      <c r="G752" s="30">
        <v>46942</v>
      </c>
      <c r="H752" s="30">
        <v>46910</v>
      </c>
      <c r="I752" s="30">
        <v>46920</v>
      </c>
      <c r="J752" s="30">
        <v>46733</v>
      </c>
      <c r="K752" s="30">
        <v>46586</v>
      </c>
      <c r="L752" s="30">
        <v>46433</v>
      </c>
      <c r="M752" s="30">
        <v>46296</v>
      </c>
      <c r="N752" s="30">
        <v>46258</v>
      </c>
      <c r="O752" s="24" t="str">
        <f t="shared" si="23"/>
        <v>Marshall County, Indiana</v>
      </c>
    </row>
    <row r="753" spans="1:15" x14ac:dyDescent="0.25">
      <c r="A753" s="35" t="s">
        <v>1229</v>
      </c>
      <c r="B753" s="28" t="str">
        <f t="shared" si="22"/>
        <v>Martin</v>
      </c>
      <c r="C753" s="30">
        <v>10334</v>
      </c>
      <c r="D753" s="30">
        <v>10380</v>
      </c>
      <c r="E753" s="30">
        <v>10359</v>
      </c>
      <c r="F753" s="30">
        <v>10336</v>
      </c>
      <c r="G753" s="30">
        <v>10317</v>
      </c>
      <c r="H753" s="30">
        <v>10233</v>
      </c>
      <c r="I753" s="30">
        <v>10238</v>
      </c>
      <c r="J753" s="30">
        <v>10216</v>
      </c>
      <c r="K753" s="30">
        <v>10190</v>
      </c>
      <c r="L753" s="30">
        <v>10181</v>
      </c>
      <c r="M753" s="30">
        <v>10219</v>
      </c>
      <c r="N753" s="30">
        <v>10255</v>
      </c>
      <c r="O753" s="24" t="str">
        <f t="shared" si="23"/>
        <v>Martin County, Indiana</v>
      </c>
    </row>
    <row r="754" spans="1:15" x14ac:dyDescent="0.25">
      <c r="A754" s="35" t="s">
        <v>1230</v>
      </c>
      <c r="B754" s="28" t="str">
        <f t="shared" si="22"/>
        <v>Miami</v>
      </c>
      <c r="C754" s="30">
        <v>36903</v>
      </c>
      <c r="D754" s="30">
        <v>36905</v>
      </c>
      <c r="E754" s="30">
        <v>36810</v>
      </c>
      <c r="F754" s="30">
        <v>36649</v>
      </c>
      <c r="G754" s="30">
        <v>36529</v>
      </c>
      <c r="H754" s="30">
        <v>36167</v>
      </c>
      <c r="I754" s="30">
        <v>36070</v>
      </c>
      <c r="J754" s="30">
        <v>36004</v>
      </c>
      <c r="K754" s="30">
        <v>36043</v>
      </c>
      <c r="L754" s="30">
        <v>35864</v>
      </c>
      <c r="M754" s="30">
        <v>35646</v>
      </c>
      <c r="N754" s="30">
        <v>35516</v>
      </c>
      <c r="O754" s="24" t="str">
        <f t="shared" si="23"/>
        <v>Miami County, Indiana</v>
      </c>
    </row>
    <row r="755" spans="1:15" x14ac:dyDescent="0.25">
      <c r="A755" s="35" t="s">
        <v>1231</v>
      </c>
      <c r="B755" s="28" t="str">
        <f t="shared" si="22"/>
        <v>Monroe</v>
      </c>
      <c r="C755" s="30">
        <v>137974</v>
      </c>
      <c r="D755" s="30">
        <v>137962</v>
      </c>
      <c r="E755" s="30">
        <v>138566</v>
      </c>
      <c r="F755" s="30">
        <v>140233</v>
      </c>
      <c r="G755" s="30">
        <v>141484</v>
      </c>
      <c r="H755" s="30">
        <v>142068</v>
      </c>
      <c r="I755" s="30">
        <v>143403</v>
      </c>
      <c r="J755" s="30">
        <v>144247</v>
      </c>
      <c r="K755" s="30">
        <v>145757</v>
      </c>
      <c r="L755" s="30">
        <v>146638</v>
      </c>
      <c r="M755" s="30">
        <v>147230</v>
      </c>
      <c r="N755" s="30">
        <v>148431</v>
      </c>
      <c r="O755" s="24" t="str">
        <f t="shared" si="23"/>
        <v>Monroe County, Indiana</v>
      </c>
    </row>
    <row r="756" spans="1:15" x14ac:dyDescent="0.25">
      <c r="A756" s="35" t="s">
        <v>1232</v>
      </c>
      <c r="B756" s="28" t="str">
        <f t="shared" si="22"/>
        <v>Montgomery</v>
      </c>
      <c r="C756" s="30">
        <v>38124</v>
      </c>
      <c r="D756" s="30">
        <v>38121</v>
      </c>
      <c r="E756" s="30">
        <v>38098</v>
      </c>
      <c r="F756" s="30">
        <v>38338</v>
      </c>
      <c r="G756" s="30">
        <v>38177</v>
      </c>
      <c r="H756" s="30">
        <v>38137</v>
      </c>
      <c r="I756" s="30">
        <v>38150</v>
      </c>
      <c r="J756" s="30">
        <v>38243</v>
      </c>
      <c r="K756" s="30">
        <v>38238</v>
      </c>
      <c r="L756" s="30">
        <v>38343</v>
      </c>
      <c r="M756" s="30">
        <v>38274</v>
      </c>
      <c r="N756" s="30">
        <v>38338</v>
      </c>
      <c r="O756" s="24" t="str">
        <f t="shared" si="23"/>
        <v>Montgomery County, Indiana</v>
      </c>
    </row>
    <row r="757" spans="1:15" x14ac:dyDescent="0.25">
      <c r="A757" s="35" t="s">
        <v>1233</v>
      </c>
      <c r="B757" s="28" t="str">
        <f t="shared" si="22"/>
        <v>Morgan</v>
      </c>
      <c r="C757" s="30">
        <v>68894</v>
      </c>
      <c r="D757" s="30">
        <v>68926</v>
      </c>
      <c r="E757" s="30">
        <v>69138</v>
      </c>
      <c r="F757" s="30">
        <v>69233</v>
      </c>
      <c r="G757" s="30">
        <v>69177</v>
      </c>
      <c r="H757" s="30">
        <v>69344</v>
      </c>
      <c r="I757" s="30">
        <v>69495</v>
      </c>
      <c r="J757" s="30">
        <v>69559</v>
      </c>
      <c r="K757" s="30">
        <v>69633</v>
      </c>
      <c r="L757" s="30">
        <v>69793</v>
      </c>
      <c r="M757" s="30">
        <v>70137</v>
      </c>
      <c r="N757" s="30">
        <v>70489</v>
      </c>
      <c r="O757" s="24" t="str">
        <f t="shared" si="23"/>
        <v>Morgan County, Indiana</v>
      </c>
    </row>
    <row r="758" spans="1:15" x14ac:dyDescent="0.25">
      <c r="A758" s="35" t="s">
        <v>1234</v>
      </c>
      <c r="B758" s="28" t="str">
        <f t="shared" si="22"/>
        <v>Newton</v>
      </c>
      <c r="C758" s="30">
        <v>14244</v>
      </c>
      <c r="D758" s="30">
        <v>14239</v>
      </c>
      <c r="E758" s="30">
        <v>14233</v>
      </c>
      <c r="F758" s="30">
        <v>14086</v>
      </c>
      <c r="G758" s="30">
        <v>14043</v>
      </c>
      <c r="H758" s="30">
        <v>14028</v>
      </c>
      <c r="I758" s="30">
        <v>14087</v>
      </c>
      <c r="J758" s="30">
        <v>13971</v>
      </c>
      <c r="K758" s="30">
        <v>13992</v>
      </c>
      <c r="L758" s="30">
        <v>14027</v>
      </c>
      <c r="M758" s="30">
        <v>13986</v>
      </c>
      <c r="N758" s="30">
        <v>13984</v>
      </c>
      <c r="O758" s="24" t="str">
        <f t="shared" si="23"/>
        <v>Newton County, Indiana</v>
      </c>
    </row>
    <row r="759" spans="1:15" x14ac:dyDescent="0.25">
      <c r="A759" s="35" t="s">
        <v>1235</v>
      </c>
      <c r="B759" s="28" t="str">
        <f t="shared" si="22"/>
        <v>Noble</v>
      </c>
      <c r="C759" s="30">
        <v>47536</v>
      </c>
      <c r="D759" s="30">
        <v>47538</v>
      </c>
      <c r="E759" s="30">
        <v>47454</v>
      </c>
      <c r="F759" s="30">
        <v>47294</v>
      </c>
      <c r="G759" s="30">
        <v>47190</v>
      </c>
      <c r="H759" s="30">
        <v>47240</v>
      </c>
      <c r="I759" s="30">
        <v>47367</v>
      </c>
      <c r="J759" s="30">
        <v>47515</v>
      </c>
      <c r="K759" s="30">
        <v>47398</v>
      </c>
      <c r="L759" s="30">
        <v>47329</v>
      </c>
      <c r="M759" s="30">
        <v>47543</v>
      </c>
      <c r="N759" s="30">
        <v>47744</v>
      </c>
      <c r="O759" s="24" t="str">
        <f t="shared" si="23"/>
        <v>Noble County, Indiana</v>
      </c>
    </row>
    <row r="760" spans="1:15" x14ac:dyDescent="0.25">
      <c r="A760" s="35" t="s">
        <v>1236</v>
      </c>
      <c r="B760" s="28" t="str">
        <f t="shared" si="22"/>
        <v>Ohio</v>
      </c>
      <c r="C760" s="30">
        <v>6128</v>
      </c>
      <c r="D760" s="30">
        <v>6098</v>
      </c>
      <c r="E760" s="30">
        <v>6086</v>
      </c>
      <c r="F760" s="30">
        <v>6052</v>
      </c>
      <c r="G760" s="30">
        <v>6055</v>
      </c>
      <c r="H760" s="30">
        <v>5986</v>
      </c>
      <c r="I760" s="30">
        <v>5957</v>
      </c>
      <c r="J760" s="30">
        <v>5877</v>
      </c>
      <c r="K760" s="30">
        <v>5885</v>
      </c>
      <c r="L760" s="30">
        <v>5854</v>
      </c>
      <c r="M760" s="30">
        <v>5879</v>
      </c>
      <c r="N760" s="30">
        <v>5875</v>
      </c>
      <c r="O760" s="24" t="str">
        <f t="shared" si="23"/>
        <v>Ohio County, Indiana</v>
      </c>
    </row>
    <row r="761" spans="1:15" x14ac:dyDescent="0.25">
      <c r="A761" s="35" t="s">
        <v>1237</v>
      </c>
      <c r="B761" s="28" t="str">
        <f t="shared" si="22"/>
        <v>Orange</v>
      </c>
      <c r="C761" s="30">
        <v>19840</v>
      </c>
      <c r="D761" s="30">
        <v>19846</v>
      </c>
      <c r="E761" s="30">
        <v>19814</v>
      </c>
      <c r="F761" s="30">
        <v>19945</v>
      </c>
      <c r="G761" s="30">
        <v>19747</v>
      </c>
      <c r="H761" s="30">
        <v>19835</v>
      </c>
      <c r="I761" s="30">
        <v>19771</v>
      </c>
      <c r="J761" s="30">
        <v>19634</v>
      </c>
      <c r="K761" s="30">
        <v>19473</v>
      </c>
      <c r="L761" s="30">
        <v>19423</v>
      </c>
      <c r="M761" s="30">
        <v>19548</v>
      </c>
      <c r="N761" s="30">
        <v>19646</v>
      </c>
      <c r="O761" s="24" t="str">
        <f t="shared" si="23"/>
        <v>Orange County, Indiana</v>
      </c>
    </row>
    <row r="762" spans="1:15" x14ac:dyDescent="0.25">
      <c r="A762" s="35" t="s">
        <v>1238</v>
      </c>
      <c r="B762" s="28" t="str">
        <f t="shared" si="22"/>
        <v>Owen</v>
      </c>
      <c r="C762" s="30">
        <v>21575</v>
      </c>
      <c r="D762" s="30">
        <v>21573</v>
      </c>
      <c r="E762" s="30">
        <v>21566</v>
      </c>
      <c r="F762" s="30">
        <v>21489</v>
      </c>
      <c r="G762" s="30">
        <v>21368</v>
      </c>
      <c r="H762" s="30">
        <v>21153</v>
      </c>
      <c r="I762" s="30">
        <v>21019</v>
      </c>
      <c r="J762" s="30">
        <v>20826</v>
      </c>
      <c r="K762" s="30">
        <v>20898</v>
      </c>
      <c r="L762" s="30">
        <v>20791</v>
      </c>
      <c r="M762" s="30">
        <v>20862</v>
      </c>
      <c r="N762" s="30">
        <v>20799</v>
      </c>
      <c r="O762" s="24" t="str">
        <f t="shared" si="23"/>
        <v>Owen County, Indiana</v>
      </c>
    </row>
    <row r="763" spans="1:15" x14ac:dyDescent="0.25">
      <c r="A763" s="35" t="s">
        <v>1239</v>
      </c>
      <c r="B763" s="28" t="str">
        <f t="shared" si="22"/>
        <v>Parke</v>
      </c>
      <c r="C763" s="30">
        <v>17339</v>
      </c>
      <c r="D763" s="30">
        <v>17349</v>
      </c>
      <c r="E763" s="30">
        <v>17275</v>
      </c>
      <c r="F763" s="30">
        <v>17084</v>
      </c>
      <c r="G763" s="30">
        <v>17118</v>
      </c>
      <c r="H763" s="30">
        <v>17237</v>
      </c>
      <c r="I763" s="30">
        <v>17236</v>
      </c>
      <c r="J763" s="30">
        <v>16970</v>
      </c>
      <c r="K763" s="30">
        <v>16938</v>
      </c>
      <c r="L763" s="30">
        <v>16907</v>
      </c>
      <c r="M763" s="30">
        <v>16978</v>
      </c>
      <c r="N763" s="30">
        <v>16937</v>
      </c>
      <c r="O763" s="24" t="str">
        <f t="shared" si="23"/>
        <v>Parke County, Indiana</v>
      </c>
    </row>
    <row r="764" spans="1:15" x14ac:dyDescent="0.25">
      <c r="A764" s="35" t="s">
        <v>1240</v>
      </c>
      <c r="B764" s="28" t="str">
        <f t="shared" si="22"/>
        <v>Perry</v>
      </c>
      <c r="C764" s="30">
        <v>19338</v>
      </c>
      <c r="D764" s="30">
        <v>19338</v>
      </c>
      <c r="E764" s="30">
        <v>19409</v>
      </c>
      <c r="F764" s="30">
        <v>19423</v>
      </c>
      <c r="G764" s="30">
        <v>19371</v>
      </c>
      <c r="H764" s="30">
        <v>19417</v>
      </c>
      <c r="I764" s="30">
        <v>19334</v>
      </c>
      <c r="J764" s="30">
        <v>19310</v>
      </c>
      <c r="K764" s="30">
        <v>18978</v>
      </c>
      <c r="L764" s="30">
        <v>18978</v>
      </c>
      <c r="M764" s="30">
        <v>19077</v>
      </c>
      <c r="N764" s="30">
        <v>19169</v>
      </c>
      <c r="O764" s="24" t="str">
        <f t="shared" si="23"/>
        <v>Perry County, Indiana</v>
      </c>
    </row>
    <row r="765" spans="1:15" x14ac:dyDescent="0.25">
      <c r="A765" s="35" t="s">
        <v>1241</v>
      </c>
      <c r="B765" s="28" t="str">
        <f t="shared" si="22"/>
        <v>Pike</v>
      </c>
      <c r="C765" s="30">
        <v>12845</v>
      </c>
      <c r="D765" s="30">
        <v>12700</v>
      </c>
      <c r="E765" s="30">
        <v>12720</v>
      </c>
      <c r="F765" s="30">
        <v>12596</v>
      </c>
      <c r="G765" s="30">
        <v>12618</v>
      </c>
      <c r="H765" s="30">
        <v>12495</v>
      </c>
      <c r="I765" s="30">
        <v>12490</v>
      </c>
      <c r="J765" s="30">
        <v>12407</v>
      </c>
      <c r="K765" s="30">
        <v>12391</v>
      </c>
      <c r="L765" s="30">
        <v>12315</v>
      </c>
      <c r="M765" s="30">
        <v>12388</v>
      </c>
      <c r="N765" s="30">
        <v>12389</v>
      </c>
      <c r="O765" s="24" t="str">
        <f t="shared" si="23"/>
        <v>Pike County, Indiana</v>
      </c>
    </row>
    <row r="766" spans="1:15" x14ac:dyDescent="0.25">
      <c r="A766" s="35" t="s">
        <v>1242</v>
      </c>
      <c r="B766" s="28" t="str">
        <f t="shared" si="22"/>
        <v>Porter</v>
      </c>
      <c r="C766" s="30">
        <v>164343</v>
      </c>
      <c r="D766" s="30">
        <v>164289</v>
      </c>
      <c r="E766" s="30">
        <v>164487</v>
      </c>
      <c r="F766" s="30">
        <v>165511</v>
      </c>
      <c r="G766" s="30">
        <v>165702</v>
      </c>
      <c r="H766" s="30">
        <v>166478</v>
      </c>
      <c r="I766" s="30">
        <v>167166</v>
      </c>
      <c r="J766" s="30">
        <v>167334</v>
      </c>
      <c r="K766" s="30">
        <v>167475</v>
      </c>
      <c r="L766" s="30">
        <v>168495</v>
      </c>
      <c r="M766" s="30">
        <v>169488</v>
      </c>
      <c r="N766" s="30">
        <v>170389</v>
      </c>
      <c r="O766" s="24" t="str">
        <f t="shared" si="23"/>
        <v>Porter County, Indiana</v>
      </c>
    </row>
    <row r="767" spans="1:15" x14ac:dyDescent="0.25">
      <c r="A767" s="35" t="s">
        <v>1243</v>
      </c>
      <c r="B767" s="28" t="str">
        <f t="shared" si="22"/>
        <v>Posey</v>
      </c>
      <c r="C767" s="30">
        <v>25910</v>
      </c>
      <c r="D767" s="30">
        <v>25912</v>
      </c>
      <c r="E767" s="30">
        <v>25861</v>
      </c>
      <c r="F767" s="30">
        <v>25695</v>
      </c>
      <c r="G767" s="30">
        <v>25616</v>
      </c>
      <c r="H767" s="30">
        <v>25561</v>
      </c>
      <c r="I767" s="30">
        <v>25603</v>
      </c>
      <c r="J767" s="30">
        <v>25613</v>
      </c>
      <c r="K767" s="30">
        <v>25639</v>
      </c>
      <c r="L767" s="30">
        <v>25569</v>
      </c>
      <c r="M767" s="30">
        <v>25554</v>
      </c>
      <c r="N767" s="30">
        <v>25427</v>
      </c>
      <c r="O767" s="24" t="str">
        <f t="shared" si="23"/>
        <v>Posey County, Indiana</v>
      </c>
    </row>
    <row r="768" spans="1:15" x14ac:dyDescent="0.25">
      <c r="A768" s="35" t="s">
        <v>1244</v>
      </c>
      <c r="B768" s="28" t="str">
        <f t="shared" si="22"/>
        <v>Pulaski</v>
      </c>
      <c r="C768" s="30">
        <v>13402</v>
      </c>
      <c r="D768" s="30">
        <v>13382</v>
      </c>
      <c r="E768" s="30">
        <v>13323</v>
      </c>
      <c r="F768" s="30">
        <v>13229</v>
      </c>
      <c r="G768" s="30">
        <v>13009</v>
      </c>
      <c r="H768" s="30">
        <v>12939</v>
      </c>
      <c r="I768" s="30">
        <v>12916</v>
      </c>
      <c r="J768" s="30">
        <v>12804</v>
      </c>
      <c r="K768" s="30">
        <v>12618</v>
      </c>
      <c r="L768" s="30">
        <v>12529</v>
      </c>
      <c r="M768" s="30">
        <v>12492</v>
      </c>
      <c r="N768" s="30">
        <v>12353</v>
      </c>
      <c r="O768" s="24" t="str">
        <f t="shared" si="23"/>
        <v>Pulaski County, Indiana</v>
      </c>
    </row>
    <row r="769" spans="1:15" x14ac:dyDescent="0.25">
      <c r="A769" s="35" t="s">
        <v>1245</v>
      </c>
      <c r="B769" s="28" t="str">
        <f t="shared" si="22"/>
        <v>Putnam</v>
      </c>
      <c r="C769" s="30">
        <v>37963</v>
      </c>
      <c r="D769" s="30">
        <v>37945</v>
      </c>
      <c r="E769" s="30">
        <v>37909</v>
      </c>
      <c r="F769" s="30">
        <v>37867</v>
      </c>
      <c r="G769" s="30">
        <v>37640</v>
      </c>
      <c r="H769" s="30">
        <v>37494</v>
      </c>
      <c r="I769" s="30">
        <v>37451</v>
      </c>
      <c r="J769" s="30">
        <v>37382</v>
      </c>
      <c r="K769" s="30">
        <v>37113</v>
      </c>
      <c r="L769" s="30">
        <v>37363</v>
      </c>
      <c r="M769" s="30">
        <v>37486</v>
      </c>
      <c r="N769" s="30">
        <v>37576</v>
      </c>
      <c r="O769" s="24" t="str">
        <f t="shared" si="23"/>
        <v>Putnam County, Indiana</v>
      </c>
    </row>
    <row r="770" spans="1:15" x14ac:dyDescent="0.25">
      <c r="A770" s="35" t="s">
        <v>1246</v>
      </c>
      <c r="B770" s="28" t="str">
        <f t="shared" si="22"/>
        <v>Randolph</v>
      </c>
      <c r="C770" s="30">
        <v>26171</v>
      </c>
      <c r="D770" s="30">
        <v>26176</v>
      </c>
      <c r="E770" s="30">
        <v>26178</v>
      </c>
      <c r="F770" s="30">
        <v>26033</v>
      </c>
      <c r="G770" s="30">
        <v>25857</v>
      </c>
      <c r="H770" s="30">
        <v>25617</v>
      </c>
      <c r="I770" s="30">
        <v>25331</v>
      </c>
      <c r="J770" s="30">
        <v>25138</v>
      </c>
      <c r="K770" s="30">
        <v>25112</v>
      </c>
      <c r="L770" s="30">
        <v>24907</v>
      </c>
      <c r="M770" s="30">
        <v>24806</v>
      </c>
      <c r="N770" s="30">
        <v>24665</v>
      </c>
      <c r="O770" s="24" t="str">
        <f t="shared" si="23"/>
        <v>Randolph County, Indiana</v>
      </c>
    </row>
    <row r="771" spans="1:15" x14ac:dyDescent="0.25">
      <c r="A771" s="35" t="s">
        <v>1247</v>
      </c>
      <c r="B771" s="28" t="str">
        <f t="shared" si="22"/>
        <v>Ripley</v>
      </c>
      <c r="C771" s="30">
        <v>28818</v>
      </c>
      <c r="D771" s="30">
        <v>28812</v>
      </c>
      <c r="E771" s="30">
        <v>28815</v>
      </c>
      <c r="F771" s="30">
        <v>28645</v>
      </c>
      <c r="G771" s="30">
        <v>28447</v>
      </c>
      <c r="H771" s="30">
        <v>28296</v>
      </c>
      <c r="I771" s="30">
        <v>28340</v>
      </c>
      <c r="J771" s="30">
        <v>28372</v>
      </c>
      <c r="K771" s="30">
        <v>28381</v>
      </c>
      <c r="L771" s="30">
        <v>28428</v>
      </c>
      <c r="M771" s="30">
        <v>28450</v>
      </c>
      <c r="N771" s="30">
        <v>28324</v>
      </c>
      <c r="O771" s="24" t="str">
        <f t="shared" si="23"/>
        <v>Ripley County, Indiana</v>
      </c>
    </row>
    <row r="772" spans="1:15" x14ac:dyDescent="0.25">
      <c r="A772" s="35" t="s">
        <v>1248</v>
      </c>
      <c r="B772" s="28" t="str">
        <f t="shared" si="22"/>
        <v>Rush</v>
      </c>
      <c r="C772" s="30">
        <v>17392</v>
      </c>
      <c r="D772" s="30">
        <v>17392</v>
      </c>
      <c r="E772" s="30">
        <v>17384</v>
      </c>
      <c r="F772" s="30">
        <v>17285</v>
      </c>
      <c r="G772" s="30">
        <v>17108</v>
      </c>
      <c r="H772" s="30">
        <v>16996</v>
      </c>
      <c r="I772" s="30">
        <v>16845</v>
      </c>
      <c r="J772" s="30">
        <v>16708</v>
      </c>
      <c r="K772" s="30">
        <v>16639</v>
      </c>
      <c r="L772" s="30">
        <v>16643</v>
      </c>
      <c r="M772" s="30">
        <v>16635</v>
      </c>
      <c r="N772" s="30">
        <v>16581</v>
      </c>
      <c r="O772" s="24" t="str">
        <f t="shared" si="23"/>
        <v>Rush County, Indiana</v>
      </c>
    </row>
    <row r="773" spans="1:15" x14ac:dyDescent="0.25">
      <c r="A773" s="35" t="s">
        <v>1249</v>
      </c>
      <c r="B773" s="28" t="str">
        <f t="shared" si="22"/>
        <v>St Joseph</v>
      </c>
      <c r="C773" s="30">
        <v>266931</v>
      </c>
      <c r="D773" s="30">
        <v>266914</v>
      </c>
      <c r="E773" s="30">
        <v>266797</v>
      </c>
      <c r="F773" s="30">
        <v>266680</v>
      </c>
      <c r="G773" s="30">
        <v>266492</v>
      </c>
      <c r="H773" s="30">
        <v>267054</v>
      </c>
      <c r="I773" s="30">
        <v>267848</v>
      </c>
      <c r="J773" s="30">
        <v>268361</v>
      </c>
      <c r="K773" s="30">
        <v>269862</v>
      </c>
      <c r="L773" s="30">
        <v>270057</v>
      </c>
      <c r="M773" s="30">
        <v>270972</v>
      </c>
      <c r="N773" s="30">
        <v>271826</v>
      </c>
      <c r="O773" s="24" t="str">
        <f t="shared" si="23"/>
        <v>St Joseph County, Indiana</v>
      </c>
    </row>
    <row r="774" spans="1:15" x14ac:dyDescent="0.25">
      <c r="A774" s="35" t="s">
        <v>1250</v>
      </c>
      <c r="B774" s="28" t="str">
        <f t="shared" si="22"/>
        <v>Scott</v>
      </c>
      <c r="C774" s="30">
        <v>24181</v>
      </c>
      <c r="D774" s="30">
        <v>24195</v>
      </c>
      <c r="E774" s="30">
        <v>24171</v>
      </c>
      <c r="F774" s="30">
        <v>23907</v>
      </c>
      <c r="G774" s="30">
        <v>23723</v>
      </c>
      <c r="H774" s="30">
        <v>23755</v>
      </c>
      <c r="I774" s="30">
        <v>23636</v>
      </c>
      <c r="J774" s="30">
        <v>23660</v>
      </c>
      <c r="K774" s="30">
        <v>23687</v>
      </c>
      <c r="L774" s="30">
        <v>23793</v>
      </c>
      <c r="M774" s="30">
        <v>23784</v>
      </c>
      <c r="N774" s="30">
        <v>23873</v>
      </c>
      <c r="O774" s="24" t="str">
        <f t="shared" si="23"/>
        <v>Scott County, Indiana</v>
      </c>
    </row>
    <row r="775" spans="1:15" x14ac:dyDescent="0.25">
      <c r="A775" s="35" t="s">
        <v>1251</v>
      </c>
      <c r="B775" s="28" t="str">
        <f t="shared" ref="B775:B838" si="24">LEFT(A775,FIND("County",A775,1)-2)</f>
        <v>Shelby</v>
      </c>
      <c r="C775" s="30">
        <v>44436</v>
      </c>
      <c r="D775" s="30">
        <v>44379</v>
      </c>
      <c r="E775" s="30">
        <v>44297</v>
      </c>
      <c r="F775" s="30">
        <v>44280</v>
      </c>
      <c r="G775" s="30">
        <v>44257</v>
      </c>
      <c r="H775" s="30">
        <v>44333</v>
      </c>
      <c r="I775" s="30">
        <v>44358</v>
      </c>
      <c r="J775" s="30">
        <v>44341</v>
      </c>
      <c r="K775" s="30">
        <v>44229</v>
      </c>
      <c r="L775" s="30">
        <v>44367</v>
      </c>
      <c r="M775" s="30">
        <v>44522</v>
      </c>
      <c r="N775" s="30">
        <v>44729</v>
      </c>
      <c r="O775" s="24" t="str">
        <f t="shared" ref="O775:O838" si="25">A775</f>
        <v>Shelby County, Indiana</v>
      </c>
    </row>
    <row r="776" spans="1:15" x14ac:dyDescent="0.25">
      <c r="A776" s="35" t="s">
        <v>1252</v>
      </c>
      <c r="B776" s="28" t="str">
        <f t="shared" si="24"/>
        <v>Spencer</v>
      </c>
      <c r="C776" s="30">
        <v>20952</v>
      </c>
      <c r="D776" s="30">
        <v>20955</v>
      </c>
      <c r="E776" s="30">
        <v>20915</v>
      </c>
      <c r="F776" s="30">
        <v>20969</v>
      </c>
      <c r="G776" s="30">
        <v>20783</v>
      </c>
      <c r="H776" s="30">
        <v>20762</v>
      </c>
      <c r="I776" s="30">
        <v>20762</v>
      </c>
      <c r="J776" s="30">
        <v>20640</v>
      </c>
      <c r="K776" s="30">
        <v>20491</v>
      </c>
      <c r="L776" s="30">
        <v>20440</v>
      </c>
      <c r="M776" s="30">
        <v>20385</v>
      </c>
      <c r="N776" s="30">
        <v>20277</v>
      </c>
      <c r="O776" s="24" t="str">
        <f t="shared" si="25"/>
        <v>Spencer County, Indiana</v>
      </c>
    </row>
    <row r="777" spans="1:15" x14ac:dyDescent="0.25">
      <c r="A777" s="35" t="s">
        <v>1253</v>
      </c>
      <c r="B777" s="28" t="str">
        <f t="shared" si="24"/>
        <v>Starke</v>
      </c>
      <c r="C777" s="30">
        <v>23363</v>
      </c>
      <c r="D777" s="30">
        <v>23362</v>
      </c>
      <c r="E777" s="30">
        <v>23345</v>
      </c>
      <c r="F777" s="30">
        <v>23171</v>
      </c>
      <c r="G777" s="30">
        <v>23160</v>
      </c>
      <c r="H777" s="30">
        <v>23139</v>
      </c>
      <c r="I777" s="30">
        <v>22956</v>
      </c>
      <c r="J777" s="30">
        <v>22860</v>
      </c>
      <c r="K777" s="30">
        <v>23019</v>
      </c>
      <c r="L777" s="30">
        <v>22935</v>
      </c>
      <c r="M777" s="30">
        <v>22951</v>
      </c>
      <c r="N777" s="30">
        <v>22995</v>
      </c>
      <c r="O777" s="24" t="str">
        <f t="shared" si="25"/>
        <v>Starke County, Indiana</v>
      </c>
    </row>
    <row r="778" spans="1:15" x14ac:dyDescent="0.25">
      <c r="A778" s="35" t="s">
        <v>1254</v>
      </c>
      <c r="B778" s="28" t="str">
        <f t="shared" si="24"/>
        <v>Steuben</v>
      </c>
      <c r="C778" s="30">
        <v>34185</v>
      </c>
      <c r="D778" s="30">
        <v>34147</v>
      </c>
      <c r="E778" s="30">
        <v>34109</v>
      </c>
      <c r="F778" s="30">
        <v>34068</v>
      </c>
      <c r="G778" s="30">
        <v>34158</v>
      </c>
      <c r="H778" s="30">
        <v>34371</v>
      </c>
      <c r="I778" s="30">
        <v>34491</v>
      </c>
      <c r="J778" s="30">
        <v>34469</v>
      </c>
      <c r="K778" s="30">
        <v>34329</v>
      </c>
      <c r="L778" s="30">
        <v>34384</v>
      </c>
      <c r="M778" s="30">
        <v>34487</v>
      </c>
      <c r="N778" s="30">
        <v>34594</v>
      </c>
      <c r="O778" s="24" t="str">
        <f t="shared" si="25"/>
        <v>Steuben County, Indiana</v>
      </c>
    </row>
    <row r="779" spans="1:15" x14ac:dyDescent="0.25">
      <c r="A779" s="35" t="s">
        <v>1255</v>
      </c>
      <c r="B779" s="28" t="str">
        <f t="shared" si="24"/>
        <v>Sullivan</v>
      </c>
      <c r="C779" s="30">
        <v>21475</v>
      </c>
      <c r="D779" s="30">
        <v>21475</v>
      </c>
      <c r="E779" s="30">
        <v>21390</v>
      </c>
      <c r="F779" s="30">
        <v>21218</v>
      </c>
      <c r="G779" s="30">
        <v>21203</v>
      </c>
      <c r="H779" s="30">
        <v>21138</v>
      </c>
      <c r="I779" s="30">
        <v>20995</v>
      </c>
      <c r="J779" s="30">
        <v>20874</v>
      </c>
      <c r="K779" s="30">
        <v>20710</v>
      </c>
      <c r="L779" s="30">
        <v>20700</v>
      </c>
      <c r="M779" s="30">
        <v>20696</v>
      </c>
      <c r="N779" s="30">
        <v>20669</v>
      </c>
      <c r="O779" s="24" t="str">
        <f t="shared" si="25"/>
        <v>Sullivan County, Indiana</v>
      </c>
    </row>
    <row r="780" spans="1:15" x14ac:dyDescent="0.25">
      <c r="A780" s="35" t="s">
        <v>1256</v>
      </c>
      <c r="B780" s="28" t="str">
        <f t="shared" si="24"/>
        <v>Switzerland</v>
      </c>
      <c r="C780" s="30">
        <v>10613</v>
      </c>
      <c r="D780" s="30">
        <v>10687</v>
      </c>
      <c r="E780" s="30">
        <v>10717</v>
      </c>
      <c r="F780" s="30">
        <v>10632</v>
      </c>
      <c r="G780" s="30">
        <v>10462</v>
      </c>
      <c r="H780" s="30">
        <v>10598</v>
      </c>
      <c r="I780" s="30">
        <v>10564</v>
      </c>
      <c r="J780" s="30">
        <v>10614</v>
      </c>
      <c r="K780" s="30">
        <v>10641</v>
      </c>
      <c r="L780" s="30">
        <v>10686</v>
      </c>
      <c r="M780" s="30">
        <v>10731</v>
      </c>
      <c r="N780" s="30">
        <v>10751</v>
      </c>
      <c r="O780" s="24" t="str">
        <f t="shared" si="25"/>
        <v>Switzerland County, Indiana</v>
      </c>
    </row>
    <row r="781" spans="1:15" x14ac:dyDescent="0.25">
      <c r="A781" s="35" t="s">
        <v>1257</v>
      </c>
      <c r="B781" s="28" t="str">
        <f t="shared" si="24"/>
        <v>Tippecanoe</v>
      </c>
      <c r="C781" s="30">
        <v>172780</v>
      </c>
      <c r="D781" s="30">
        <v>172803</v>
      </c>
      <c r="E781" s="30">
        <v>173104</v>
      </c>
      <c r="F781" s="30">
        <v>175861</v>
      </c>
      <c r="G781" s="30">
        <v>179124</v>
      </c>
      <c r="H781" s="30">
        <v>181953</v>
      </c>
      <c r="I781" s="30">
        <v>184433</v>
      </c>
      <c r="J781" s="30">
        <v>186723</v>
      </c>
      <c r="K781" s="30">
        <v>190292</v>
      </c>
      <c r="L781" s="30">
        <v>191199</v>
      </c>
      <c r="M781" s="30">
        <v>193817</v>
      </c>
      <c r="N781" s="30">
        <v>195732</v>
      </c>
      <c r="O781" s="24" t="str">
        <f t="shared" si="25"/>
        <v>Tippecanoe County, Indiana</v>
      </c>
    </row>
    <row r="782" spans="1:15" x14ac:dyDescent="0.25">
      <c r="A782" s="35" t="s">
        <v>1258</v>
      </c>
      <c r="B782" s="28" t="str">
        <f t="shared" si="24"/>
        <v>Tipton</v>
      </c>
      <c r="C782" s="30">
        <v>15936</v>
      </c>
      <c r="D782" s="30">
        <v>15936</v>
      </c>
      <c r="E782" s="30">
        <v>15878</v>
      </c>
      <c r="F782" s="30">
        <v>15816</v>
      </c>
      <c r="G782" s="30">
        <v>15659</v>
      </c>
      <c r="H782" s="30">
        <v>15544</v>
      </c>
      <c r="I782" s="30">
        <v>15405</v>
      </c>
      <c r="J782" s="30">
        <v>15249</v>
      </c>
      <c r="K782" s="30">
        <v>15163</v>
      </c>
      <c r="L782" s="30">
        <v>15137</v>
      </c>
      <c r="M782" s="30">
        <v>15112</v>
      </c>
      <c r="N782" s="30">
        <v>15148</v>
      </c>
      <c r="O782" s="24" t="str">
        <f t="shared" si="25"/>
        <v>Tipton County, Indiana</v>
      </c>
    </row>
    <row r="783" spans="1:15" x14ac:dyDescent="0.25">
      <c r="A783" s="35" t="s">
        <v>1259</v>
      </c>
      <c r="B783" s="28" t="str">
        <f t="shared" si="24"/>
        <v>Union</v>
      </c>
      <c r="C783" s="30">
        <v>7516</v>
      </c>
      <c r="D783" s="30">
        <v>7516</v>
      </c>
      <c r="E783" s="30">
        <v>7537</v>
      </c>
      <c r="F783" s="30">
        <v>7496</v>
      </c>
      <c r="G783" s="30">
        <v>7352</v>
      </c>
      <c r="H783" s="30">
        <v>7307</v>
      </c>
      <c r="I783" s="30">
        <v>7241</v>
      </c>
      <c r="J783" s="30">
        <v>7185</v>
      </c>
      <c r="K783" s="30">
        <v>7139</v>
      </c>
      <c r="L783" s="30">
        <v>7159</v>
      </c>
      <c r="M783" s="30">
        <v>7029</v>
      </c>
      <c r="N783" s="30">
        <v>7054</v>
      </c>
      <c r="O783" s="24" t="str">
        <f t="shared" si="25"/>
        <v>Union County, Indiana</v>
      </c>
    </row>
    <row r="784" spans="1:15" x14ac:dyDescent="0.25">
      <c r="A784" s="35" t="s">
        <v>1260</v>
      </c>
      <c r="B784" s="28" t="str">
        <f t="shared" si="24"/>
        <v>Vanderburgh</v>
      </c>
      <c r="C784" s="30">
        <v>179703</v>
      </c>
      <c r="D784" s="30">
        <v>179701</v>
      </c>
      <c r="E784" s="30">
        <v>179842</v>
      </c>
      <c r="F784" s="30">
        <v>180468</v>
      </c>
      <c r="G784" s="30">
        <v>181040</v>
      </c>
      <c r="H784" s="30">
        <v>181580</v>
      </c>
      <c r="I784" s="30">
        <v>181934</v>
      </c>
      <c r="J784" s="30">
        <v>181504</v>
      </c>
      <c r="K784" s="30">
        <v>181427</v>
      </c>
      <c r="L784" s="30">
        <v>180954</v>
      </c>
      <c r="M784" s="30">
        <v>181120</v>
      </c>
      <c r="N784" s="30">
        <v>181451</v>
      </c>
      <c r="O784" s="24" t="str">
        <f t="shared" si="25"/>
        <v>Vanderburgh County, Indiana</v>
      </c>
    </row>
    <row r="785" spans="1:15" x14ac:dyDescent="0.25">
      <c r="A785" s="35" t="s">
        <v>1261</v>
      </c>
      <c r="B785" s="28" t="str">
        <f t="shared" si="24"/>
        <v>Vermillion</v>
      </c>
      <c r="C785" s="30">
        <v>16212</v>
      </c>
      <c r="D785" s="30">
        <v>16210</v>
      </c>
      <c r="E785" s="30">
        <v>16116</v>
      </c>
      <c r="F785" s="30">
        <v>16072</v>
      </c>
      <c r="G785" s="30">
        <v>15923</v>
      </c>
      <c r="H785" s="30">
        <v>15852</v>
      </c>
      <c r="I785" s="30">
        <v>15659</v>
      </c>
      <c r="J785" s="30">
        <v>15593</v>
      </c>
      <c r="K785" s="30">
        <v>15593</v>
      </c>
      <c r="L785" s="30">
        <v>15503</v>
      </c>
      <c r="M785" s="30">
        <v>15510</v>
      </c>
      <c r="N785" s="30">
        <v>15498</v>
      </c>
      <c r="O785" s="24" t="str">
        <f t="shared" si="25"/>
        <v>Vermillion County, Indiana</v>
      </c>
    </row>
    <row r="786" spans="1:15" x14ac:dyDescent="0.25">
      <c r="A786" s="35" t="s">
        <v>1262</v>
      </c>
      <c r="B786" s="28" t="str">
        <f t="shared" si="24"/>
        <v>Vigo</v>
      </c>
      <c r="C786" s="30">
        <v>107848</v>
      </c>
      <c r="D786" s="30">
        <v>107852</v>
      </c>
      <c r="E786" s="30">
        <v>107888</v>
      </c>
      <c r="F786" s="30">
        <v>108330</v>
      </c>
      <c r="G786" s="30">
        <v>108523</v>
      </c>
      <c r="H786" s="30">
        <v>108200</v>
      </c>
      <c r="I786" s="30">
        <v>107920</v>
      </c>
      <c r="J786" s="30">
        <v>107533</v>
      </c>
      <c r="K786" s="30">
        <v>107790</v>
      </c>
      <c r="L786" s="30">
        <v>107569</v>
      </c>
      <c r="M786" s="30">
        <v>107367</v>
      </c>
      <c r="N786" s="30">
        <v>107038</v>
      </c>
      <c r="O786" s="24" t="str">
        <f t="shared" si="25"/>
        <v>Vigo County, Indiana</v>
      </c>
    </row>
    <row r="787" spans="1:15" x14ac:dyDescent="0.25">
      <c r="A787" s="35" t="s">
        <v>1263</v>
      </c>
      <c r="B787" s="28" t="str">
        <f t="shared" si="24"/>
        <v>Wabash</v>
      </c>
      <c r="C787" s="30">
        <v>32888</v>
      </c>
      <c r="D787" s="30">
        <v>32888</v>
      </c>
      <c r="E787" s="30">
        <v>32848</v>
      </c>
      <c r="F787" s="30">
        <v>32567</v>
      </c>
      <c r="G787" s="30">
        <v>32386</v>
      </c>
      <c r="H787" s="30">
        <v>32269</v>
      </c>
      <c r="I787" s="30">
        <v>32100</v>
      </c>
      <c r="J787" s="30">
        <v>31860</v>
      </c>
      <c r="K787" s="30">
        <v>31513</v>
      </c>
      <c r="L787" s="30">
        <v>31380</v>
      </c>
      <c r="M787" s="30">
        <v>31198</v>
      </c>
      <c r="N787" s="30">
        <v>30996</v>
      </c>
      <c r="O787" s="24" t="str">
        <f t="shared" si="25"/>
        <v>Wabash County, Indiana</v>
      </c>
    </row>
    <row r="788" spans="1:15" x14ac:dyDescent="0.25">
      <c r="A788" s="35" t="s">
        <v>1264</v>
      </c>
      <c r="B788" s="28" t="str">
        <f t="shared" si="24"/>
        <v>Warren</v>
      </c>
      <c r="C788" s="30">
        <v>8508</v>
      </c>
      <c r="D788" s="30">
        <v>8511</v>
      </c>
      <c r="E788" s="30">
        <v>8521</v>
      </c>
      <c r="F788" s="30">
        <v>8470</v>
      </c>
      <c r="G788" s="30">
        <v>8392</v>
      </c>
      <c r="H788" s="30">
        <v>8369</v>
      </c>
      <c r="I788" s="30">
        <v>8339</v>
      </c>
      <c r="J788" s="30">
        <v>8270</v>
      </c>
      <c r="K788" s="30">
        <v>8165</v>
      </c>
      <c r="L788" s="30">
        <v>8204</v>
      </c>
      <c r="M788" s="30">
        <v>8280</v>
      </c>
      <c r="N788" s="30">
        <v>8265</v>
      </c>
      <c r="O788" s="24" t="str">
        <f t="shared" si="25"/>
        <v>Warren County, Indiana</v>
      </c>
    </row>
    <row r="789" spans="1:15" x14ac:dyDescent="0.25">
      <c r="A789" s="35" t="s">
        <v>1265</v>
      </c>
      <c r="B789" s="28" t="str">
        <f t="shared" si="24"/>
        <v>Warrick</v>
      </c>
      <c r="C789" s="30">
        <v>59689</v>
      </c>
      <c r="D789" s="30">
        <v>59689</v>
      </c>
      <c r="E789" s="30">
        <v>59839</v>
      </c>
      <c r="F789" s="30">
        <v>60201</v>
      </c>
      <c r="G789" s="30">
        <v>60347</v>
      </c>
      <c r="H789" s="30">
        <v>60852</v>
      </c>
      <c r="I789" s="30">
        <v>60956</v>
      </c>
      <c r="J789" s="30">
        <v>61522</v>
      </c>
      <c r="K789" s="30">
        <v>62005</v>
      </c>
      <c r="L789" s="30">
        <v>62401</v>
      </c>
      <c r="M789" s="30">
        <v>62474</v>
      </c>
      <c r="N789" s="30">
        <v>62998</v>
      </c>
      <c r="O789" s="24" t="str">
        <f t="shared" si="25"/>
        <v>Warrick County, Indiana</v>
      </c>
    </row>
    <row r="790" spans="1:15" x14ac:dyDescent="0.25">
      <c r="A790" s="35" t="s">
        <v>1266</v>
      </c>
      <c r="B790" s="28" t="str">
        <f t="shared" si="24"/>
        <v>Washington</v>
      </c>
      <c r="C790" s="30">
        <v>28262</v>
      </c>
      <c r="D790" s="30">
        <v>28254</v>
      </c>
      <c r="E790" s="30">
        <v>28292</v>
      </c>
      <c r="F790" s="30">
        <v>28196</v>
      </c>
      <c r="G790" s="30">
        <v>27913</v>
      </c>
      <c r="H790" s="30">
        <v>27779</v>
      </c>
      <c r="I790" s="30">
        <v>27886</v>
      </c>
      <c r="J790" s="30">
        <v>27774</v>
      </c>
      <c r="K790" s="30">
        <v>27728</v>
      </c>
      <c r="L790" s="30">
        <v>27771</v>
      </c>
      <c r="M790" s="30">
        <v>27932</v>
      </c>
      <c r="N790" s="30">
        <v>28036</v>
      </c>
      <c r="O790" s="24" t="str">
        <f t="shared" si="25"/>
        <v>Washington County, Indiana</v>
      </c>
    </row>
    <row r="791" spans="1:15" x14ac:dyDescent="0.25">
      <c r="A791" s="35" t="s">
        <v>1267</v>
      </c>
      <c r="B791" s="28" t="str">
        <f t="shared" si="24"/>
        <v>Wayne</v>
      </c>
      <c r="C791" s="30">
        <v>68917</v>
      </c>
      <c r="D791" s="30">
        <v>68996</v>
      </c>
      <c r="E791" s="30">
        <v>68889</v>
      </c>
      <c r="F791" s="30">
        <v>68636</v>
      </c>
      <c r="G791" s="30">
        <v>68224</v>
      </c>
      <c r="H791" s="30">
        <v>67785</v>
      </c>
      <c r="I791" s="30">
        <v>67378</v>
      </c>
      <c r="J791" s="30">
        <v>66972</v>
      </c>
      <c r="K791" s="30">
        <v>66630</v>
      </c>
      <c r="L791" s="30">
        <v>66179</v>
      </c>
      <c r="M791" s="30">
        <v>66046</v>
      </c>
      <c r="N791" s="30">
        <v>65884</v>
      </c>
      <c r="O791" s="24" t="str">
        <f t="shared" si="25"/>
        <v>Wayne County, Indiana</v>
      </c>
    </row>
    <row r="792" spans="1:15" x14ac:dyDescent="0.25">
      <c r="A792" s="35" t="s">
        <v>1268</v>
      </c>
      <c r="B792" s="28" t="str">
        <f t="shared" si="24"/>
        <v>Wells</v>
      </c>
      <c r="C792" s="30">
        <v>27636</v>
      </c>
      <c r="D792" s="30">
        <v>27637</v>
      </c>
      <c r="E792" s="30">
        <v>27682</v>
      </c>
      <c r="F792" s="30">
        <v>27738</v>
      </c>
      <c r="G792" s="30">
        <v>27707</v>
      </c>
      <c r="H792" s="30">
        <v>27715</v>
      </c>
      <c r="I792" s="30">
        <v>27814</v>
      </c>
      <c r="J792" s="30">
        <v>27851</v>
      </c>
      <c r="K792" s="30">
        <v>27865</v>
      </c>
      <c r="L792" s="30">
        <v>27958</v>
      </c>
      <c r="M792" s="30">
        <v>28083</v>
      </c>
      <c r="N792" s="30">
        <v>28296</v>
      </c>
      <c r="O792" s="24" t="str">
        <f t="shared" si="25"/>
        <v>Wells County, Indiana</v>
      </c>
    </row>
    <row r="793" spans="1:15" x14ac:dyDescent="0.25">
      <c r="A793" s="35" t="s">
        <v>1269</v>
      </c>
      <c r="B793" s="28" t="str">
        <f t="shared" si="24"/>
        <v>White</v>
      </c>
      <c r="C793" s="30">
        <v>24643</v>
      </c>
      <c r="D793" s="30">
        <v>24638</v>
      </c>
      <c r="E793" s="30">
        <v>24683</v>
      </c>
      <c r="F793" s="30">
        <v>24592</v>
      </c>
      <c r="G793" s="30">
        <v>24466</v>
      </c>
      <c r="H793" s="30">
        <v>24401</v>
      </c>
      <c r="I793" s="30">
        <v>24433</v>
      </c>
      <c r="J793" s="30">
        <v>24274</v>
      </c>
      <c r="K793" s="30">
        <v>24074</v>
      </c>
      <c r="L793" s="30">
        <v>24163</v>
      </c>
      <c r="M793" s="30">
        <v>24133</v>
      </c>
      <c r="N793" s="30">
        <v>24102</v>
      </c>
      <c r="O793" s="24" t="str">
        <f t="shared" si="25"/>
        <v>White County, Indiana</v>
      </c>
    </row>
    <row r="794" spans="1:15" x14ac:dyDescent="0.25">
      <c r="A794" s="35" t="s">
        <v>1270</v>
      </c>
      <c r="B794" s="28" t="str">
        <f t="shared" si="24"/>
        <v>Whitley</v>
      </c>
      <c r="C794" s="30">
        <v>33292</v>
      </c>
      <c r="D794" s="30">
        <v>33287</v>
      </c>
      <c r="E794" s="30">
        <v>33353</v>
      </c>
      <c r="F794" s="30">
        <v>33358</v>
      </c>
      <c r="G794" s="30">
        <v>33335</v>
      </c>
      <c r="H794" s="30">
        <v>33283</v>
      </c>
      <c r="I794" s="30">
        <v>33444</v>
      </c>
      <c r="J794" s="30">
        <v>33444</v>
      </c>
      <c r="K794" s="30">
        <v>33475</v>
      </c>
      <c r="L794" s="30">
        <v>33722</v>
      </c>
      <c r="M794" s="30">
        <v>34047</v>
      </c>
      <c r="N794" s="30">
        <v>33964</v>
      </c>
      <c r="O794" s="24" t="str">
        <f t="shared" si="25"/>
        <v>Whitley County, Indiana</v>
      </c>
    </row>
    <row r="795" spans="1:15" x14ac:dyDescent="0.25">
      <c r="A795" s="35" t="s">
        <v>1271</v>
      </c>
      <c r="B795" s="28" t="str">
        <f t="shared" si="24"/>
        <v>Adair</v>
      </c>
      <c r="C795" s="30">
        <v>7682</v>
      </c>
      <c r="D795" s="30">
        <v>7682</v>
      </c>
      <c r="E795" s="30">
        <v>7679</v>
      </c>
      <c r="F795" s="30">
        <v>7546</v>
      </c>
      <c r="G795" s="30">
        <v>7468</v>
      </c>
      <c r="H795" s="30">
        <v>7387</v>
      </c>
      <c r="I795" s="30">
        <v>7368</v>
      </c>
      <c r="J795" s="30">
        <v>7145</v>
      </c>
      <c r="K795" s="30">
        <v>7005</v>
      </c>
      <c r="L795" s="30">
        <v>7051</v>
      </c>
      <c r="M795" s="30">
        <v>7074</v>
      </c>
      <c r="N795" s="30">
        <v>7152</v>
      </c>
      <c r="O795" s="24" t="str">
        <f t="shared" si="25"/>
        <v>Adair County, Iowa</v>
      </c>
    </row>
    <row r="796" spans="1:15" x14ac:dyDescent="0.25">
      <c r="A796" s="35" t="s">
        <v>1272</v>
      </c>
      <c r="B796" s="28" t="str">
        <f t="shared" si="24"/>
        <v>Adams</v>
      </c>
      <c r="C796" s="30">
        <v>4029</v>
      </c>
      <c r="D796" s="30">
        <v>4029</v>
      </c>
      <c r="E796" s="30">
        <v>4023</v>
      </c>
      <c r="F796" s="30">
        <v>3994</v>
      </c>
      <c r="G796" s="30">
        <v>3910</v>
      </c>
      <c r="H796" s="30">
        <v>3891</v>
      </c>
      <c r="I796" s="30">
        <v>3877</v>
      </c>
      <c r="J796" s="30">
        <v>3754</v>
      </c>
      <c r="K796" s="30">
        <v>3692</v>
      </c>
      <c r="L796" s="30">
        <v>3657</v>
      </c>
      <c r="M796" s="30">
        <v>3644</v>
      </c>
      <c r="N796" s="30">
        <v>3602</v>
      </c>
      <c r="O796" s="24" t="str">
        <f t="shared" si="25"/>
        <v>Adams County, Iowa</v>
      </c>
    </row>
    <row r="797" spans="1:15" x14ac:dyDescent="0.25">
      <c r="A797" s="35" t="s">
        <v>1273</v>
      </c>
      <c r="B797" s="28" t="str">
        <f t="shared" si="24"/>
        <v>Allamakee</v>
      </c>
      <c r="C797" s="30">
        <v>14330</v>
      </c>
      <c r="D797" s="30">
        <v>14328</v>
      </c>
      <c r="E797" s="30">
        <v>14378</v>
      </c>
      <c r="F797" s="30">
        <v>14222</v>
      </c>
      <c r="G797" s="30">
        <v>14149</v>
      </c>
      <c r="H797" s="30">
        <v>14071</v>
      </c>
      <c r="I797" s="30">
        <v>14062</v>
      </c>
      <c r="J797" s="30">
        <v>13874</v>
      </c>
      <c r="K797" s="30">
        <v>13851</v>
      </c>
      <c r="L797" s="30">
        <v>13803</v>
      </c>
      <c r="M797" s="30">
        <v>13852</v>
      </c>
      <c r="N797" s="30">
        <v>13687</v>
      </c>
      <c r="O797" s="24" t="str">
        <f t="shared" si="25"/>
        <v>Allamakee County, Iowa</v>
      </c>
    </row>
    <row r="798" spans="1:15" x14ac:dyDescent="0.25">
      <c r="A798" s="35" t="s">
        <v>1274</v>
      </c>
      <c r="B798" s="28" t="str">
        <f t="shared" si="24"/>
        <v>Appanoose</v>
      </c>
      <c r="C798" s="30">
        <v>12887</v>
      </c>
      <c r="D798" s="30">
        <v>12887</v>
      </c>
      <c r="E798" s="30">
        <v>12856</v>
      </c>
      <c r="F798" s="30">
        <v>12848</v>
      </c>
      <c r="G798" s="30">
        <v>12707</v>
      </c>
      <c r="H798" s="30">
        <v>12654</v>
      </c>
      <c r="I798" s="30">
        <v>12671</v>
      </c>
      <c r="J798" s="30">
        <v>12577</v>
      </c>
      <c r="K798" s="30">
        <v>12505</v>
      </c>
      <c r="L798" s="30">
        <v>12353</v>
      </c>
      <c r="M798" s="30">
        <v>12401</v>
      </c>
      <c r="N798" s="30">
        <v>12426</v>
      </c>
      <c r="O798" s="24" t="str">
        <f t="shared" si="25"/>
        <v>Appanoose County, Iowa</v>
      </c>
    </row>
    <row r="799" spans="1:15" x14ac:dyDescent="0.25">
      <c r="A799" s="35" t="s">
        <v>1275</v>
      </c>
      <c r="B799" s="28" t="str">
        <f t="shared" si="24"/>
        <v>Audubon</v>
      </c>
      <c r="C799" s="30">
        <v>6119</v>
      </c>
      <c r="D799" s="30">
        <v>6119</v>
      </c>
      <c r="E799" s="30">
        <v>6098</v>
      </c>
      <c r="F799" s="30">
        <v>6004</v>
      </c>
      <c r="G799" s="30">
        <v>5865</v>
      </c>
      <c r="H799" s="30">
        <v>5863</v>
      </c>
      <c r="I799" s="30">
        <v>5771</v>
      </c>
      <c r="J799" s="30">
        <v>5711</v>
      </c>
      <c r="K799" s="30">
        <v>5626</v>
      </c>
      <c r="L799" s="30">
        <v>5550</v>
      </c>
      <c r="M799" s="30">
        <v>5471</v>
      </c>
      <c r="N799" s="30">
        <v>5496</v>
      </c>
      <c r="O799" s="24" t="str">
        <f t="shared" si="25"/>
        <v>Audubon County, Iowa</v>
      </c>
    </row>
    <row r="800" spans="1:15" x14ac:dyDescent="0.25">
      <c r="A800" s="35" t="s">
        <v>1276</v>
      </c>
      <c r="B800" s="28" t="str">
        <f t="shared" si="24"/>
        <v>Benton</v>
      </c>
      <c r="C800" s="30">
        <v>26076</v>
      </c>
      <c r="D800" s="30">
        <v>26069</v>
      </c>
      <c r="E800" s="30">
        <v>26046</v>
      </c>
      <c r="F800" s="30">
        <v>26078</v>
      </c>
      <c r="G800" s="30">
        <v>25830</v>
      </c>
      <c r="H800" s="30">
        <v>25699</v>
      </c>
      <c r="I800" s="30">
        <v>25623</v>
      </c>
      <c r="J800" s="30">
        <v>25608</v>
      </c>
      <c r="K800" s="30">
        <v>25644</v>
      </c>
      <c r="L800" s="30">
        <v>25656</v>
      </c>
      <c r="M800" s="30">
        <v>25625</v>
      </c>
      <c r="N800" s="30">
        <v>25645</v>
      </c>
      <c r="O800" s="24" t="str">
        <f t="shared" si="25"/>
        <v>Benton County, Iowa</v>
      </c>
    </row>
    <row r="801" spans="1:15" x14ac:dyDescent="0.25">
      <c r="A801" s="35" t="s">
        <v>1277</v>
      </c>
      <c r="B801" s="28" t="str">
        <f t="shared" si="24"/>
        <v>Black Hawk</v>
      </c>
      <c r="C801" s="30">
        <v>131090</v>
      </c>
      <c r="D801" s="30">
        <v>131086</v>
      </c>
      <c r="E801" s="30">
        <v>131162</v>
      </c>
      <c r="F801" s="30">
        <v>131584</v>
      </c>
      <c r="G801" s="30">
        <v>131878</v>
      </c>
      <c r="H801" s="30">
        <v>132933</v>
      </c>
      <c r="I801" s="30">
        <v>133390</v>
      </c>
      <c r="J801" s="30">
        <v>133701</v>
      </c>
      <c r="K801" s="30">
        <v>133077</v>
      </c>
      <c r="L801" s="30">
        <v>132238</v>
      </c>
      <c r="M801" s="30">
        <v>131723</v>
      </c>
      <c r="N801" s="30">
        <v>131228</v>
      </c>
      <c r="O801" s="24" t="str">
        <f t="shared" si="25"/>
        <v>Black Hawk County, Iowa</v>
      </c>
    </row>
    <row r="802" spans="1:15" x14ac:dyDescent="0.25">
      <c r="A802" s="35" t="s">
        <v>1278</v>
      </c>
      <c r="B802" s="28" t="str">
        <f t="shared" si="24"/>
        <v>Boone</v>
      </c>
      <c r="C802" s="30">
        <v>26306</v>
      </c>
      <c r="D802" s="30">
        <v>26308</v>
      </c>
      <c r="E802" s="30">
        <v>26271</v>
      </c>
      <c r="F802" s="30">
        <v>26288</v>
      </c>
      <c r="G802" s="30">
        <v>26136</v>
      </c>
      <c r="H802" s="30">
        <v>26284</v>
      </c>
      <c r="I802" s="30">
        <v>26290</v>
      </c>
      <c r="J802" s="30">
        <v>26443</v>
      </c>
      <c r="K802" s="30">
        <v>26416</v>
      </c>
      <c r="L802" s="30">
        <v>26443</v>
      </c>
      <c r="M802" s="30">
        <v>26312</v>
      </c>
      <c r="N802" s="30">
        <v>26234</v>
      </c>
      <c r="O802" s="24" t="str">
        <f t="shared" si="25"/>
        <v>Boone County, Iowa</v>
      </c>
    </row>
    <row r="803" spans="1:15" x14ac:dyDescent="0.25">
      <c r="A803" s="35" t="s">
        <v>1279</v>
      </c>
      <c r="B803" s="28" t="str">
        <f t="shared" si="24"/>
        <v>Bremer</v>
      </c>
      <c r="C803" s="30">
        <v>24276</v>
      </c>
      <c r="D803" s="30">
        <v>24280</v>
      </c>
      <c r="E803" s="30">
        <v>24295</v>
      </c>
      <c r="F803" s="30">
        <v>24381</v>
      </c>
      <c r="G803" s="30">
        <v>24496</v>
      </c>
      <c r="H803" s="30">
        <v>24579</v>
      </c>
      <c r="I803" s="30">
        <v>24670</v>
      </c>
      <c r="J803" s="30">
        <v>24746</v>
      </c>
      <c r="K803" s="30">
        <v>24747</v>
      </c>
      <c r="L803" s="30">
        <v>24823</v>
      </c>
      <c r="M803" s="30">
        <v>24941</v>
      </c>
      <c r="N803" s="30">
        <v>25062</v>
      </c>
      <c r="O803" s="24" t="str">
        <f t="shared" si="25"/>
        <v>Bremer County, Iowa</v>
      </c>
    </row>
    <row r="804" spans="1:15" x14ac:dyDescent="0.25">
      <c r="A804" s="35" t="s">
        <v>1280</v>
      </c>
      <c r="B804" s="28" t="str">
        <f t="shared" si="24"/>
        <v>Buchanan</v>
      </c>
      <c r="C804" s="30">
        <v>20958</v>
      </c>
      <c r="D804" s="30">
        <v>20953</v>
      </c>
      <c r="E804" s="30">
        <v>20974</v>
      </c>
      <c r="F804" s="30">
        <v>20911</v>
      </c>
      <c r="G804" s="30">
        <v>20994</v>
      </c>
      <c r="H804" s="30">
        <v>21026</v>
      </c>
      <c r="I804" s="30">
        <v>21131</v>
      </c>
      <c r="J804" s="30">
        <v>21105</v>
      </c>
      <c r="K804" s="30">
        <v>21007</v>
      </c>
      <c r="L804" s="30">
        <v>21126</v>
      </c>
      <c r="M804" s="30">
        <v>21178</v>
      </c>
      <c r="N804" s="30">
        <v>21175</v>
      </c>
      <c r="O804" s="24" t="str">
        <f t="shared" si="25"/>
        <v>Buchanan County, Iowa</v>
      </c>
    </row>
    <row r="805" spans="1:15" x14ac:dyDescent="0.25">
      <c r="A805" s="35" t="s">
        <v>1281</v>
      </c>
      <c r="B805" s="28" t="str">
        <f t="shared" si="24"/>
        <v>Buena Vista</v>
      </c>
      <c r="C805" s="30">
        <v>20260</v>
      </c>
      <c r="D805" s="30">
        <v>20265</v>
      </c>
      <c r="E805" s="30">
        <v>20356</v>
      </c>
      <c r="F805" s="30">
        <v>20311</v>
      </c>
      <c r="G805" s="30">
        <v>20561</v>
      </c>
      <c r="H805" s="30">
        <v>20649</v>
      </c>
      <c r="I805" s="30">
        <v>20606</v>
      </c>
      <c r="J805" s="30">
        <v>20374</v>
      </c>
      <c r="K805" s="30">
        <v>20325</v>
      </c>
      <c r="L805" s="30">
        <v>20144</v>
      </c>
      <c r="M805" s="30">
        <v>19826</v>
      </c>
      <c r="N805" s="30">
        <v>19620</v>
      </c>
      <c r="O805" s="24" t="str">
        <f t="shared" si="25"/>
        <v>Buena Vista County, Iowa</v>
      </c>
    </row>
    <row r="806" spans="1:15" x14ac:dyDescent="0.25">
      <c r="A806" s="35" t="s">
        <v>1282</v>
      </c>
      <c r="B806" s="28" t="str">
        <f t="shared" si="24"/>
        <v>Butler</v>
      </c>
      <c r="C806" s="30">
        <v>14867</v>
      </c>
      <c r="D806" s="30">
        <v>14869</v>
      </c>
      <c r="E806" s="30">
        <v>14916</v>
      </c>
      <c r="F806" s="30">
        <v>14966</v>
      </c>
      <c r="G806" s="30">
        <v>14971</v>
      </c>
      <c r="H806" s="30">
        <v>14975</v>
      </c>
      <c r="I806" s="30">
        <v>14959</v>
      </c>
      <c r="J806" s="30">
        <v>14881</v>
      </c>
      <c r="K806" s="30">
        <v>14702</v>
      </c>
      <c r="L806" s="30">
        <v>14592</v>
      </c>
      <c r="M806" s="30">
        <v>14525</v>
      </c>
      <c r="N806" s="30">
        <v>14439</v>
      </c>
      <c r="O806" s="24" t="str">
        <f t="shared" si="25"/>
        <v>Butler County, Iowa</v>
      </c>
    </row>
    <row r="807" spans="1:15" x14ac:dyDescent="0.25">
      <c r="A807" s="35" t="s">
        <v>1283</v>
      </c>
      <c r="B807" s="28" t="str">
        <f t="shared" si="24"/>
        <v>Calhoun</v>
      </c>
      <c r="C807" s="30">
        <v>9670</v>
      </c>
      <c r="D807" s="30">
        <v>10177</v>
      </c>
      <c r="E807" s="30">
        <v>10160</v>
      </c>
      <c r="F807" s="30">
        <v>10064</v>
      </c>
      <c r="G807" s="30">
        <v>9913</v>
      </c>
      <c r="H807" s="30">
        <v>9898</v>
      </c>
      <c r="I807" s="30">
        <v>9845</v>
      </c>
      <c r="J807" s="30">
        <v>9801</v>
      </c>
      <c r="K807" s="30">
        <v>9811</v>
      </c>
      <c r="L807" s="30">
        <v>9729</v>
      </c>
      <c r="M807" s="30">
        <v>9711</v>
      </c>
      <c r="N807" s="30">
        <v>9668</v>
      </c>
      <c r="O807" s="24" t="str">
        <f t="shared" si="25"/>
        <v>Calhoun County, Iowa</v>
      </c>
    </row>
    <row r="808" spans="1:15" x14ac:dyDescent="0.25">
      <c r="A808" s="35" t="s">
        <v>1284</v>
      </c>
      <c r="B808" s="28" t="str">
        <f t="shared" si="24"/>
        <v>Carroll</v>
      </c>
      <c r="C808" s="30">
        <v>20816</v>
      </c>
      <c r="D808" s="30">
        <v>20816</v>
      </c>
      <c r="E808" s="30">
        <v>20824</v>
      </c>
      <c r="F808" s="30">
        <v>20860</v>
      </c>
      <c r="G808" s="30">
        <v>20654</v>
      </c>
      <c r="H808" s="30">
        <v>20541</v>
      </c>
      <c r="I808" s="30">
        <v>20499</v>
      </c>
      <c r="J808" s="30">
        <v>20423</v>
      </c>
      <c r="K808" s="30">
        <v>20388</v>
      </c>
      <c r="L808" s="30">
        <v>20274</v>
      </c>
      <c r="M808" s="30">
        <v>20153</v>
      </c>
      <c r="N808" s="30">
        <v>20165</v>
      </c>
      <c r="O808" s="24" t="str">
        <f t="shared" si="25"/>
        <v>Carroll County, Iowa</v>
      </c>
    </row>
    <row r="809" spans="1:15" x14ac:dyDescent="0.25">
      <c r="A809" s="35" t="s">
        <v>1285</v>
      </c>
      <c r="B809" s="28" t="str">
        <f t="shared" si="24"/>
        <v>Cass</v>
      </c>
      <c r="C809" s="30">
        <v>13956</v>
      </c>
      <c r="D809" s="30">
        <v>13952</v>
      </c>
      <c r="E809" s="30">
        <v>13928</v>
      </c>
      <c r="F809" s="30">
        <v>13765</v>
      </c>
      <c r="G809" s="30">
        <v>13700</v>
      </c>
      <c r="H809" s="30">
        <v>13572</v>
      </c>
      <c r="I809" s="30">
        <v>13395</v>
      </c>
      <c r="J809" s="30">
        <v>13351</v>
      </c>
      <c r="K809" s="30">
        <v>13176</v>
      </c>
      <c r="L809" s="30">
        <v>13144</v>
      </c>
      <c r="M809" s="30">
        <v>12948</v>
      </c>
      <c r="N809" s="30">
        <v>12836</v>
      </c>
      <c r="O809" s="24" t="str">
        <f t="shared" si="25"/>
        <v>Cass County, Iowa</v>
      </c>
    </row>
    <row r="810" spans="1:15" x14ac:dyDescent="0.25">
      <c r="A810" s="35" t="s">
        <v>1286</v>
      </c>
      <c r="B810" s="28" t="str">
        <f t="shared" si="24"/>
        <v>Cedar</v>
      </c>
      <c r="C810" s="30">
        <v>18499</v>
      </c>
      <c r="D810" s="30">
        <v>18441</v>
      </c>
      <c r="E810" s="30">
        <v>18450</v>
      </c>
      <c r="F810" s="30">
        <v>18358</v>
      </c>
      <c r="G810" s="30">
        <v>18296</v>
      </c>
      <c r="H810" s="30">
        <v>18226</v>
      </c>
      <c r="I810" s="30">
        <v>18276</v>
      </c>
      <c r="J810" s="30">
        <v>18254</v>
      </c>
      <c r="K810" s="30">
        <v>18348</v>
      </c>
      <c r="L810" s="30">
        <v>18490</v>
      </c>
      <c r="M810" s="30">
        <v>18564</v>
      </c>
      <c r="N810" s="30">
        <v>18627</v>
      </c>
      <c r="O810" s="24" t="str">
        <f t="shared" si="25"/>
        <v>Cedar County, Iowa</v>
      </c>
    </row>
    <row r="811" spans="1:15" x14ac:dyDescent="0.25">
      <c r="A811" s="35" t="s">
        <v>1287</v>
      </c>
      <c r="B811" s="28" t="str">
        <f t="shared" si="24"/>
        <v>Cerro Gordo</v>
      </c>
      <c r="C811" s="30">
        <v>44151</v>
      </c>
      <c r="D811" s="30">
        <v>44153</v>
      </c>
      <c r="E811" s="30">
        <v>44097</v>
      </c>
      <c r="F811" s="30">
        <v>43971</v>
      </c>
      <c r="G811" s="30">
        <v>43699</v>
      </c>
      <c r="H811" s="30">
        <v>43528</v>
      </c>
      <c r="I811" s="30">
        <v>43206</v>
      </c>
      <c r="J811" s="30">
        <v>42983</v>
      </c>
      <c r="K811" s="30">
        <v>43096</v>
      </c>
      <c r="L811" s="30">
        <v>42999</v>
      </c>
      <c r="M811" s="30">
        <v>42642</v>
      </c>
      <c r="N811" s="30">
        <v>42450</v>
      </c>
      <c r="O811" s="24" t="str">
        <f t="shared" si="25"/>
        <v>Cerro Gordo County, Iowa</v>
      </c>
    </row>
    <row r="812" spans="1:15" x14ac:dyDescent="0.25">
      <c r="A812" s="35" t="s">
        <v>1288</v>
      </c>
      <c r="B812" s="28" t="str">
        <f t="shared" si="24"/>
        <v>Cherokee</v>
      </c>
      <c r="C812" s="30">
        <v>12072</v>
      </c>
      <c r="D812" s="30">
        <v>12067</v>
      </c>
      <c r="E812" s="30">
        <v>12110</v>
      </c>
      <c r="F812" s="30">
        <v>12024</v>
      </c>
      <c r="G812" s="30">
        <v>11951</v>
      </c>
      <c r="H812" s="30">
        <v>11874</v>
      </c>
      <c r="I812" s="30">
        <v>11801</v>
      </c>
      <c r="J812" s="30">
        <v>11483</v>
      </c>
      <c r="K812" s="30">
        <v>11394</v>
      </c>
      <c r="L812" s="30">
        <v>11307</v>
      </c>
      <c r="M812" s="30">
        <v>11295</v>
      </c>
      <c r="N812" s="30">
        <v>11235</v>
      </c>
      <c r="O812" s="24" t="str">
        <f t="shared" si="25"/>
        <v>Cherokee County, Iowa</v>
      </c>
    </row>
    <row r="813" spans="1:15" x14ac:dyDescent="0.25">
      <c r="A813" s="35" t="s">
        <v>1289</v>
      </c>
      <c r="B813" s="28" t="str">
        <f t="shared" si="24"/>
        <v>Chickasaw</v>
      </c>
      <c r="C813" s="30">
        <v>12439</v>
      </c>
      <c r="D813" s="30">
        <v>12442</v>
      </c>
      <c r="E813" s="30">
        <v>12410</v>
      </c>
      <c r="F813" s="30">
        <v>12405</v>
      </c>
      <c r="G813" s="30">
        <v>12287</v>
      </c>
      <c r="H813" s="30">
        <v>12274</v>
      </c>
      <c r="I813" s="30">
        <v>12252</v>
      </c>
      <c r="J813" s="30">
        <v>12151</v>
      </c>
      <c r="K813" s="30">
        <v>12094</v>
      </c>
      <c r="L813" s="30">
        <v>12002</v>
      </c>
      <c r="M813" s="30">
        <v>11952</v>
      </c>
      <c r="N813" s="30">
        <v>11933</v>
      </c>
      <c r="O813" s="24" t="str">
        <f t="shared" si="25"/>
        <v>Chickasaw County, Iowa</v>
      </c>
    </row>
    <row r="814" spans="1:15" x14ac:dyDescent="0.25">
      <c r="A814" s="35" t="s">
        <v>1290</v>
      </c>
      <c r="B814" s="28" t="str">
        <f t="shared" si="24"/>
        <v>Clarke</v>
      </c>
      <c r="C814" s="30">
        <v>9286</v>
      </c>
      <c r="D814" s="30">
        <v>9286</v>
      </c>
      <c r="E814" s="30">
        <v>9320</v>
      </c>
      <c r="F814" s="30">
        <v>9317</v>
      </c>
      <c r="G814" s="30">
        <v>9341</v>
      </c>
      <c r="H814" s="30">
        <v>9245</v>
      </c>
      <c r="I814" s="30">
        <v>9196</v>
      </c>
      <c r="J814" s="30">
        <v>9219</v>
      </c>
      <c r="K814" s="30">
        <v>9288</v>
      </c>
      <c r="L814" s="30">
        <v>9396</v>
      </c>
      <c r="M814" s="30">
        <v>9502</v>
      </c>
      <c r="N814" s="30">
        <v>9395</v>
      </c>
      <c r="O814" s="24" t="str">
        <f t="shared" si="25"/>
        <v>Clarke County, Iowa</v>
      </c>
    </row>
    <row r="815" spans="1:15" x14ac:dyDescent="0.25">
      <c r="A815" s="35" t="s">
        <v>1291</v>
      </c>
      <c r="B815" s="28" t="str">
        <f t="shared" si="24"/>
        <v>Clay</v>
      </c>
      <c r="C815" s="30">
        <v>16667</v>
      </c>
      <c r="D815" s="30">
        <v>16667</v>
      </c>
      <c r="E815" s="30">
        <v>16634</v>
      </c>
      <c r="F815" s="30">
        <v>16597</v>
      </c>
      <c r="G815" s="30">
        <v>16539</v>
      </c>
      <c r="H815" s="30">
        <v>16438</v>
      </c>
      <c r="I815" s="30">
        <v>16484</v>
      </c>
      <c r="J815" s="30">
        <v>16498</v>
      </c>
      <c r="K815" s="30">
        <v>16295</v>
      </c>
      <c r="L815" s="30">
        <v>16141</v>
      </c>
      <c r="M815" s="30">
        <v>16106</v>
      </c>
      <c r="N815" s="30">
        <v>16016</v>
      </c>
      <c r="O815" s="24" t="str">
        <f t="shared" si="25"/>
        <v>Clay County, Iowa</v>
      </c>
    </row>
    <row r="816" spans="1:15" x14ac:dyDescent="0.25">
      <c r="A816" s="35" t="s">
        <v>1292</v>
      </c>
      <c r="B816" s="28" t="str">
        <f t="shared" si="24"/>
        <v>Clayton</v>
      </c>
      <c r="C816" s="30">
        <v>18129</v>
      </c>
      <c r="D816" s="30">
        <v>18128</v>
      </c>
      <c r="E816" s="30">
        <v>18080</v>
      </c>
      <c r="F816" s="30">
        <v>18017</v>
      </c>
      <c r="G816" s="30">
        <v>17946</v>
      </c>
      <c r="H816" s="30">
        <v>17793</v>
      </c>
      <c r="I816" s="30">
        <v>17768</v>
      </c>
      <c r="J816" s="30">
        <v>17726</v>
      </c>
      <c r="K816" s="30">
        <v>17661</v>
      </c>
      <c r="L816" s="30">
        <v>17648</v>
      </c>
      <c r="M816" s="30">
        <v>17540</v>
      </c>
      <c r="N816" s="30">
        <v>17549</v>
      </c>
      <c r="O816" s="24" t="str">
        <f t="shared" si="25"/>
        <v>Clayton County, Iowa</v>
      </c>
    </row>
    <row r="817" spans="1:15" x14ac:dyDescent="0.25">
      <c r="A817" s="35" t="s">
        <v>1293</v>
      </c>
      <c r="B817" s="28" t="str">
        <f t="shared" si="24"/>
        <v>Clinton</v>
      </c>
      <c r="C817" s="30">
        <v>49116</v>
      </c>
      <c r="D817" s="30">
        <v>49117</v>
      </c>
      <c r="E817" s="30">
        <v>49096</v>
      </c>
      <c r="F817" s="30">
        <v>49102</v>
      </c>
      <c r="G817" s="30">
        <v>48701</v>
      </c>
      <c r="H817" s="30">
        <v>48281</v>
      </c>
      <c r="I817" s="30">
        <v>47895</v>
      </c>
      <c r="J817" s="30">
        <v>47558</v>
      </c>
      <c r="K817" s="30">
        <v>47248</v>
      </c>
      <c r="L817" s="30">
        <v>46874</v>
      </c>
      <c r="M817" s="30">
        <v>46437</v>
      </c>
      <c r="N817" s="30">
        <v>46429</v>
      </c>
      <c r="O817" s="24" t="str">
        <f t="shared" si="25"/>
        <v>Clinton County, Iowa</v>
      </c>
    </row>
    <row r="818" spans="1:15" x14ac:dyDescent="0.25">
      <c r="A818" s="35" t="s">
        <v>1294</v>
      </c>
      <c r="B818" s="28" t="str">
        <f t="shared" si="24"/>
        <v>Crawford</v>
      </c>
      <c r="C818" s="30">
        <v>17096</v>
      </c>
      <c r="D818" s="30">
        <v>17096</v>
      </c>
      <c r="E818" s="30">
        <v>17170</v>
      </c>
      <c r="F818" s="30">
        <v>17217</v>
      </c>
      <c r="G818" s="30">
        <v>17299</v>
      </c>
      <c r="H818" s="30">
        <v>17360</v>
      </c>
      <c r="I818" s="30">
        <v>17168</v>
      </c>
      <c r="J818" s="30">
        <v>17082</v>
      </c>
      <c r="K818" s="30">
        <v>17103</v>
      </c>
      <c r="L818" s="30">
        <v>17076</v>
      </c>
      <c r="M818" s="30">
        <v>17089</v>
      </c>
      <c r="N818" s="30">
        <v>16820</v>
      </c>
      <c r="O818" s="24" t="str">
        <f t="shared" si="25"/>
        <v>Crawford County, Iowa</v>
      </c>
    </row>
    <row r="819" spans="1:15" x14ac:dyDescent="0.25">
      <c r="A819" s="35" t="s">
        <v>1295</v>
      </c>
      <c r="B819" s="28" t="str">
        <f t="shared" si="24"/>
        <v>Dallas</v>
      </c>
      <c r="C819" s="30">
        <v>66135</v>
      </c>
      <c r="D819" s="30">
        <v>66139</v>
      </c>
      <c r="E819" s="30">
        <v>66750</v>
      </c>
      <c r="F819" s="30">
        <v>69696</v>
      </c>
      <c r="G819" s="30">
        <v>72235</v>
      </c>
      <c r="H819" s="30">
        <v>74949</v>
      </c>
      <c r="I819" s="30">
        <v>77739</v>
      </c>
      <c r="J819" s="30">
        <v>80631</v>
      </c>
      <c r="K819" s="30">
        <v>84248</v>
      </c>
      <c r="L819" s="30">
        <v>87208</v>
      </c>
      <c r="M819" s="30">
        <v>89953</v>
      </c>
      <c r="N819" s="30">
        <v>93453</v>
      </c>
      <c r="O819" s="24" t="str">
        <f t="shared" si="25"/>
        <v>Dallas County, Iowa</v>
      </c>
    </row>
    <row r="820" spans="1:15" x14ac:dyDescent="0.25">
      <c r="A820" s="35" t="s">
        <v>1296</v>
      </c>
      <c r="B820" s="28" t="str">
        <f t="shared" si="24"/>
        <v>Davis</v>
      </c>
      <c r="C820" s="30">
        <v>8753</v>
      </c>
      <c r="D820" s="30">
        <v>8753</v>
      </c>
      <c r="E820" s="30">
        <v>8776</v>
      </c>
      <c r="F820" s="30">
        <v>8771</v>
      </c>
      <c r="G820" s="30">
        <v>8707</v>
      </c>
      <c r="H820" s="30">
        <v>8769</v>
      </c>
      <c r="I820" s="30">
        <v>8756</v>
      </c>
      <c r="J820" s="30">
        <v>8777</v>
      </c>
      <c r="K820" s="30">
        <v>8884</v>
      </c>
      <c r="L820" s="30">
        <v>8969</v>
      </c>
      <c r="M820" s="30">
        <v>8972</v>
      </c>
      <c r="N820" s="30">
        <v>9000</v>
      </c>
      <c r="O820" s="24" t="str">
        <f t="shared" si="25"/>
        <v>Davis County, Iowa</v>
      </c>
    </row>
    <row r="821" spans="1:15" x14ac:dyDescent="0.25">
      <c r="A821" s="35" t="s">
        <v>1297</v>
      </c>
      <c r="B821" s="28" t="str">
        <f t="shared" si="24"/>
        <v>Decatur</v>
      </c>
      <c r="C821" s="30">
        <v>8457</v>
      </c>
      <c r="D821" s="30">
        <v>8456</v>
      </c>
      <c r="E821" s="30">
        <v>8418</v>
      </c>
      <c r="F821" s="30">
        <v>8249</v>
      </c>
      <c r="G821" s="30">
        <v>8239</v>
      </c>
      <c r="H821" s="30">
        <v>8216</v>
      </c>
      <c r="I821" s="30">
        <v>8209</v>
      </c>
      <c r="J821" s="30">
        <v>8137</v>
      </c>
      <c r="K821" s="30">
        <v>8053</v>
      </c>
      <c r="L821" s="30">
        <v>7947</v>
      </c>
      <c r="M821" s="30">
        <v>7890</v>
      </c>
      <c r="N821" s="30">
        <v>7870</v>
      </c>
      <c r="O821" s="24" t="str">
        <f t="shared" si="25"/>
        <v>Decatur County, Iowa</v>
      </c>
    </row>
    <row r="822" spans="1:15" x14ac:dyDescent="0.25">
      <c r="A822" s="35" t="s">
        <v>1298</v>
      </c>
      <c r="B822" s="28" t="str">
        <f t="shared" si="24"/>
        <v>Delaware</v>
      </c>
      <c r="C822" s="30">
        <v>17764</v>
      </c>
      <c r="D822" s="30">
        <v>17770</v>
      </c>
      <c r="E822" s="30">
        <v>17764</v>
      </c>
      <c r="F822" s="30">
        <v>17632</v>
      </c>
      <c r="G822" s="30">
        <v>17567</v>
      </c>
      <c r="H822" s="30">
        <v>17473</v>
      </c>
      <c r="I822" s="30">
        <v>17395</v>
      </c>
      <c r="J822" s="30">
        <v>17393</v>
      </c>
      <c r="K822" s="30">
        <v>17288</v>
      </c>
      <c r="L822" s="30">
        <v>17143</v>
      </c>
      <c r="M822" s="30">
        <v>17081</v>
      </c>
      <c r="N822" s="30">
        <v>17011</v>
      </c>
      <c r="O822" s="24" t="str">
        <f t="shared" si="25"/>
        <v>Delaware County, Iowa</v>
      </c>
    </row>
    <row r="823" spans="1:15" x14ac:dyDescent="0.25">
      <c r="A823" s="35" t="s">
        <v>1299</v>
      </c>
      <c r="B823" s="28" t="str">
        <f t="shared" si="24"/>
        <v>Des Moines</v>
      </c>
      <c r="C823" s="30">
        <v>40325</v>
      </c>
      <c r="D823" s="30">
        <v>40325</v>
      </c>
      <c r="E823" s="30">
        <v>40241</v>
      </c>
      <c r="F823" s="30">
        <v>40066</v>
      </c>
      <c r="G823" s="30">
        <v>40229</v>
      </c>
      <c r="H823" s="30">
        <v>40395</v>
      </c>
      <c r="I823" s="30">
        <v>40096</v>
      </c>
      <c r="J823" s="30">
        <v>39874</v>
      </c>
      <c r="K823" s="30">
        <v>39613</v>
      </c>
      <c r="L823" s="30">
        <v>39326</v>
      </c>
      <c r="M823" s="30">
        <v>39149</v>
      </c>
      <c r="N823" s="30">
        <v>38967</v>
      </c>
      <c r="O823" s="24" t="str">
        <f t="shared" si="25"/>
        <v>Des Moines County, Iowa</v>
      </c>
    </row>
    <row r="824" spans="1:15" x14ac:dyDescent="0.25">
      <c r="A824" s="35" t="s">
        <v>1300</v>
      </c>
      <c r="B824" s="28" t="str">
        <f t="shared" si="24"/>
        <v>Dickinson</v>
      </c>
      <c r="C824" s="30">
        <v>16667</v>
      </c>
      <c r="D824" s="30">
        <v>16667</v>
      </c>
      <c r="E824" s="30">
        <v>16670</v>
      </c>
      <c r="F824" s="30">
        <v>16859</v>
      </c>
      <c r="G824" s="30">
        <v>16925</v>
      </c>
      <c r="H824" s="30">
        <v>16878</v>
      </c>
      <c r="I824" s="30">
        <v>16840</v>
      </c>
      <c r="J824" s="30">
        <v>17004</v>
      </c>
      <c r="K824" s="30">
        <v>17109</v>
      </c>
      <c r="L824" s="30">
        <v>17141</v>
      </c>
      <c r="M824" s="30">
        <v>17121</v>
      </c>
      <c r="N824" s="30">
        <v>17258</v>
      </c>
      <c r="O824" s="24" t="str">
        <f t="shared" si="25"/>
        <v>Dickinson County, Iowa</v>
      </c>
    </row>
    <row r="825" spans="1:15" x14ac:dyDescent="0.25">
      <c r="A825" s="35" t="s">
        <v>1301</v>
      </c>
      <c r="B825" s="28" t="str">
        <f t="shared" si="24"/>
        <v>Dubuque</v>
      </c>
      <c r="C825" s="30">
        <v>93653</v>
      </c>
      <c r="D825" s="30">
        <v>93643</v>
      </c>
      <c r="E825" s="30">
        <v>93929</v>
      </c>
      <c r="F825" s="30">
        <v>94593</v>
      </c>
      <c r="G825" s="30">
        <v>95159</v>
      </c>
      <c r="H825" s="30">
        <v>95945</v>
      </c>
      <c r="I825" s="30">
        <v>96481</v>
      </c>
      <c r="J825" s="30">
        <v>96850</v>
      </c>
      <c r="K825" s="30">
        <v>96763</v>
      </c>
      <c r="L825" s="30">
        <v>97066</v>
      </c>
      <c r="M825" s="30">
        <v>96922</v>
      </c>
      <c r="N825" s="30">
        <v>97311</v>
      </c>
      <c r="O825" s="24" t="str">
        <f t="shared" si="25"/>
        <v>Dubuque County, Iowa</v>
      </c>
    </row>
    <row r="826" spans="1:15" x14ac:dyDescent="0.25">
      <c r="A826" s="35" t="s">
        <v>1302</v>
      </c>
      <c r="B826" s="28" t="str">
        <f t="shared" si="24"/>
        <v>Emmet</v>
      </c>
      <c r="C826" s="30">
        <v>10302</v>
      </c>
      <c r="D826" s="30">
        <v>10302</v>
      </c>
      <c r="E826" s="30">
        <v>10276</v>
      </c>
      <c r="F826" s="30">
        <v>10089</v>
      </c>
      <c r="G826" s="30">
        <v>9944</v>
      </c>
      <c r="H826" s="30">
        <v>9880</v>
      </c>
      <c r="I826" s="30">
        <v>9821</v>
      </c>
      <c r="J826" s="30">
        <v>9702</v>
      </c>
      <c r="K826" s="30">
        <v>9581</v>
      </c>
      <c r="L826" s="30">
        <v>9422</v>
      </c>
      <c r="M826" s="30">
        <v>9277</v>
      </c>
      <c r="N826" s="30">
        <v>9208</v>
      </c>
      <c r="O826" s="24" t="str">
        <f t="shared" si="25"/>
        <v>Emmet County, Iowa</v>
      </c>
    </row>
    <row r="827" spans="1:15" x14ac:dyDescent="0.25">
      <c r="A827" s="35" t="s">
        <v>1303</v>
      </c>
      <c r="B827" s="28" t="str">
        <f t="shared" si="24"/>
        <v>Fayette</v>
      </c>
      <c r="C827" s="30">
        <v>20880</v>
      </c>
      <c r="D827" s="30">
        <v>20882</v>
      </c>
      <c r="E827" s="30">
        <v>20860</v>
      </c>
      <c r="F827" s="30">
        <v>20976</v>
      </c>
      <c r="G827" s="30">
        <v>20774</v>
      </c>
      <c r="H827" s="30">
        <v>20519</v>
      </c>
      <c r="I827" s="30">
        <v>20290</v>
      </c>
      <c r="J827" s="30">
        <v>20142</v>
      </c>
      <c r="K827" s="30">
        <v>19858</v>
      </c>
      <c r="L827" s="30">
        <v>19687</v>
      </c>
      <c r="M827" s="30">
        <v>19679</v>
      </c>
      <c r="N827" s="30">
        <v>19650</v>
      </c>
      <c r="O827" s="24" t="str">
        <f t="shared" si="25"/>
        <v>Fayette County, Iowa</v>
      </c>
    </row>
    <row r="828" spans="1:15" x14ac:dyDescent="0.25">
      <c r="A828" s="35" t="s">
        <v>1304</v>
      </c>
      <c r="B828" s="28" t="str">
        <f t="shared" si="24"/>
        <v>Floyd</v>
      </c>
      <c r="C828" s="30">
        <v>16303</v>
      </c>
      <c r="D828" s="30">
        <v>16293</v>
      </c>
      <c r="E828" s="30">
        <v>16309</v>
      </c>
      <c r="F828" s="30">
        <v>16095</v>
      </c>
      <c r="G828" s="30">
        <v>16087</v>
      </c>
      <c r="H828" s="30">
        <v>16023</v>
      </c>
      <c r="I828" s="30">
        <v>15999</v>
      </c>
      <c r="J828" s="30">
        <v>15910</v>
      </c>
      <c r="K828" s="30">
        <v>15857</v>
      </c>
      <c r="L828" s="30">
        <v>15767</v>
      </c>
      <c r="M828" s="30">
        <v>15752</v>
      </c>
      <c r="N828" s="30">
        <v>15642</v>
      </c>
      <c r="O828" s="24" t="str">
        <f t="shared" si="25"/>
        <v>Floyd County, Iowa</v>
      </c>
    </row>
    <row r="829" spans="1:15" x14ac:dyDescent="0.25">
      <c r="A829" s="35" t="s">
        <v>1305</v>
      </c>
      <c r="B829" s="28" t="str">
        <f t="shared" si="24"/>
        <v>Franklin</v>
      </c>
      <c r="C829" s="30">
        <v>10680</v>
      </c>
      <c r="D829" s="30">
        <v>10680</v>
      </c>
      <c r="E829" s="30">
        <v>10706</v>
      </c>
      <c r="F829" s="30">
        <v>10693</v>
      </c>
      <c r="G829" s="30">
        <v>10509</v>
      </c>
      <c r="H829" s="30">
        <v>10507</v>
      </c>
      <c r="I829" s="30">
        <v>10433</v>
      </c>
      <c r="J829" s="30">
        <v>10319</v>
      </c>
      <c r="K829" s="30">
        <v>10177</v>
      </c>
      <c r="L829" s="30">
        <v>10160</v>
      </c>
      <c r="M829" s="30">
        <v>10085</v>
      </c>
      <c r="N829" s="30">
        <v>10070</v>
      </c>
      <c r="O829" s="24" t="str">
        <f t="shared" si="25"/>
        <v>Franklin County, Iowa</v>
      </c>
    </row>
    <row r="830" spans="1:15" x14ac:dyDescent="0.25">
      <c r="A830" s="35" t="s">
        <v>1306</v>
      </c>
      <c r="B830" s="28" t="str">
        <f t="shared" si="24"/>
        <v>Fremont</v>
      </c>
      <c r="C830" s="30">
        <v>7441</v>
      </c>
      <c r="D830" s="30">
        <v>7438</v>
      </c>
      <c r="E830" s="30">
        <v>7434</v>
      </c>
      <c r="F830" s="30">
        <v>7371</v>
      </c>
      <c r="G830" s="30">
        <v>7141</v>
      </c>
      <c r="H830" s="30">
        <v>7069</v>
      </c>
      <c r="I830" s="30">
        <v>7030</v>
      </c>
      <c r="J830" s="30">
        <v>6912</v>
      </c>
      <c r="K830" s="30">
        <v>6947</v>
      </c>
      <c r="L830" s="30">
        <v>6930</v>
      </c>
      <c r="M830" s="30">
        <v>6981</v>
      </c>
      <c r="N830" s="30">
        <v>6960</v>
      </c>
      <c r="O830" s="24" t="str">
        <f t="shared" si="25"/>
        <v>Fremont County, Iowa</v>
      </c>
    </row>
    <row r="831" spans="1:15" x14ac:dyDescent="0.25">
      <c r="A831" s="35" t="s">
        <v>1307</v>
      </c>
      <c r="B831" s="28" t="str">
        <f t="shared" si="24"/>
        <v>Greene</v>
      </c>
      <c r="C831" s="30">
        <v>9336</v>
      </c>
      <c r="D831" s="30">
        <v>9337</v>
      </c>
      <c r="E831" s="30">
        <v>9362</v>
      </c>
      <c r="F831" s="30">
        <v>9332</v>
      </c>
      <c r="G831" s="30">
        <v>9181</v>
      </c>
      <c r="H831" s="30">
        <v>9159</v>
      </c>
      <c r="I831" s="30">
        <v>9124</v>
      </c>
      <c r="J831" s="30">
        <v>8944</v>
      </c>
      <c r="K831" s="30">
        <v>9001</v>
      </c>
      <c r="L831" s="30">
        <v>8954</v>
      </c>
      <c r="M831" s="30">
        <v>8965</v>
      </c>
      <c r="N831" s="30">
        <v>8888</v>
      </c>
      <c r="O831" s="24" t="str">
        <f t="shared" si="25"/>
        <v>Greene County, Iowa</v>
      </c>
    </row>
    <row r="832" spans="1:15" x14ac:dyDescent="0.25">
      <c r="A832" s="35" t="s">
        <v>1308</v>
      </c>
      <c r="B832" s="28" t="str">
        <f t="shared" si="24"/>
        <v>Grundy</v>
      </c>
      <c r="C832" s="30">
        <v>12453</v>
      </c>
      <c r="D832" s="30">
        <v>12453</v>
      </c>
      <c r="E832" s="30">
        <v>12463</v>
      </c>
      <c r="F832" s="30">
        <v>12478</v>
      </c>
      <c r="G832" s="30">
        <v>12437</v>
      </c>
      <c r="H832" s="30">
        <v>12341</v>
      </c>
      <c r="I832" s="30">
        <v>12390</v>
      </c>
      <c r="J832" s="30">
        <v>12405</v>
      </c>
      <c r="K832" s="30">
        <v>12286</v>
      </c>
      <c r="L832" s="30">
        <v>12298</v>
      </c>
      <c r="M832" s="30">
        <v>12272</v>
      </c>
      <c r="N832" s="30">
        <v>12232</v>
      </c>
      <c r="O832" s="24" t="str">
        <f t="shared" si="25"/>
        <v>Grundy County, Iowa</v>
      </c>
    </row>
    <row r="833" spans="1:15" x14ac:dyDescent="0.25">
      <c r="A833" s="35" t="s">
        <v>1309</v>
      </c>
      <c r="B833" s="28" t="str">
        <f t="shared" si="24"/>
        <v>Guthrie</v>
      </c>
      <c r="C833" s="30">
        <v>10954</v>
      </c>
      <c r="D833" s="30">
        <v>10955</v>
      </c>
      <c r="E833" s="30">
        <v>10937</v>
      </c>
      <c r="F833" s="30">
        <v>10859</v>
      </c>
      <c r="G833" s="30">
        <v>10762</v>
      </c>
      <c r="H833" s="30">
        <v>10671</v>
      </c>
      <c r="I833" s="30">
        <v>10686</v>
      </c>
      <c r="J833" s="30">
        <v>10649</v>
      </c>
      <c r="K833" s="30">
        <v>10642</v>
      </c>
      <c r="L833" s="30">
        <v>10645</v>
      </c>
      <c r="M833" s="30">
        <v>10720</v>
      </c>
      <c r="N833" s="30">
        <v>10689</v>
      </c>
      <c r="O833" s="24" t="str">
        <f t="shared" si="25"/>
        <v>Guthrie County, Iowa</v>
      </c>
    </row>
    <row r="834" spans="1:15" x14ac:dyDescent="0.25">
      <c r="A834" s="35" t="s">
        <v>1310</v>
      </c>
      <c r="B834" s="28" t="str">
        <f t="shared" si="24"/>
        <v>Hamilton</v>
      </c>
      <c r="C834" s="30">
        <v>15673</v>
      </c>
      <c r="D834" s="30">
        <v>15675</v>
      </c>
      <c r="E834" s="30">
        <v>15633</v>
      </c>
      <c r="F834" s="30">
        <v>15467</v>
      </c>
      <c r="G834" s="30">
        <v>15321</v>
      </c>
      <c r="H834" s="30">
        <v>15343</v>
      </c>
      <c r="I834" s="30">
        <v>15217</v>
      </c>
      <c r="J834" s="30">
        <v>15218</v>
      </c>
      <c r="K834" s="30">
        <v>15075</v>
      </c>
      <c r="L834" s="30">
        <v>15032</v>
      </c>
      <c r="M834" s="30">
        <v>14886</v>
      </c>
      <c r="N834" s="30">
        <v>14773</v>
      </c>
      <c r="O834" s="24" t="str">
        <f t="shared" si="25"/>
        <v>Hamilton County, Iowa</v>
      </c>
    </row>
    <row r="835" spans="1:15" x14ac:dyDescent="0.25">
      <c r="A835" s="35" t="s">
        <v>1311</v>
      </c>
      <c r="B835" s="28" t="str">
        <f t="shared" si="24"/>
        <v>Hancock</v>
      </c>
      <c r="C835" s="30">
        <v>11341</v>
      </c>
      <c r="D835" s="30">
        <v>11338</v>
      </c>
      <c r="E835" s="30">
        <v>11297</v>
      </c>
      <c r="F835" s="30">
        <v>11292</v>
      </c>
      <c r="G835" s="30">
        <v>11175</v>
      </c>
      <c r="H835" s="30">
        <v>11131</v>
      </c>
      <c r="I835" s="30">
        <v>11040</v>
      </c>
      <c r="J835" s="30">
        <v>11028</v>
      </c>
      <c r="K835" s="30">
        <v>10887</v>
      </c>
      <c r="L835" s="30">
        <v>10756</v>
      </c>
      <c r="M835" s="30">
        <v>10710</v>
      </c>
      <c r="N835" s="30">
        <v>10630</v>
      </c>
      <c r="O835" s="24" t="str">
        <f t="shared" si="25"/>
        <v>Hancock County, Iowa</v>
      </c>
    </row>
    <row r="836" spans="1:15" x14ac:dyDescent="0.25">
      <c r="A836" s="35" t="s">
        <v>1312</v>
      </c>
      <c r="B836" s="28" t="str">
        <f t="shared" si="24"/>
        <v>Hardin</v>
      </c>
      <c r="C836" s="30">
        <v>17534</v>
      </c>
      <c r="D836" s="30">
        <v>17534</v>
      </c>
      <c r="E836" s="30">
        <v>17543</v>
      </c>
      <c r="F836" s="30">
        <v>17375</v>
      </c>
      <c r="G836" s="30">
        <v>17359</v>
      </c>
      <c r="H836" s="30">
        <v>17388</v>
      </c>
      <c r="I836" s="30">
        <v>17332</v>
      </c>
      <c r="J836" s="30">
        <v>17253</v>
      </c>
      <c r="K836" s="30">
        <v>17196</v>
      </c>
      <c r="L836" s="30">
        <v>17073</v>
      </c>
      <c r="M836" s="30">
        <v>16937</v>
      </c>
      <c r="N836" s="30">
        <v>16846</v>
      </c>
      <c r="O836" s="24" t="str">
        <f t="shared" si="25"/>
        <v>Hardin County, Iowa</v>
      </c>
    </row>
    <row r="837" spans="1:15" x14ac:dyDescent="0.25">
      <c r="A837" s="35" t="s">
        <v>1313</v>
      </c>
      <c r="B837" s="28" t="str">
        <f t="shared" si="24"/>
        <v>Harrison</v>
      </c>
      <c r="C837" s="30">
        <v>14928</v>
      </c>
      <c r="D837" s="30">
        <v>14937</v>
      </c>
      <c r="E837" s="30">
        <v>14909</v>
      </c>
      <c r="F837" s="30">
        <v>14764</v>
      </c>
      <c r="G837" s="30">
        <v>14475</v>
      </c>
      <c r="H837" s="30">
        <v>14357</v>
      </c>
      <c r="I837" s="30">
        <v>14265</v>
      </c>
      <c r="J837" s="30">
        <v>14139</v>
      </c>
      <c r="K837" s="30">
        <v>14046</v>
      </c>
      <c r="L837" s="30">
        <v>14107</v>
      </c>
      <c r="M837" s="30">
        <v>14105</v>
      </c>
      <c r="N837" s="30">
        <v>14049</v>
      </c>
      <c r="O837" s="24" t="str">
        <f t="shared" si="25"/>
        <v>Harrison County, Iowa</v>
      </c>
    </row>
    <row r="838" spans="1:15" x14ac:dyDescent="0.25">
      <c r="A838" s="35" t="s">
        <v>1314</v>
      </c>
      <c r="B838" s="28" t="str">
        <f t="shared" si="24"/>
        <v>Henry</v>
      </c>
      <c r="C838" s="30">
        <v>20145</v>
      </c>
      <c r="D838" s="30">
        <v>20145</v>
      </c>
      <c r="E838" s="30">
        <v>20106</v>
      </c>
      <c r="F838" s="30">
        <v>20243</v>
      </c>
      <c r="G838" s="30">
        <v>19992</v>
      </c>
      <c r="H838" s="30">
        <v>20021</v>
      </c>
      <c r="I838" s="30">
        <v>19834</v>
      </c>
      <c r="J838" s="30">
        <v>19843</v>
      </c>
      <c r="K838" s="30">
        <v>19833</v>
      </c>
      <c r="L838" s="30">
        <v>20044</v>
      </c>
      <c r="M838" s="30">
        <v>20033</v>
      </c>
      <c r="N838" s="30">
        <v>19954</v>
      </c>
      <c r="O838" s="24" t="str">
        <f t="shared" si="25"/>
        <v>Henry County, Iowa</v>
      </c>
    </row>
    <row r="839" spans="1:15" x14ac:dyDescent="0.25">
      <c r="A839" s="35" t="s">
        <v>1315</v>
      </c>
      <c r="B839" s="28" t="str">
        <f t="shared" ref="B839:B902" si="26">LEFT(A839,FIND("County",A839,1)-2)</f>
        <v>Howard</v>
      </c>
      <c r="C839" s="30">
        <v>9566</v>
      </c>
      <c r="D839" s="30">
        <v>9564</v>
      </c>
      <c r="E839" s="30">
        <v>9568</v>
      </c>
      <c r="F839" s="30">
        <v>9546</v>
      </c>
      <c r="G839" s="30">
        <v>9548</v>
      </c>
      <c r="H839" s="30">
        <v>9439</v>
      </c>
      <c r="I839" s="30">
        <v>9353</v>
      </c>
      <c r="J839" s="30">
        <v>9313</v>
      </c>
      <c r="K839" s="30">
        <v>9257</v>
      </c>
      <c r="L839" s="30">
        <v>9229</v>
      </c>
      <c r="M839" s="30">
        <v>9172</v>
      </c>
      <c r="N839" s="30">
        <v>9158</v>
      </c>
      <c r="O839" s="24" t="str">
        <f t="shared" ref="O839:O902" si="27">A839</f>
        <v>Howard County, Iowa</v>
      </c>
    </row>
    <row r="840" spans="1:15" x14ac:dyDescent="0.25">
      <c r="A840" s="35" t="s">
        <v>1316</v>
      </c>
      <c r="B840" s="28" t="str">
        <f t="shared" si="26"/>
        <v>Humboldt</v>
      </c>
      <c r="C840" s="30">
        <v>9815</v>
      </c>
      <c r="D840" s="30">
        <v>9814</v>
      </c>
      <c r="E840" s="30">
        <v>9792</v>
      </c>
      <c r="F840" s="30">
        <v>9782</v>
      </c>
      <c r="G840" s="30">
        <v>9723</v>
      </c>
      <c r="H840" s="30">
        <v>9677</v>
      </c>
      <c r="I840" s="30">
        <v>9636</v>
      </c>
      <c r="J840" s="30">
        <v>9556</v>
      </c>
      <c r="K840" s="30">
        <v>9530</v>
      </c>
      <c r="L840" s="30">
        <v>9569</v>
      </c>
      <c r="M840" s="30">
        <v>9559</v>
      </c>
      <c r="N840" s="30">
        <v>9558</v>
      </c>
      <c r="O840" s="24" t="str">
        <f t="shared" si="27"/>
        <v>Humboldt County, Iowa</v>
      </c>
    </row>
    <row r="841" spans="1:15" x14ac:dyDescent="0.25">
      <c r="A841" s="35" t="s">
        <v>1317</v>
      </c>
      <c r="B841" s="28" t="str">
        <f t="shared" si="26"/>
        <v>Ida</v>
      </c>
      <c r="C841" s="30">
        <v>7089</v>
      </c>
      <c r="D841" s="30">
        <v>7089</v>
      </c>
      <c r="E841" s="30">
        <v>7066</v>
      </c>
      <c r="F841" s="30">
        <v>7046</v>
      </c>
      <c r="G841" s="30">
        <v>7044</v>
      </c>
      <c r="H841" s="30">
        <v>7074</v>
      </c>
      <c r="I841" s="30">
        <v>6971</v>
      </c>
      <c r="J841" s="30">
        <v>6968</v>
      </c>
      <c r="K841" s="30">
        <v>6961</v>
      </c>
      <c r="L841" s="30">
        <v>6869</v>
      </c>
      <c r="M841" s="30">
        <v>6846</v>
      </c>
      <c r="N841" s="30">
        <v>6860</v>
      </c>
      <c r="O841" s="24" t="str">
        <f t="shared" si="27"/>
        <v>Ida County, Iowa</v>
      </c>
    </row>
    <row r="842" spans="1:15" x14ac:dyDescent="0.25">
      <c r="A842" s="35" t="s">
        <v>1318</v>
      </c>
      <c r="B842" s="28" t="str">
        <f t="shared" si="26"/>
        <v>Iowa</v>
      </c>
      <c r="C842" s="30">
        <v>16355</v>
      </c>
      <c r="D842" s="30">
        <v>16356</v>
      </c>
      <c r="E842" s="30">
        <v>16335</v>
      </c>
      <c r="F842" s="30">
        <v>16323</v>
      </c>
      <c r="G842" s="30">
        <v>16180</v>
      </c>
      <c r="H842" s="30">
        <v>16281</v>
      </c>
      <c r="I842" s="30">
        <v>16317</v>
      </c>
      <c r="J842" s="30">
        <v>16282</v>
      </c>
      <c r="K842" s="30">
        <v>16192</v>
      </c>
      <c r="L842" s="30">
        <v>16133</v>
      </c>
      <c r="M842" s="30">
        <v>16155</v>
      </c>
      <c r="N842" s="30">
        <v>16184</v>
      </c>
      <c r="O842" s="24" t="str">
        <f t="shared" si="27"/>
        <v>Iowa County, Iowa</v>
      </c>
    </row>
    <row r="843" spans="1:15" x14ac:dyDescent="0.25">
      <c r="A843" s="35" t="s">
        <v>1319</v>
      </c>
      <c r="B843" s="28" t="str">
        <f t="shared" si="26"/>
        <v>Jackson</v>
      </c>
      <c r="C843" s="30">
        <v>19848</v>
      </c>
      <c r="D843" s="30">
        <v>19853</v>
      </c>
      <c r="E843" s="30">
        <v>19830</v>
      </c>
      <c r="F843" s="30">
        <v>19734</v>
      </c>
      <c r="G843" s="30">
        <v>19685</v>
      </c>
      <c r="H843" s="30">
        <v>19517</v>
      </c>
      <c r="I843" s="30">
        <v>19431</v>
      </c>
      <c r="J843" s="30">
        <v>19366</v>
      </c>
      <c r="K843" s="30">
        <v>19393</v>
      </c>
      <c r="L843" s="30">
        <v>19382</v>
      </c>
      <c r="M843" s="30">
        <v>19427</v>
      </c>
      <c r="N843" s="30">
        <v>19439</v>
      </c>
      <c r="O843" s="24" t="str">
        <f t="shared" si="27"/>
        <v>Jackson County, Iowa</v>
      </c>
    </row>
    <row r="844" spans="1:15" x14ac:dyDescent="0.25">
      <c r="A844" s="35" t="s">
        <v>1320</v>
      </c>
      <c r="B844" s="28" t="str">
        <f t="shared" si="26"/>
        <v>Jasper</v>
      </c>
      <c r="C844" s="30">
        <v>36842</v>
      </c>
      <c r="D844" s="30">
        <v>36842</v>
      </c>
      <c r="E844" s="30">
        <v>36812</v>
      </c>
      <c r="F844" s="30">
        <v>36622</v>
      </c>
      <c r="G844" s="30">
        <v>36574</v>
      </c>
      <c r="H844" s="30">
        <v>36728</v>
      </c>
      <c r="I844" s="30">
        <v>36886</v>
      </c>
      <c r="J844" s="30">
        <v>36750</v>
      </c>
      <c r="K844" s="30">
        <v>36736</v>
      </c>
      <c r="L844" s="30">
        <v>36995</v>
      </c>
      <c r="M844" s="30">
        <v>37189</v>
      </c>
      <c r="N844" s="30">
        <v>37185</v>
      </c>
      <c r="O844" s="24" t="str">
        <f t="shared" si="27"/>
        <v>Jasper County, Iowa</v>
      </c>
    </row>
    <row r="845" spans="1:15" x14ac:dyDescent="0.25">
      <c r="A845" s="35" t="s">
        <v>1321</v>
      </c>
      <c r="B845" s="28" t="str">
        <f t="shared" si="26"/>
        <v>Jefferson</v>
      </c>
      <c r="C845" s="30">
        <v>16843</v>
      </c>
      <c r="D845" s="30">
        <v>16840</v>
      </c>
      <c r="E845" s="30">
        <v>16837</v>
      </c>
      <c r="F845" s="30">
        <v>17096</v>
      </c>
      <c r="G845" s="30">
        <v>17278</v>
      </c>
      <c r="H845" s="30">
        <v>17629</v>
      </c>
      <c r="I845" s="30">
        <v>17793</v>
      </c>
      <c r="J845" s="30">
        <v>17906</v>
      </c>
      <c r="K845" s="30">
        <v>18063</v>
      </c>
      <c r="L845" s="30">
        <v>18219</v>
      </c>
      <c r="M845" s="30">
        <v>18256</v>
      </c>
      <c r="N845" s="30">
        <v>18295</v>
      </c>
      <c r="O845" s="24" t="str">
        <f t="shared" si="27"/>
        <v>Jefferson County, Iowa</v>
      </c>
    </row>
    <row r="846" spans="1:15" x14ac:dyDescent="0.25">
      <c r="A846" s="35" t="s">
        <v>1322</v>
      </c>
      <c r="B846" s="28" t="str">
        <f t="shared" si="26"/>
        <v>Johnson</v>
      </c>
      <c r="C846" s="30">
        <v>130882</v>
      </c>
      <c r="D846" s="30">
        <v>130882</v>
      </c>
      <c r="E846" s="30">
        <v>131337</v>
      </c>
      <c r="F846" s="30">
        <v>134086</v>
      </c>
      <c r="G846" s="30">
        <v>137103</v>
      </c>
      <c r="H846" s="30">
        <v>140151</v>
      </c>
      <c r="I846" s="30">
        <v>142730</v>
      </c>
      <c r="J846" s="30">
        <v>144943</v>
      </c>
      <c r="K846" s="30">
        <v>146928</v>
      </c>
      <c r="L846" s="30">
        <v>149325</v>
      </c>
      <c r="M846" s="30">
        <v>150549</v>
      </c>
      <c r="N846" s="30">
        <v>151140</v>
      </c>
      <c r="O846" s="24" t="str">
        <f t="shared" si="27"/>
        <v>Johnson County, Iowa</v>
      </c>
    </row>
    <row r="847" spans="1:15" x14ac:dyDescent="0.25">
      <c r="A847" s="35" t="s">
        <v>1323</v>
      </c>
      <c r="B847" s="28" t="str">
        <f t="shared" si="26"/>
        <v>Jones</v>
      </c>
      <c r="C847" s="30">
        <v>20638</v>
      </c>
      <c r="D847" s="30">
        <v>20636</v>
      </c>
      <c r="E847" s="30">
        <v>20689</v>
      </c>
      <c r="F847" s="30">
        <v>20743</v>
      </c>
      <c r="G847" s="30">
        <v>20601</v>
      </c>
      <c r="H847" s="30">
        <v>20519</v>
      </c>
      <c r="I847" s="30">
        <v>20548</v>
      </c>
      <c r="J847" s="30">
        <v>20433</v>
      </c>
      <c r="K847" s="30">
        <v>20392</v>
      </c>
      <c r="L847" s="30">
        <v>20618</v>
      </c>
      <c r="M847" s="30">
        <v>20673</v>
      </c>
      <c r="N847" s="30">
        <v>20681</v>
      </c>
      <c r="O847" s="24" t="str">
        <f t="shared" si="27"/>
        <v>Jones County, Iowa</v>
      </c>
    </row>
    <row r="848" spans="1:15" x14ac:dyDescent="0.25">
      <c r="A848" s="35" t="s">
        <v>1324</v>
      </c>
      <c r="B848" s="28" t="str">
        <f t="shared" si="26"/>
        <v>Keokuk</v>
      </c>
      <c r="C848" s="30">
        <v>10511</v>
      </c>
      <c r="D848" s="30">
        <v>10510</v>
      </c>
      <c r="E848" s="30">
        <v>10508</v>
      </c>
      <c r="F848" s="30">
        <v>10398</v>
      </c>
      <c r="G848" s="30">
        <v>10427</v>
      </c>
      <c r="H848" s="30">
        <v>10337</v>
      </c>
      <c r="I848" s="30">
        <v>10283</v>
      </c>
      <c r="J848" s="30">
        <v>10171</v>
      </c>
      <c r="K848" s="30">
        <v>10170</v>
      </c>
      <c r="L848" s="30">
        <v>10141</v>
      </c>
      <c r="M848" s="30">
        <v>10213</v>
      </c>
      <c r="N848" s="30">
        <v>10246</v>
      </c>
      <c r="O848" s="24" t="str">
        <f t="shared" si="27"/>
        <v>Keokuk County, Iowa</v>
      </c>
    </row>
    <row r="849" spans="1:15" x14ac:dyDescent="0.25">
      <c r="A849" s="35" t="s">
        <v>1325</v>
      </c>
      <c r="B849" s="28" t="str">
        <f t="shared" si="26"/>
        <v>Kossuth</v>
      </c>
      <c r="C849" s="30">
        <v>15543</v>
      </c>
      <c r="D849" s="30">
        <v>15545</v>
      </c>
      <c r="E849" s="30">
        <v>15525</v>
      </c>
      <c r="F849" s="30">
        <v>15400</v>
      </c>
      <c r="G849" s="30">
        <v>15413</v>
      </c>
      <c r="H849" s="30">
        <v>15332</v>
      </c>
      <c r="I849" s="30">
        <v>15229</v>
      </c>
      <c r="J849" s="30">
        <v>15158</v>
      </c>
      <c r="K849" s="30">
        <v>15104</v>
      </c>
      <c r="L849" s="30">
        <v>14939</v>
      </c>
      <c r="M849" s="30">
        <v>14878</v>
      </c>
      <c r="N849" s="30">
        <v>14813</v>
      </c>
      <c r="O849" s="24" t="str">
        <f t="shared" si="27"/>
        <v>Kossuth County, Iowa</v>
      </c>
    </row>
    <row r="850" spans="1:15" x14ac:dyDescent="0.25">
      <c r="A850" s="35" t="s">
        <v>1326</v>
      </c>
      <c r="B850" s="28" t="str">
        <f t="shared" si="26"/>
        <v>Lee</v>
      </c>
      <c r="C850" s="30">
        <v>35862</v>
      </c>
      <c r="D850" s="30">
        <v>35862</v>
      </c>
      <c r="E850" s="30">
        <v>35849</v>
      </c>
      <c r="F850" s="30">
        <v>35569</v>
      </c>
      <c r="G850" s="30">
        <v>35541</v>
      </c>
      <c r="H850" s="30">
        <v>35236</v>
      </c>
      <c r="I850" s="30">
        <v>35059</v>
      </c>
      <c r="J850" s="30">
        <v>34894</v>
      </c>
      <c r="K850" s="30">
        <v>34458</v>
      </c>
      <c r="L850" s="30">
        <v>34216</v>
      </c>
      <c r="M850" s="30">
        <v>33909</v>
      </c>
      <c r="N850" s="30">
        <v>33657</v>
      </c>
      <c r="O850" s="24" t="str">
        <f t="shared" si="27"/>
        <v>Lee County, Iowa</v>
      </c>
    </row>
    <row r="851" spans="1:15" x14ac:dyDescent="0.25">
      <c r="A851" s="35" t="s">
        <v>1327</v>
      </c>
      <c r="B851" s="28" t="str">
        <f t="shared" si="26"/>
        <v>Linn</v>
      </c>
      <c r="C851" s="30">
        <v>211226</v>
      </c>
      <c r="D851" s="30">
        <v>211243</v>
      </c>
      <c r="E851" s="30">
        <v>211705</v>
      </c>
      <c r="F851" s="30">
        <v>214207</v>
      </c>
      <c r="G851" s="30">
        <v>215485</v>
      </c>
      <c r="H851" s="30">
        <v>216488</v>
      </c>
      <c r="I851" s="30">
        <v>218129</v>
      </c>
      <c r="J851" s="30">
        <v>220271</v>
      </c>
      <c r="K851" s="30">
        <v>222188</v>
      </c>
      <c r="L851" s="30">
        <v>224379</v>
      </c>
      <c r="M851" s="30">
        <v>225763</v>
      </c>
      <c r="N851" s="30">
        <v>226706</v>
      </c>
      <c r="O851" s="24" t="str">
        <f t="shared" si="27"/>
        <v>Linn County, Iowa</v>
      </c>
    </row>
    <row r="852" spans="1:15" x14ac:dyDescent="0.25">
      <c r="A852" s="35" t="s">
        <v>1328</v>
      </c>
      <c r="B852" s="28" t="str">
        <f t="shared" si="26"/>
        <v>Louisa</v>
      </c>
      <c r="C852" s="30">
        <v>11387</v>
      </c>
      <c r="D852" s="30">
        <v>11387</v>
      </c>
      <c r="E852" s="30">
        <v>11382</v>
      </c>
      <c r="F852" s="30">
        <v>11381</v>
      </c>
      <c r="G852" s="30">
        <v>11360</v>
      </c>
      <c r="H852" s="30">
        <v>11348</v>
      </c>
      <c r="I852" s="30">
        <v>11250</v>
      </c>
      <c r="J852" s="30">
        <v>11285</v>
      </c>
      <c r="K852" s="30">
        <v>11221</v>
      </c>
      <c r="L852" s="30">
        <v>11195</v>
      </c>
      <c r="M852" s="30">
        <v>11153</v>
      </c>
      <c r="N852" s="30">
        <v>11035</v>
      </c>
      <c r="O852" s="24" t="str">
        <f t="shared" si="27"/>
        <v>Louisa County, Iowa</v>
      </c>
    </row>
    <row r="853" spans="1:15" x14ac:dyDescent="0.25">
      <c r="A853" s="35" t="s">
        <v>1329</v>
      </c>
      <c r="B853" s="28" t="str">
        <f t="shared" si="26"/>
        <v>Lucas</v>
      </c>
      <c r="C853" s="30">
        <v>8898</v>
      </c>
      <c r="D853" s="30">
        <v>8900</v>
      </c>
      <c r="E853" s="30">
        <v>8898</v>
      </c>
      <c r="F853" s="30">
        <v>8880</v>
      </c>
      <c r="G853" s="30">
        <v>8778</v>
      </c>
      <c r="H853" s="30">
        <v>8697</v>
      </c>
      <c r="I853" s="30">
        <v>8636</v>
      </c>
      <c r="J853" s="30">
        <v>8610</v>
      </c>
      <c r="K853" s="30">
        <v>8555</v>
      </c>
      <c r="L853" s="30">
        <v>8533</v>
      </c>
      <c r="M853" s="30">
        <v>8617</v>
      </c>
      <c r="N853" s="30">
        <v>8600</v>
      </c>
      <c r="O853" s="24" t="str">
        <f t="shared" si="27"/>
        <v>Lucas County, Iowa</v>
      </c>
    </row>
    <row r="854" spans="1:15" x14ac:dyDescent="0.25">
      <c r="A854" s="35" t="s">
        <v>1330</v>
      </c>
      <c r="B854" s="28" t="str">
        <f t="shared" si="26"/>
        <v>Lyon</v>
      </c>
      <c r="C854" s="30">
        <v>11581</v>
      </c>
      <c r="D854" s="30">
        <v>11581</v>
      </c>
      <c r="E854" s="30">
        <v>11567</v>
      </c>
      <c r="F854" s="30">
        <v>11692</v>
      </c>
      <c r="G854" s="30">
        <v>11757</v>
      </c>
      <c r="H854" s="30">
        <v>11695</v>
      </c>
      <c r="I854" s="30">
        <v>11703</v>
      </c>
      <c r="J854" s="30">
        <v>11747</v>
      </c>
      <c r="K854" s="30">
        <v>11780</v>
      </c>
      <c r="L854" s="30">
        <v>11785</v>
      </c>
      <c r="M854" s="30">
        <v>11815</v>
      </c>
      <c r="N854" s="30">
        <v>11755</v>
      </c>
      <c r="O854" s="24" t="str">
        <f t="shared" si="27"/>
        <v>Lyon County, Iowa</v>
      </c>
    </row>
    <row r="855" spans="1:15" x14ac:dyDescent="0.25">
      <c r="A855" s="35" t="s">
        <v>1331</v>
      </c>
      <c r="B855" s="28" t="str">
        <f t="shared" si="26"/>
        <v>Madison</v>
      </c>
      <c r="C855" s="30">
        <v>15679</v>
      </c>
      <c r="D855" s="30">
        <v>15681</v>
      </c>
      <c r="E855" s="30">
        <v>15739</v>
      </c>
      <c r="F855" s="30">
        <v>15740</v>
      </c>
      <c r="G855" s="30">
        <v>15641</v>
      </c>
      <c r="H855" s="30">
        <v>15483</v>
      </c>
      <c r="I855" s="30">
        <v>15616</v>
      </c>
      <c r="J855" s="30">
        <v>15720</v>
      </c>
      <c r="K855" s="30">
        <v>15796</v>
      </c>
      <c r="L855" s="30">
        <v>16000</v>
      </c>
      <c r="M855" s="30">
        <v>16206</v>
      </c>
      <c r="N855" s="30">
        <v>16338</v>
      </c>
      <c r="O855" s="24" t="str">
        <f t="shared" si="27"/>
        <v>Madison County, Iowa</v>
      </c>
    </row>
    <row r="856" spans="1:15" x14ac:dyDescent="0.25">
      <c r="A856" s="35" t="s">
        <v>1332</v>
      </c>
      <c r="B856" s="28" t="str">
        <f t="shared" si="26"/>
        <v>Mahaska</v>
      </c>
      <c r="C856" s="30">
        <v>22381</v>
      </c>
      <c r="D856" s="30">
        <v>22382</v>
      </c>
      <c r="E856" s="30">
        <v>22408</v>
      </c>
      <c r="F856" s="30">
        <v>22501</v>
      </c>
      <c r="G856" s="30">
        <v>22398</v>
      </c>
      <c r="H856" s="30">
        <v>22421</v>
      </c>
      <c r="I856" s="30">
        <v>22363</v>
      </c>
      <c r="J856" s="30">
        <v>22312</v>
      </c>
      <c r="K856" s="30">
        <v>22186</v>
      </c>
      <c r="L856" s="30">
        <v>22211</v>
      </c>
      <c r="M856" s="30">
        <v>22018</v>
      </c>
      <c r="N856" s="30">
        <v>22095</v>
      </c>
      <c r="O856" s="24" t="str">
        <f t="shared" si="27"/>
        <v>Mahaska County, Iowa</v>
      </c>
    </row>
    <row r="857" spans="1:15" x14ac:dyDescent="0.25">
      <c r="A857" s="35" t="s">
        <v>1333</v>
      </c>
      <c r="B857" s="28" t="str">
        <f t="shared" si="26"/>
        <v>Marion</v>
      </c>
      <c r="C857" s="30">
        <v>33309</v>
      </c>
      <c r="D857" s="30">
        <v>33307</v>
      </c>
      <c r="E857" s="30">
        <v>33225</v>
      </c>
      <c r="F857" s="30">
        <v>33270</v>
      </c>
      <c r="G857" s="30">
        <v>33274</v>
      </c>
      <c r="H857" s="30">
        <v>33014</v>
      </c>
      <c r="I857" s="30">
        <v>33269</v>
      </c>
      <c r="J857" s="30">
        <v>33109</v>
      </c>
      <c r="K857" s="30">
        <v>33146</v>
      </c>
      <c r="L857" s="30">
        <v>33091</v>
      </c>
      <c r="M857" s="30">
        <v>33259</v>
      </c>
      <c r="N857" s="30">
        <v>33253</v>
      </c>
      <c r="O857" s="24" t="str">
        <f t="shared" si="27"/>
        <v>Marion County, Iowa</v>
      </c>
    </row>
    <row r="858" spans="1:15" x14ac:dyDescent="0.25">
      <c r="A858" s="35" t="s">
        <v>1334</v>
      </c>
      <c r="B858" s="28" t="str">
        <f t="shared" si="26"/>
        <v>Marshall</v>
      </c>
      <c r="C858" s="30">
        <v>40648</v>
      </c>
      <c r="D858" s="30">
        <v>40648</v>
      </c>
      <c r="E858" s="30">
        <v>40722</v>
      </c>
      <c r="F858" s="30">
        <v>41013</v>
      </c>
      <c r="G858" s="30">
        <v>41032</v>
      </c>
      <c r="H858" s="30">
        <v>40995</v>
      </c>
      <c r="I858" s="30">
        <v>40722</v>
      </c>
      <c r="J858" s="30">
        <v>40352</v>
      </c>
      <c r="K858" s="30">
        <v>40135</v>
      </c>
      <c r="L858" s="30">
        <v>40078</v>
      </c>
      <c r="M858" s="30">
        <v>39888</v>
      </c>
      <c r="N858" s="30">
        <v>39369</v>
      </c>
      <c r="O858" s="24" t="str">
        <f t="shared" si="27"/>
        <v>Marshall County, Iowa</v>
      </c>
    </row>
    <row r="859" spans="1:15" x14ac:dyDescent="0.25">
      <c r="A859" s="35" t="s">
        <v>1335</v>
      </c>
      <c r="B859" s="28" t="str">
        <f t="shared" si="26"/>
        <v>Mills</v>
      </c>
      <c r="C859" s="30">
        <v>15059</v>
      </c>
      <c r="D859" s="30">
        <v>15059</v>
      </c>
      <c r="E859" s="30">
        <v>15076</v>
      </c>
      <c r="F859" s="30">
        <v>15029</v>
      </c>
      <c r="G859" s="30">
        <v>14873</v>
      </c>
      <c r="H859" s="30">
        <v>14905</v>
      </c>
      <c r="I859" s="30">
        <v>14760</v>
      </c>
      <c r="J859" s="30">
        <v>14882</v>
      </c>
      <c r="K859" s="30">
        <v>15053</v>
      </c>
      <c r="L859" s="30">
        <v>15060</v>
      </c>
      <c r="M859" s="30">
        <v>15068</v>
      </c>
      <c r="N859" s="30">
        <v>15109</v>
      </c>
      <c r="O859" s="24" t="str">
        <f t="shared" si="27"/>
        <v>Mills County, Iowa</v>
      </c>
    </row>
    <row r="860" spans="1:15" x14ac:dyDescent="0.25">
      <c r="A860" s="35" t="s">
        <v>1336</v>
      </c>
      <c r="B860" s="28" t="str">
        <f t="shared" si="26"/>
        <v>Mitchell</v>
      </c>
      <c r="C860" s="30">
        <v>10776</v>
      </c>
      <c r="D860" s="30">
        <v>10776</v>
      </c>
      <c r="E860" s="30">
        <v>10793</v>
      </c>
      <c r="F860" s="30">
        <v>10709</v>
      </c>
      <c r="G860" s="30">
        <v>10716</v>
      </c>
      <c r="H860" s="30">
        <v>10669</v>
      </c>
      <c r="I860" s="30">
        <v>10700</v>
      </c>
      <c r="J860" s="30">
        <v>10676</v>
      </c>
      <c r="K860" s="30">
        <v>10644</v>
      </c>
      <c r="L860" s="30">
        <v>10563</v>
      </c>
      <c r="M860" s="30">
        <v>10571</v>
      </c>
      <c r="N860" s="30">
        <v>10586</v>
      </c>
      <c r="O860" s="24" t="str">
        <f t="shared" si="27"/>
        <v>Mitchell County, Iowa</v>
      </c>
    </row>
    <row r="861" spans="1:15" x14ac:dyDescent="0.25">
      <c r="A861" s="35" t="s">
        <v>1337</v>
      </c>
      <c r="B861" s="28" t="str">
        <f t="shared" si="26"/>
        <v>Monona</v>
      </c>
      <c r="C861" s="30">
        <v>9243</v>
      </c>
      <c r="D861" s="30">
        <v>9242</v>
      </c>
      <c r="E861" s="30">
        <v>9248</v>
      </c>
      <c r="F861" s="30">
        <v>9238</v>
      </c>
      <c r="G861" s="30">
        <v>9091</v>
      </c>
      <c r="H861" s="30">
        <v>9032</v>
      </c>
      <c r="I861" s="30">
        <v>8899</v>
      </c>
      <c r="J861" s="30">
        <v>8866</v>
      </c>
      <c r="K861" s="30">
        <v>8786</v>
      </c>
      <c r="L861" s="30">
        <v>8724</v>
      </c>
      <c r="M861" s="30">
        <v>8659</v>
      </c>
      <c r="N861" s="30">
        <v>8615</v>
      </c>
      <c r="O861" s="24" t="str">
        <f t="shared" si="27"/>
        <v>Monona County, Iowa</v>
      </c>
    </row>
    <row r="862" spans="1:15" x14ac:dyDescent="0.25">
      <c r="A862" s="35" t="s">
        <v>1338</v>
      </c>
      <c r="B862" s="28" t="str">
        <f t="shared" si="26"/>
        <v>Monroe</v>
      </c>
      <c r="C862" s="30">
        <v>7970</v>
      </c>
      <c r="D862" s="30">
        <v>7972</v>
      </c>
      <c r="E862" s="30">
        <v>7997</v>
      </c>
      <c r="F862" s="30">
        <v>8060</v>
      </c>
      <c r="G862" s="30">
        <v>8073</v>
      </c>
      <c r="H862" s="30">
        <v>7979</v>
      </c>
      <c r="I862" s="30">
        <v>7958</v>
      </c>
      <c r="J862" s="30">
        <v>7924</v>
      </c>
      <c r="K862" s="30">
        <v>7836</v>
      </c>
      <c r="L862" s="30">
        <v>7798</v>
      </c>
      <c r="M862" s="30">
        <v>7768</v>
      </c>
      <c r="N862" s="30">
        <v>7707</v>
      </c>
      <c r="O862" s="24" t="str">
        <f t="shared" si="27"/>
        <v>Monroe County, Iowa</v>
      </c>
    </row>
    <row r="863" spans="1:15" x14ac:dyDescent="0.25">
      <c r="A863" s="35" t="s">
        <v>1339</v>
      </c>
      <c r="B863" s="28" t="str">
        <f t="shared" si="26"/>
        <v>Montgomery</v>
      </c>
      <c r="C863" s="30">
        <v>10740</v>
      </c>
      <c r="D863" s="30">
        <v>10740</v>
      </c>
      <c r="E863" s="30">
        <v>10690</v>
      </c>
      <c r="F863" s="30">
        <v>10632</v>
      </c>
      <c r="G863" s="30">
        <v>10540</v>
      </c>
      <c r="H863" s="30">
        <v>10404</v>
      </c>
      <c r="I863" s="30">
        <v>10384</v>
      </c>
      <c r="J863" s="30">
        <v>10149</v>
      </c>
      <c r="K863" s="30">
        <v>10124</v>
      </c>
      <c r="L863" s="30">
        <v>10112</v>
      </c>
      <c r="M863" s="30">
        <v>9961</v>
      </c>
      <c r="N863" s="30">
        <v>9917</v>
      </c>
      <c r="O863" s="24" t="str">
        <f t="shared" si="27"/>
        <v>Montgomery County, Iowa</v>
      </c>
    </row>
    <row r="864" spans="1:15" x14ac:dyDescent="0.25">
      <c r="A864" s="35" t="s">
        <v>1340</v>
      </c>
      <c r="B864" s="28" t="str">
        <f t="shared" si="26"/>
        <v>Muscatine</v>
      </c>
      <c r="C864" s="30">
        <v>42745</v>
      </c>
      <c r="D864" s="30">
        <v>42803</v>
      </c>
      <c r="E864" s="30">
        <v>42803</v>
      </c>
      <c r="F864" s="30">
        <v>42842</v>
      </c>
      <c r="G864" s="30">
        <v>42916</v>
      </c>
      <c r="H864" s="30">
        <v>43010</v>
      </c>
      <c r="I864" s="30">
        <v>43028</v>
      </c>
      <c r="J864" s="30">
        <v>43068</v>
      </c>
      <c r="K864" s="30">
        <v>42968</v>
      </c>
      <c r="L864" s="30">
        <v>42872</v>
      </c>
      <c r="M864" s="30">
        <v>42874</v>
      </c>
      <c r="N864" s="30">
        <v>42664</v>
      </c>
      <c r="O864" s="24" t="str">
        <f t="shared" si="27"/>
        <v>Muscatine County, Iowa</v>
      </c>
    </row>
    <row r="865" spans="1:15" x14ac:dyDescent="0.25">
      <c r="A865" s="35" t="s">
        <v>1341</v>
      </c>
      <c r="B865" s="28" t="str">
        <f t="shared" si="26"/>
        <v>O'Brien</v>
      </c>
      <c r="C865" s="30">
        <v>14398</v>
      </c>
      <c r="D865" s="30">
        <v>14398</v>
      </c>
      <c r="E865" s="30">
        <v>14408</v>
      </c>
      <c r="F865" s="30">
        <v>14218</v>
      </c>
      <c r="G865" s="30">
        <v>14156</v>
      </c>
      <c r="H865" s="30">
        <v>14045</v>
      </c>
      <c r="I865" s="30">
        <v>14042</v>
      </c>
      <c r="J865" s="30">
        <v>13926</v>
      </c>
      <c r="K865" s="30">
        <v>13926</v>
      </c>
      <c r="L865" s="30">
        <v>13774</v>
      </c>
      <c r="M865" s="30">
        <v>13798</v>
      </c>
      <c r="N865" s="30">
        <v>13753</v>
      </c>
      <c r="O865" s="24" t="str">
        <f t="shared" si="27"/>
        <v>O'Brien County, Iowa</v>
      </c>
    </row>
    <row r="866" spans="1:15" x14ac:dyDescent="0.25">
      <c r="A866" s="35" t="s">
        <v>1342</v>
      </c>
      <c r="B866" s="28" t="str">
        <f t="shared" si="26"/>
        <v>Osceola</v>
      </c>
      <c r="C866" s="30">
        <v>6462</v>
      </c>
      <c r="D866" s="30">
        <v>6462</v>
      </c>
      <c r="E866" s="30">
        <v>6459</v>
      </c>
      <c r="F866" s="30">
        <v>6316</v>
      </c>
      <c r="G866" s="30">
        <v>6204</v>
      </c>
      <c r="H866" s="30">
        <v>6236</v>
      </c>
      <c r="I866" s="30">
        <v>6231</v>
      </c>
      <c r="J866" s="30">
        <v>6160</v>
      </c>
      <c r="K866" s="30">
        <v>6095</v>
      </c>
      <c r="L866" s="30">
        <v>6021</v>
      </c>
      <c r="M866" s="30">
        <v>6028</v>
      </c>
      <c r="N866" s="30">
        <v>5958</v>
      </c>
      <c r="O866" s="24" t="str">
        <f t="shared" si="27"/>
        <v>Osceola County, Iowa</v>
      </c>
    </row>
    <row r="867" spans="1:15" x14ac:dyDescent="0.25">
      <c r="A867" s="35" t="s">
        <v>1343</v>
      </c>
      <c r="B867" s="28" t="str">
        <f t="shared" si="26"/>
        <v>Page</v>
      </c>
      <c r="C867" s="30">
        <v>15932</v>
      </c>
      <c r="D867" s="30">
        <v>15946</v>
      </c>
      <c r="E867" s="30">
        <v>15921</v>
      </c>
      <c r="F867" s="30">
        <v>15898</v>
      </c>
      <c r="G867" s="30">
        <v>15702</v>
      </c>
      <c r="H867" s="30">
        <v>15516</v>
      </c>
      <c r="I867" s="30">
        <v>15483</v>
      </c>
      <c r="J867" s="30">
        <v>15462</v>
      </c>
      <c r="K867" s="30">
        <v>15329</v>
      </c>
      <c r="L867" s="30">
        <v>15213</v>
      </c>
      <c r="M867" s="30">
        <v>15229</v>
      </c>
      <c r="N867" s="30">
        <v>15107</v>
      </c>
      <c r="O867" s="24" t="str">
        <f t="shared" si="27"/>
        <v>Page County, Iowa</v>
      </c>
    </row>
    <row r="868" spans="1:15" x14ac:dyDescent="0.25">
      <c r="A868" s="35" t="s">
        <v>1344</v>
      </c>
      <c r="B868" s="28" t="str">
        <f t="shared" si="26"/>
        <v>Palo Alto</v>
      </c>
      <c r="C868" s="30">
        <v>9421</v>
      </c>
      <c r="D868" s="30">
        <v>9421</v>
      </c>
      <c r="E868" s="30">
        <v>9398</v>
      </c>
      <c r="F868" s="30">
        <v>9354</v>
      </c>
      <c r="G868" s="30">
        <v>9279</v>
      </c>
      <c r="H868" s="30">
        <v>9164</v>
      </c>
      <c r="I868" s="30">
        <v>9120</v>
      </c>
      <c r="J868" s="30">
        <v>9140</v>
      </c>
      <c r="K868" s="30">
        <v>9034</v>
      </c>
      <c r="L868" s="30">
        <v>9052</v>
      </c>
      <c r="M868" s="30">
        <v>8903</v>
      </c>
      <c r="N868" s="30">
        <v>8886</v>
      </c>
      <c r="O868" s="24" t="str">
        <f t="shared" si="27"/>
        <v>Palo Alto County, Iowa</v>
      </c>
    </row>
    <row r="869" spans="1:15" x14ac:dyDescent="0.25">
      <c r="A869" s="35" t="s">
        <v>1345</v>
      </c>
      <c r="B869" s="28" t="str">
        <f t="shared" si="26"/>
        <v>Plymouth</v>
      </c>
      <c r="C869" s="30">
        <v>24986</v>
      </c>
      <c r="D869" s="30">
        <v>24984</v>
      </c>
      <c r="E869" s="30">
        <v>24975</v>
      </c>
      <c r="F869" s="30">
        <v>24818</v>
      </c>
      <c r="G869" s="30">
        <v>24830</v>
      </c>
      <c r="H869" s="30">
        <v>24931</v>
      </c>
      <c r="I869" s="30">
        <v>24911</v>
      </c>
      <c r="J869" s="30">
        <v>24899</v>
      </c>
      <c r="K869" s="30">
        <v>25180</v>
      </c>
      <c r="L869" s="30">
        <v>25060</v>
      </c>
      <c r="M869" s="30">
        <v>25024</v>
      </c>
      <c r="N869" s="30">
        <v>25177</v>
      </c>
      <c r="O869" s="24" t="str">
        <f t="shared" si="27"/>
        <v>Plymouth County, Iowa</v>
      </c>
    </row>
    <row r="870" spans="1:15" x14ac:dyDescent="0.25">
      <c r="A870" s="35" t="s">
        <v>1346</v>
      </c>
      <c r="B870" s="28" t="str">
        <f t="shared" si="26"/>
        <v>Pocahontas</v>
      </c>
      <c r="C870" s="30">
        <v>7310</v>
      </c>
      <c r="D870" s="30">
        <v>7310</v>
      </c>
      <c r="E870" s="30">
        <v>7289</v>
      </c>
      <c r="F870" s="30">
        <v>7204</v>
      </c>
      <c r="G870" s="30">
        <v>7143</v>
      </c>
      <c r="H870" s="30">
        <v>7112</v>
      </c>
      <c r="I870" s="30">
        <v>7097</v>
      </c>
      <c r="J870" s="30">
        <v>6967</v>
      </c>
      <c r="K870" s="30">
        <v>6854</v>
      </c>
      <c r="L870" s="30">
        <v>6833</v>
      </c>
      <c r="M870" s="30">
        <v>6714</v>
      </c>
      <c r="N870" s="30">
        <v>6619</v>
      </c>
      <c r="O870" s="24" t="str">
        <f t="shared" si="27"/>
        <v>Pocahontas County, Iowa</v>
      </c>
    </row>
    <row r="871" spans="1:15" x14ac:dyDescent="0.25">
      <c r="A871" s="35" t="s">
        <v>1347</v>
      </c>
      <c r="B871" s="28" t="str">
        <f t="shared" si="26"/>
        <v>Polk</v>
      </c>
      <c r="C871" s="30">
        <v>430640</v>
      </c>
      <c r="D871" s="30">
        <v>430631</v>
      </c>
      <c r="E871" s="30">
        <v>432352</v>
      </c>
      <c r="F871" s="30">
        <v>438737</v>
      </c>
      <c r="G871" s="30">
        <v>444671</v>
      </c>
      <c r="H871" s="30">
        <v>452657</v>
      </c>
      <c r="I871" s="30">
        <v>460898</v>
      </c>
      <c r="J871" s="30">
        <v>467304</v>
      </c>
      <c r="K871" s="30">
        <v>474277</v>
      </c>
      <c r="L871" s="30">
        <v>480487</v>
      </c>
      <c r="M871" s="30">
        <v>485833</v>
      </c>
      <c r="N871" s="30">
        <v>490161</v>
      </c>
      <c r="O871" s="24" t="str">
        <f t="shared" si="27"/>
        <v>Polk County, Iowa</v>
      </c>
    </row>
    <row r="872" spans="1:15" x14ac:dyDescent="0.25">
      <c r="A872" s="35" t="s">
        <v>1348</v>
      </c>
      <c r="B872" s="28" t="str">
        <f t="shared" si="26"/>
        <v>Pottawattamie</v>
      </c>
      <c r="C872" s="30">
        <v>93158</v>
      </c>
      <c r="D872" s="30">
        <v>93149</v>
      </c>
      <c r="E872" s="30">
        <v>93363</v>
      </c>
      <c r="F872" s="30">
        <v>93498</v>
      </c>
      <c r="G872" s="30">
        <v>92916</v>
      </c>
      <c r="H872" s="30">
        <v>92855</v>
      </c>
      <c r="I872" s="30">
        <v>93258</v>
      </c>
      <c r="J872" s="30">
        <v>93563</v>
      </c>
      <c r="K872" s="30">
        <v>93518</v>
      </c>
      <c r="L872" s="30">
        <v>93416</v>
      </c>
      <c r="M872" s="30">
        <v>93264</v>
      </c>
      <c r="N872" s="30">
        <v>93206</v>
      </c>
      <c r="O872" s="24" t="str">
        <f t="shared" si="27"/>
        <v>Pottawattamie County, Iowa</v>
      </c>
    </row>
    <row r="873" spans="1:15" x14ac:dyDescent="0.25">
      <c r="A873" s="35" t="s">
        <v>1349</v>
      </c>
      <c r="B873" s="28" t="str">
        <f t="shared" si="26"/>
        <v>Poweshiek</v>
      </c>
      <c r="C873" s="30">
        <v>18914</v>
      </c>
      <c r="D873" s="30">
        <v>18915</v>
      </c>
      <c r="E873" s="30">
        <v>18925</v>
      </c>
      <c r="F873" s="30">
        <v>18896</v>
      </c>
      <c r="G873" s="30">
        <v>18728</v>
      </c>
      <c r="H873" s="30">
        <v>18606</v>
      </c>
      <c r="I873" s="30">
        <v>18608</v>
      </c>
      <c r="J873" s="30">
        <v>18358</v>
      </c>
      <c r="K873" s="30">
        <v>18279</v>
      </c>
      <c r="L873" s="30">
        <v>18334</v>
      </c>
      <c r="M873" s="30">
        <v>18467</v>
      </c>
      <c r="N873" s="30">
        <v>18504</v>
      </c>
      <c r="O873" s="24" t="str">
        <f t="shared" si="27"/>
        <v>Poweshiek County, Iowa</v>
      </c>
    </row>
    <row r="874" spans="1:15" x14ac:dyDescent="0.25">
      <c r="A874" s="35" t="s">
        <v>1350</v>
      </c>
      <c r="B874" s="28" t="str">
        <f t="shared" si="26"/>
        <v>Ringgold</v>
      </c>
      <c r="C874" s="30">
        <v>5131</v>
      </c>
      <c r="D874" s="30">
        <v>5130</v>
      </c>
      <c r="E874" s="30">
        <v>5113</v>
      </c>
      <c r="F874" s="30">
        <v>5049</v>
      </c>
      <c r="G874" s="30">
        <v>5027</v>
      </c>
      <c r="H874" s="30">
        <v>4971</v>
      </c>
      <c r="I874" s="30">
        <v>4961</v>
      </c>
      <c r="J874" s="30">
        <v>4977</v>
      </c>
      <c r="K874" s="30">
        <v>4985</v>
      </c>
      <c r="L874" s="30">
        <v>5024</v>
      </c>
      <c r="M874" s="30">
        <v>4940</v>
      </c>
      <c r="N874" s="30">
        <v>4894</v>
      </c>
      <c r="O874" s="24" t="str">
        <f t="shared" si="27"/>
        <v>Ringgold County, Iowa</v>
      </c>
    </row>
    <row r="875" spans="1:15" x14ac:dyDescent="0.25">
      <c r="A875" s="35" t="s">
        <v>1351</v>
      </c>
      <c r="B875" s="28" t="str">
        <f t="shared" si="26"/>
        <v>Sac</v>
      </c>
      <c r="C875" s="30">
        <v>10350</v>
      </c>
      <c r="D875" s="30">
        <v>10350</v>
      </c>
      <c r="E875" s="30">
        <v>10354</v>
      </c>
      <c r="F875" s="30">
        <v>10222</v>
      </c>
      <c r="G875" s="30">
        <v>10161</v>
      </c>
      <c r="H875" s="30">
        <v>10030</v>
      </c>
      <c r="I875" s="30">
        <v>10048</v>
      </c>
      <c r="J875" s="30">
        <v>9966</v>
      </c>
      <c r="K875" s="30">
        <v>9816</v>
      </c>
      <c r="L875" s="30">
        <v>9803</v>
      </c>
      <c r="M875" s="30">
        <v>9705</v>
      </c>
      <c r="N875" s="30">
        <v>9721</v>
      </c>
      <c r="O875" s="24" t="str">
        <f t="shared" si="27"/>
        <v>Sac County, Iowa</v>
      </c>
    </row>
    <row r="876" spans="1:15" x14ac:dyDescent="0.25">
      <c r="A876" s="35" t="s">
        <v>1352</v>
      </c>
      <c r="B876" s="28" t="str">
        <f t="shared" si="26"/>
        <v>Scott</v>
      </c>
      <c r="C876" s="30">
        <v>165224</v>
      </c>
      <c r="D876" s="30">
        <v>165223</v>
      </c>
      <c r="E876" s="30">
        <v>165272</v>
      </c>
      <c r="F876" s="30">
        <v>166629</v>
      </c>
      <c r="G876" s="30">
        <v>168347</v>
      </c>
      <c r="H876" s="30">
        <v>170201</v>
      </c>
      <c r="I876" s="30">
        <v>171310</v>
      </c>
      <c r="J876" s="30">
        <v>171903</v>
      </c>
      <c r="K876" s="30">
        <v>172135</v>
      </c>
      <c r="L876" s="30">
        <v>172448</v>
      </c>
      <c r="M876" s="30">
        <v>172803</v>
      </c>
      <c r="N876" s="30">
        <v>172943</v>
      </c>
      <c r="O876" s="24" t="str">
        <f t="shared" si="27"/>
        <v>Scott County, Iowa</v>
      </c>
    </row>
    <row r="877" spans="1:15" x14ac:dyDescent="0.25">
      <c r="A877" s="35" t="s">
        <v>1353</v>
      </c>
      <c r="B877" s="28" t="str">
        <f t="shared" si="26"/>
        <v>Shelby</v>
      </c>
      <c r="C877" s="30">
        <v>12167</v>
      </c>
      <c r="D877" s="30">
        <v>12169</v>
      </c>
      <c r="E877" s="30">
        <v>12174</v>
      </c>
      <c r="F877" s="30">
        <v>11992</v>
      </c>
      <c r="G877" s="30">
        <v>12024</v>
      </c>
      <c r="H877" s="30">
        <v>11899</v>
      </c>
      <c r="I877" s="30">
        <v>11878</v>
      </c>
      <c r="J877" s="30">
        <v>11789</v>
      </c>
      <c r="K877" s="30">
        <v>11655</v>
      </c>
      <c r="L877" s="30">
        <v>11574</v>
      </c>
      <c r="M877" s="30">
        <v>11559</v>
      </c>
      <c r="N877" s="30">
        <v>11454</v>
      </c>
      <c r="O877" s="24" t="str">
        <f t="shared" si="27"/>
        <v>Shelby County, Iowa</v>
      </c>
    </row>
    <row r="878" spans="1:15" x14ac:dyDescent="0.25">
      <c r="A878" s="35" t="s">
        <v>1354</v>
      </c>
      <c r="B878" s="28" t="str">
        <f t="shared" si="26"/>
        <v>Sioux</v>
      </c>
      <c r="C878" s="30">
        <v>33704</v>
      </c>
      <c r="D878" s="30">
        <v>33704</v>
      </c>
      <c r="E878" s="30">
        <v>33754</v>
      </c>
      <c r="F878" s="30">
        <v>34016</v>
      </c>
      <c r="G878" s="30">
        <v>34282</v>
      </c>
      <c r="H878" s="30">
        <v>34503</v>
      </c>
      <c r="I878" s="30">
        <v>34635</v>
      </c>
      <c r="J878" s="30">
        <v>34754</v>
      </c>
      <c r="K878" s="30">
        <v>34944</v>
      </c>
      <c r="L878" s="30">
        <v>34781</v>
      </c>
      <c r="M878" s="30">
        <v>34802</v>
      </c>
      <c r="N878" s="30">
        <v>34855</v>
      </c>
      <c r="O878" s="24" t="str">
        <f t="shared" si="27"/>
        <v>Sioux County, Iowa</v>
      </c>
    </row>
    <row r="879" spans="1:15" x14ac:dyDescent="0.25">
      <c r="A879" s="35" t="s">
        <v>1355</v>
      </c>
      <c r="B879" s="28" t="str">
        <f t="shared" si="26"/>
        <v>Story</v>
      </c>
      <c r="C879" s="30">
        <v>89542</v>
      </c>
      <c r="D879" s="30">
        <v>89542</v>
      </c>
      <c r="E879" s="30">
        <v>89654</v>
      </c>
      <c r="F879" s="30">
        <v>91136</v>
      </c>
      <c r="G879" s="30">
        <v>92003</v>
      </c>
      <c r="H879" s="30">
        <v>93877</v>
      </c>
      <c r="I879" s="30">
        <v>95802</v>
      </c>
      <c r="J879" s="30">
        <v>96636</v>
      </c>
      <c r="K879" s="30">
        <v>96893</v>
      </c>
      <c r="L879" s="30">
        <v>97278</v>
      </c>
      <c r="M879" s="30">
        <v>96781</v>
      </c>
      <c r="N879" s="30">
        <v>97117</v>
      </c>
      <c r="O879" s="24" t="str">
        <f t="shared" si="27"/>
        <v>Story County, Iowa</v>
      </c>
    </row>
    <row r="880" spans="1:15" x14ac:dyDescent="0.25">
      <c r="A880" s="35" t="s">
        <v>1356</v>
      </c>
      <c r="B880" s="28" t="str">
        <f t="shared" si="26"/>
        <v>Tama</v>
      </c>
      <c r="C880" s="30">
        <v>17767</v>
      </c>
      <c r="D880" s="30">
        <v>17767</v>
      </c>
      <c r="E880" s="30">
        <v>17719</v>
      </c>
      <c r="F880" s="30">
        <v>17614</v>
      </c>
      <c r="G880" s="30">
        <v>17501</v>
      </c>
      <c r="H880" s="30">
        <v>17430</v>
      </c>
      <c r="I880" s="30">
        <v>17309</v>
      </c>
      <c r="J880" s="30">
        <v>17217</v>
      </c>
      <c r="K880" s="30">
        <v>17192</v>
      </c>
      <c r="L880" s="30">
        <v>17029</v>
      </c>
      <c r="M880" s="30">
        <v>16869</v>
      </c>
      <c r="N880" s="30">
        <v>16854</v>
      </c>
      <c r="O880" s="24" t="str">
        <f t="shared" si="27"/>
        <v>Tama County, Iowa</v>
      </c>
    </row>
    <row r="881" spans="1:15" x14ac:dyDescent="0.25">
      <c r="A881" s="35" t="s">
        <v>1357</v>
      </c>
      <c r="B881" s="28" t="str">
        <f t="shared" si="26"/>
        <v>Taylor</v>
      </c>
      <c r="C881" s="30">
        <v>6317</v>
      </c>
      <c r="D881" s="30">
        <v>6317</v>
      </c>
      <c r="E881" s="30">
        <v>6322</v>
      </c>
      <c r="F881" s="30">
        <v>6304</v>
      </c>
      <c r="G881" s="30">
        <v>6260</v>
      </c>
      <c r="H881" s="30">
        <v>6233</v>
      </c>
      <c r="I881" s="30">
        <v>6175</v>
      </c>
      <c r="J881" s="30">
        <v>6246</v>
      </c>
      <c r="K881" s="30">
        <v>6213</v>
      </c>
      <c r="L881" s="30">
        <v>6095</v>
      </c>
      <c r="M881" s="30">
        <v>6160</v>
      </c>
      <c r="N881" s="30">
        <v>6121</v>
      </c>
      <c r="O881" s="24" t="str">
        <f t="shared" si="27"/>
        <v>Taylor County, Iowa</v>
      </c>
    </row>
    <row r="882" spans="1:15" x14ac:dyDescent="0.25">
      <c r="A882" s="35" t="s">
        <v>1358</v>
      </c>
      <c r="B882" s="28" t="str">
        <f t="shared" si="26"/>
        <v>Union</v>
      </c>
      <c r="C882" s="30">
        <v>12534</v>
      </c>
      <c r="D882" s="30">
        <v>12534</v>
      </c>
      <c r="E882" s="30">
        <v>12513</v>
      </c>
      <c r="F882" s="30">
        <v>12556</v>
      </c>
      <c r="G882" s="30">
        <v>12586</v>
      </c>
      <c r="H882" s="30">
        <v>12616</v>
      </c>
      <c r="I882" s="30">
        <v>12627</v>
      </c>
      <c r="J882" s="30">
        <v>12430</v>
      </c>
      <c r="K882" s="30">
        <v>12360</v>
      </c>
      <c r="L882" s="30">
        <v>12459</v>
      </c>
      <c r="M882" s="30">
        <v>12298</v>
      </c>
      <c r="N882" s="30">
        <v>12241</v>
      </c>
      <c r="O882" s="24" t="str">
        <f t="shared" si="27"/>
        <v>Union County, Iowa</v>
      </c>
    </row>
    <row r="883" spans="1:15" x14ac:dyDescent="0.25">
      <c r="A883" s="35" t="s">
        <v>1359</v>
      </c>
      <c r="B883" s="28" t="str">
        <f t="shared" si="26"/>
        <v>Van Buren</v>
      </c>
      <c r="C883" s="30">
        <v>7570</v>
      </c>
      <c r="D883" s="30">
        <v>7571</v>
      </c>
      <c r="E883" s="30">
        <v>7577</v>
      </c>
      <c r="F883" s="30">
        <v>7513</v>
      </c>
      <c r="G883" s="30">
        <v>7449</v>
      </c>
      <c r="H883" s="30">
        <v>7434</v>
      </c>
      <c r="I883" s="30">
        <v>7390</v>
      </c>
      <c r="J883" s="30">
        <v>7296</v>
      </c>
      <c r="K883" s="30">
        <v>7241</v>
      </c>
      <c r="L883" s="30">
        <v>7155</v>
      </c>
      <c r="M883" s="30">
        <v>7013</v>
      </c>
      <c r="N883" s="30">
        <v>7044</v>
      </c>
      <c r="O883" s="24" t="str">
        <f t="shared" si="27"/>
        <v>Van Buren County, Iowa</v>
      </c>
    </row>
    <row r="884" spans="1:15" x14ac:dyDescent="0.25">
      <c r="A884" s="35" t="s">
        <v>1360</v>
      </c>
      <c r="B884" s="28" t="str">
        <f t="shared" si="26"/>
        <v>Wapello</v>
      </c>
      <c r="C884" s="30">
        <v>35625</v>
      </c>
      <c r="D884" s="30">
        <v>35624</v>
      </c>
      <c r="E884" s="30">
        <v>35682</v>
      </c>
      <c r="F884" s="30">
        <v>35486</v>
      </c>
      <c r="G884" s="30">
        <v>35431</v>
      </c>
      <c r="H884" s="30">
        <v>35507</v>
      </c>
      <c r="I884" s="30">
        <v>35426</v>
      </c>
      <c r="J884" s="30">
        <v>35456</v>
      </c>
      <c r="K884" s="30">
        <v>35265</v>
      </c>
      <c r="L884" s="30">
        <v>35022</v>
      </c>
      <c r="M884" s="30">
        <v>34991</v>
      </c>
      <c r="N884" s="30">
        <v>34969</v>
      </c>
      <c r="O884" s="24" t="str">
        <f t="shared" si="27"/>
        <v>Wapello County, Iowa</v>
      </c>
    </row>
    <row r="885" spans="1:15" x14ac:dyDescent="0.25">
      <c r="A885" s="35" t="s">
        <v>1361</v>
      </c>
      <c r="B885" s="28" t="str">
        <f t="shared" si="26"/>
        <v>Warren</v>
      </c>
      <c r="C885" s="30">
        <v>46225</v>
      </c>
      <c r="D885" s="30">
        <v>46226</v>
      </c>
      <c r="E885" s="30">
        <v>46340</v>
      </c>
      <c r="F885" s="30">
        <v>46645</v>
      </c>
      <c r="G885" s="30">
        <v>46895</v>
      </c>
      <c r="H885" s="30">
        <v>47358</v>
      </c>
      <c r="I885" s="30">
        <v>47827</v>
      </c>
      <c r="J885" s="30">
        <v>48468</v>
      </c>
      <c r="K885" s="30">
        <v>49356</v>
      </c>
      <c r="L885" s="30">
        <v>50078</v>
      </c>
      <c r="M885" s="30">
        <v>51014</v>
      </c>
      <c r="N885" s="30">
        <v>51466</v>
      </c>
      <c r="O885" s="24" t="str">
        <f t="shared" si="27"/>
        <v>Warren County, Iowa</v>
      </c>
    </row>
    <row r="886" spans="1:15" x14ac:dyDescent="0.25">
      <c r="A886" s="35" t="s">
        <v>1362</v>
      </c>
      <c r="B886" s="28" t="str">
        <f t="shared" si="26"/>
        <v>Washington</v>
      </c>
      <c r="C886" s="30">
        <v>21704</v>
      </c>
      <c r="D886" s="30">
        <v>21704</v>
      </c>
      <c r="E886" s="30">
        <v>21688</v>
      </c>
      <c r="F886" s="30">
        <v>21822</v>
      </c>
      <c r="G886" s="30">
        <v>21903</v>
      </c>
      <c r="H886" s="30">
        <v>21944</v>
      </c>
      <c r="I886" s="30">
        <v>22029</v>
      </c>
      <c r="J886" s="30">
        <v>22145</v>
      </c>
      <c r="K886" s="30">
        <v>22126</v>
      </c>
      <c r="L886" s="30">
        <v>22204</v>
      </c>
      <c r="M886" s="30">
        <v>22058</v>
      </c>
      <c r="N886" s="30">
        <v>21965</v>
      </c>
      <c r="O886" s="24" t="str">
        <f t="shared" si="27"/>
        <v>Washington County, Iowa</v>
      </c>
    </row>
    <row r="887" spans="1:15" x14ac:dyDescent="0.25">
      <c r="A887" s="35" t="s">
        <v>1363</v>
      </c>
      <c r="B887" s="28" t="str">
        <f t="shared" si="26"/>
        <v>Wayne</v>
      </c>
      <c r="C887" s="30">
        <v>6403</v>
      </c>
      <c r="D887" s="30">
        <v>6403</v>
      </c>
      <c r="E887" s="30">
        <v>6419</v>
      </c>
      <c r="F887" s="30">
        <v>6337</v>
      </c>
      <c r="G887" s="30">
        <v>6329</v>
      </c>
      <c r="H887" s="30">
        <v>6385</v>
      </c>
      <c r="I887" s="30">
        <v>6376</v>
      </c>
      <c r="J887" s="30">
        <v>6359</v>
      </c>
      <c r="K887" s="30">
        <v>6447</v>
      </c>
      <c r="L887" s="30">
        <v>6492</v>
      </c>
      <c r="M887" s="30">
        <v>6405</v>
      </c>
      <c r="N887" s="30">
        <v>6441</v>
      </c>
      <c r="O887" s="24" t="str">
        <f t="shared" si="27"/>
        <v>Wayne County, Iowa</v>
      </c>
    </row>
    <row r="888" spans="1:15" x14ac:dyDescent="0.25">
      <c r="A888" s="35" t="s">
        <v>1364</v>
      </c>
      <c r="B888" s="28" t="str">
        <f t="shared" si="26"/>
        <v>Webster</v>
      </c>
      <c r="C888" s="30">
        <v>38013</v>
      </c>
      <c r="D888" s="30">
        <v>38011</v>
      </c>
      <c r="E888" s="30">
        <v>37879</v>
      </c>
      <c r="F888" s="30">
        <v>37745</v>
      </c>
      <c r="G888" s="30">
        <v>37323</v>
      </c>
      <c r="H888" s="30">
        <v>37327</v>
      </c>
      <c r="I888" s="30">
        <v>37069</v>
      </c>
      <c r="J888" s="30">
        <v>37066</v>
      </c>
      <c r="K888" s="30">
        <v>36781</v>
      </c>
      <c r="L888" s="30">
        <v>36637</v>
      </c>
      <c r="M888" s="30">
        <v>36339</v>
      </c>
      <c r="N888" s="30">
        <v>35904</v>
      </c>
      <c r="O888" s="24" t="str">
        <f t="shared" si="27"/>
        <v>Webster County, Iowa</v>
      </c>
    </row>
    <row r="889" spans="1:15" x14ac:dyDescent="0.25">
      <c r="A889" s="35" t="s">
        <v>1365</v>
      </c>
      <c r="B889" s="28" t="str">
        <f t="shared" si="26"/>
        <v>Winnebago</v>
      </c>
      <c r="C889" s="30">
        <v>10866</v>
      </c>
      <c r="D889" s="30">
        <v>10874</v>
      </c>
      <c r="E889" s="30">
        <v>10846</v>
      </c>
      <c r="F889" s="30">
        <v>10696</v>
      </c>
      <c r="G889" s="30">
        <v>10602</v>
      </c>
      <c r="H889" s="30">
        <v>10430</v>
      </c>
      <c r="I889" s="30">
        <v>10556</v>
      </c>
      <c r="J889" s="30">
        <v>10603</v>
      </c>
      <c r="K889" s="30">
        <v>10602</v>
      </c>
      <c r="L889" s="30">
        <v>10573</v>
      </c>
      <c r="M889" s="30">
        <v>10539</v>
      </c>
      <c r="N889" s="30">
        <v>10354</v>
      </c>
      <c r="O889" s="24" t="str">
        <f t="shared" si="27"/>
        <v>Winnebago County, Iowa</v>
      </c>
    </row>
    <row r="890" spans="1:15" x14ac:dyDescent="0.25">
      <c r="A890" s="35" t="s">
        <v>1366</v>
      </c>
      <c r="B890" s="28" t="str">
        <f t="shared" si="26"/>
        <v>Winneshiek</v>
      </c>
      <c r="C890" s="30">
        <v>21056</v>
      </c>
      <c r="D890" s="30">
        <v>21058</v>
      </c>
      <c r="E890" s="30">
        <v>21076</v>
      </c>
      <c r="F890" s="30">
        <v>21051</v>
      </c>
      <c r="G890" s="30">
        <v>21041</v>
      </c>
      <c r="H890" s="30">
        <v>20840</v>
      </c>
      <c r="I890" s="30">
        <v>20696</v>
      </c>
      <c r="J890" s="30">
        <v>20745</v>
      </c>
      <c r="K890" s="30">
        <v>20427</v>
      </c>
      <c r="L890" s="30">
        <v>20129</v>
      </c>
      <c r="M890" s="30">
        <v>20017</v>
      </c>
      <c r="N890" s="30">
        <v>19991</v>
      </c>
      <c r="O890" s="24" t="str">
        <f t="shared" si="27"/>
        <v>Winneshiek County, Iowa</v>
      </c>
    </row>
    <row r="891" spans="1:15" x14ac:dyDescent="0.25">
      <c r="A891" s="35" t="s">
        <v>1367</v>
      </c>
      <c r="B891" s="28" t="str">
        <f t="shared" si="26"/>
        <v>Woodbury</v>
      </c>
      <c r="C891" s="30">
        <v>102172</v>
      </c>
      <c r="D891" s="30">
        <v>102175</v>
      </c>
      <c r="E891" s="30">
        <v>102388</v>
      </c>
      <c r="F891" s="30">
        <v>102720</v>
      </c>
      <c r="G891" s="30">
        <v>102321</v>
      </c>
      <c r="H891" s="30">
        <v>102284</v>
      </c>
      <c r="I891" s="30">
        <v>102292</v>
      </c>
      <c r="J891" s="30">
        <v>102492</v>
      </c>
      <c r="K891" s="30">
        <v>102686</v>
      </c>
      <c r="L891" s="30">
        <v>102132</v>
      </c>
      <c r="M891" s="30">
        <v>102515</v>
      </c>
      <c r="N891" s="30">
        <v>103107</v>
      </c>
      <c r="O891" s="24" t="str">
        <f t="shared" si="27"/>
        <v>Woodbury County, Iowa</v>
      </c>
    </row>
    <row r="892" spans="1:15" x14ac:dyDescent="0.25">
      <c r="A892" s="35" t="s">
        <v>1368</v>
      </c>
      <c r="B892" s="28" t="str">
        <f t="shared" si="26"/>
        <v>Worth</v>
      </c>
      <c r="C892" s="30">
        <v>7598</v>
      </c>
      <c r="D892" s="30">
        <v>7591</v>
      </c>
      <c r="E892" s="30">
        <v>7583</v>
      </c>
      <c r="F892" s="30">
        <v>7561</v>
      </c>
      <c r="G892" s="30">
        <v>7496</v>
      </c>
      <c r="H892" s="30">
        <v>7489</v>
      </c>
      <c r="I892" s="30">
        <v>7557</v>
      </c>
      <c r="J892" s="30">
        <v>7503</v>
      </c>
      <c r="K892" s="30">
        <v>7471</v>
      </c>
      <c r="L892" s="30">
        <v>7455</v>
      </c>
      <c r="M892" s="30">
        <v>7413</v>
      </c>
      <c r="N892" s="30">
        <v>7381</v>
      </c>
      <c r="O892" s="24" t="str">
        <f t="shared" si="27"/>
        <v>Worth County, Iowa</v>
      </c>
    </row>
    <row r="893" spans="1:15" x14ac:dyDescent="0.25">
      <c r="A893" s="35" t="s">
        <v>1369</v>
      </c>
      <c r="B893" s="28" t="str">
        <f t="shared" si="26"/>
        <v>Wright</v>
      </c>
      <c r="C893" s="30">
        <v>13229</v>
      </c>
      <c r="D893" s="30">
        <v>13229</v>
      </c>
      <c r="E893" s="30">
        <v>13185</v>
      </c>
      <c r="F893" s="30">
        <v>13034</v>
      </c>
      <c r="G893" s="30">
        <v>13020</v>
      </c>
      <c r="H893" s="30">
        <v>12982</v>
      </c>
      <c r="I893" s="30">
        <v>12906</v>
      </c>
      <c r="J893" s="30">
        <v>12841</v>
      </c>
      <c r="K893" s="30">
        <v>12839</v>
      </c>
      <c r="L893" s="30">
        <v>12765</v>
      </c>
      <c r="M893" s="30">
        <v>12690</v>
      </c>
      <c r="N893" s="30">
        <v>12562</v>
      </c>
      <c r="O893" s="24" t="str">
        <f t="shared" si="27"/>
        <v>Wright County, Iowa</v>
      </c>
    </row>
    <row r="894" spans="1:15" x14ac:dyDescent="0.25">
      <c r="A894" s="35" t="s">
        <v>1370</v>
      </c>
      <c r="B894" s="28" t="str">
        <f t="shared" si="26"/>
        <v>Allen</v>
      </c>
      <c r="C894" s="30">
        <v>13371</v>
      </c>
      <c r="D894" s="30">
        <v>13372</v>
      </c>
      <c r="E894" s="30">
        <v>13363</v>
      </c>
      <c r="F894" s="30">
        <v>13350</v>
      </c>
      <c r="G894" s="30">
        <v>13306</v>
      </c>
      <c r="H894" s="30">
        <v>13069</v>
      </c>
      <c r="I894" s="30">
        <v>12892</v>
      </c>
      <c r="J894" s="30">
        <v>12683</v>
      </c>
      <c r="K894" s="30">
        <v>12670</v>
      </c>
      <c r="L894" s="30">
        <v>12555</v>
      </c>
      <c r="M894" s="30">
        <v>12501</v>
      </c>
      <c r="N894" s="30">
        <v>12369</v>
      </c>
      <c r="O894" s="24" t="str">
        <f t="shared" si="27"/>
        <v>Allen County, Kansas</v>
      </c>
    </row>
    <row r="895" spans="1:15" x14ac:dyDescent="0.25">
      <c r="A895" s="35" t="s">
        <v>1371</v>
      </c>
      <c r="B895" s="28" t="str">
        <f t="shared" si="26"/>
        <v>Anderson</v>
      </c>
      <c r="C895" s="30">
        <v>8102</v>
      </c>
      <c r="D895" s="30">
        <v>8102</v>
      </c>
      <c r="E895" s="30">
        <v>8103</v>
      </c>
      <c r="F895" s="30">
        <v>8060</v>
      </c>
      <c r="G895" s="30">
        <v>7919</v>
      </c>
      <c r="H895" s="30">
        <v>7854</v>
      </c>
      <c r="I895" s="30">
        <v>7881</v>
      </c>
      <c r="J895" s="30">
        <v>7816</v>
      </c>
      <c r="K895" s="30">
        <v>7812</v>
      </c>
      <c r="L895" s="30">
        <v>7833</v>
      </c>
      <c r="M895" s="30">
        <v>7848</v>
      </c>
      <c r="N895" s="30">
        <v>7858</v>
      </c>
      <c r="O895" s="24" t="str">
        <f t="shared" si="27"/>
        <v>Anderson County, Kansas</v>
      </c>
    </row>
    <row r="896" spans="1:15" x14ac:dyDescent="0.25">
      <c r="A896" s="35" t="s">
        <v>1372</v>
      </c>
      <c r="B896" s="28" t="str">
        <f t="shared" si="26"/>
        <v>Atchison</v>
      </c>
      <c r="C896" s="30">
        <v>16924</v>
      </c>
      <c r="D896" s="30">
        <v>16921</v>
      </c>
      <c r="E896" s="30">
        <v>16855</v>
      </c>
      <c r="F896" s="30">
        <v>16753</v>
      </c>
      <c r="G896" s="30">
        <v>16774</v>
      </c>
      <c r="H896" s="30">
        <v>16688</v>
      </c>
      <c r="I896" s="30">
        <v>16523</v>
      </c>
      <c r="J896" s="30">
        <v>16418</v>
      </c>
      <c r="K896" s="30">
        <v>16376</v>
      </c>
      <c r="L896" s="30">
        <v>16298</v>
      </c>
      <c r="M896" s="30">
        <v>16173</v>
      </c>
      <c r="N896" s="30">
        <v>16073</v>
      </c>
      <c r="O896" s="24" t="str">
        <f t="shared" si="27"/>
        <v>Atchison County, Kansas</v>
      </c>
    </row>
    <row r="897" spans="1:15" x14ac:dyDescent="0.25">
      <c r="A897" s="35" t="s">
        <v>1373</v>
      </c>
      <c r="B897" s="28" t="str">
        <f t="shared" si="26"/>
        <v>Barber</v>
      </c>
      <c r="C897" s="30">
        <v>4861</v>
      </c>
      <c r="D897" s="30">
        <v>4864</v>
      </c>
      <c r="E897" s="30">
        <v>4852</v>
      </c>
      <c r="F897" s="30">
        <v>4923</v>
      </c>
      <c r="G897" s="30">
        <v>4867</v>
      </c>
      <c r="H897" s="30">
        <v>4909</v>
      </c>
      <c r="I897" s="30">
        <v>4881</v>
      </c>
      <c r="J897" s="30">
        <v>4824</v>
      </c>
      <c r="K897" s="30">
        <v>4673</v>
      </c>
      <c r="L897" s="30">
        <v>4570</v>
      </c>
      <c r="M897" s="30">
        <v>4465</v>
      </c>
      <c r="N897" s="30">
        <v>4427</v>
      </c>
      <c r="O897" s="24" t="str">
        <f t="shared" si="27"/>
        <v>Barber County, Kansas</v>
      </c>
    </row>
    <row r="898" spans="1:15" x14ac:dyDescent="0.25">
      <c r="A898" s="35" t="s">
        <v>1374</v>
      </c>
      <c r="B898" s="28" t="str">
        <f t="shared" si="26"/>
        <v>Barton</v>
      </c>
      <c r="C898" s="30">
        <v>27674</v>
      </c>
      <c r="D898" s="30">
        <v>27672</v>
      </c>
      <c r="E898" s="30">
        <v>27675</v>
      </c>
      <c r="F898" s="30">
        <v>27697</v>
      </c>
      <c r="G898" s="30">
        <v>27520</v>
      </c>
      <c r="H898" s="30">
        <v>27443</v>
      </c>
      <c r="I898" s="30">
        <v>27334</v>
      </c>
      <c r="J898" s="30">
        <v>27159</v>
      </c>
      <c r="K898" s="30">
        <v>26878</v>
      </c>
      <c r="L898" s="30">
        <v>26394</v>
      </c>
      <c r="M898" s="30">
        <v>26057</v>
      </c>
      <c r="N898" s="30">
        <v>25779</v>
      </c>
      <c r="O898" s="24" t="str">
        <f t="shared" si="27"/>
        <v>Barton County, Kansas</v>
      </c>
    </row>
    <row r="899" spans="1:15" x14ac:dyDescent="0.25">
      <c r="A899" s="35" t="s">
        <v>1375</v>
      </c>
      <c r="B899" s="28" t="str">
        <f t="shared" si="26"/>
        <v>Bourbon</v>
      </c>
      <c r="C899" s="30">
        <v>15173</v>
      </c>
      <c r="D899" s="30">
        <v>15172</v>
      </c>
      <c r="E899" s="30">
        <v>15135</v>
      </c>
      <c r="F899" s="30">
        <v>14944</v>
      </c>
      <c r="G899" s="30">
        <v>14878</v>
      </c>
      <c r="H899" s="30">
        <v>14835</v>
      </c>
      <c r="I899" s="30">
        <v>14797</v>
      </c>
      <c r="J899" s="30">
        <v>14733</v>
      </c>
      <c r="K899" s="30">
        <v>14624</v>
      </c>
      <c r="L899" s="30">
        <v>14609</v>
      </c>
      <c r="M899" s="30">
        <v>14542</v>
      </c>
      <c r="N899" s="30">
        <v>14534</v>
      </c>
      <c r="O899" s="24" t="str">
        <f t="shared" si="27"/>
        <v>Bourbon County, Kansas</v>
      </c>
    </row>
    <row r="900" spans="1:15" x14ac:dyDescent="0.25">
      <c r="A900" s="35" t="s">
        <v>1376</v>
      </c>
      <c r="B900" s="28" t="str">
        <f t="shared" si="26"/>
        <v>Brown</v>
      </c>
      <c r="C900" s="30">
        <v>9984</v>
      </c>
      <c r="D900" s="30">
        <v>9984</v>
      </c>
      <c r="E900" s="30">
        <v>9968</v>
      </c>
      <c r="F900" s="30">
        <v>9972</v>
      </c>
      <c r="G900" s="30">
        <v>9866</v>
      </c>
      <c r="H900" s="30">
        <v>9912</v>
      </c>
      <c r="I900" s="30">
        <v>9785</v>
      </c>
      <c r="J900" s="30">
        <v>9708</v>
      </c>
      <c r="K900" s="30">
        <v>9641</v>
      </c>
      <c r="L900" s="30">
        <v>9609</v>
      </c>
      <c r="M900" s="30">
        <v>9610</v>
      </c>
      <c r="N900" s="30">
        <v>9564</v>
      </c>
      <c r="O900" s="24" t="str">
        <f t="shared" si="27"/>
        <v>Brown County, Kansas</v>
      </c>
    </row>
    <row r="901" spans="1:15" x14ac:dyDescent="0.25">
      <c r="A901" s="35" t="s">
        <v>1377</v>
      </c>
      <c r="B901" s="28" t="str">
        <f t="shared" si="26"/>
        <v>Butler</v>
      </c>
      <c r="C901" s="30">
        <v>65880</v>
      </c>
      <c r="D901" s="30">
        <v>65884</v>
      </c>
      <c r="E901" s="30">
        <v>65901</v>
      </c>
      <c r="F901" s="30">
        <v>65838</v>
      </c>
      <c r="G901" s="30">
        <v>65669</v>
      </c>
      <c r="H901" s="30">
        <v>65671</v>
      </c>
      <c r="I901" s="30">
        <v>65861</v>
      </c>
      <c r="J901" s="30">
        <v>66249</v>
      </c>
      <c r="K901" s="30">
        <v>66652</v>
      </c>
      <c r="L901" s="30">
        <v>66845</v>
      </c>
      <c r="M901" s="30">
        <v>66833</v>
      </c>
      <c r="N901" s="30">
        <v>66911</v>
      </c>
      <c r="O901" s="24" t="str">
        <f t="shared" si="27"/>
        <v>Butler County, Kansas</v>
      </c>
    </row>
    <row r="902" spans="1:15" x14ac:dyDescent="0.25">
      <c r="A902" s="35" t="s">
        <v>1378</v>
      </c>
      <c r="B902" s="28" t="str">
        <f t="shared" si="26"/>
        <v>Chase</v>
      </c>
      <c r="C902" s="30">
        <v>2790</v>
      </c>
      <c r="D902" s="30">
        <v>2790</v>
      </c>
      <c r="E902" s="30">
        <v>2784</v>
      </c>
      <c r="F902" s="30">
        <v>2769</v>
      </c>
      <c r="G902" s="30">
        <v>2743</v>
      </c>
      <c r="H902" s="30">
        <v>2690</v>
      </c>
      <c r="I902" s="30">
        <v>2654</v>
      </c>
      <c r="J902" s="30">
        <v>2656</v>
      </c>
      <c r="K902" s="30">
        <v>2632</v>
      </c>
      <c r="L902" s="30">
        <v>2651</v>
      </c>
      <c r="M902" s="30">
        <v>2600</v>
      </c>
      <c r="N902" s="30">
        <v>2648</v>
      </c>
      <c r="O902" s="24" t="str">
        <f t="shared" si="27"/>
        <v>Chase County, Kansas</v>
      </c>
    </row>
    <row r="903" spans="1:15" x14ac:dyDescent="0.25">
      <c r="A903" s="35" t="s">
        <v>1379</v>
      </c>
      <c r="B903" s="28" t="str">
        <f t="shared" ref="B903:B966" si="28">LEFT(A903,FIND("County",A903,1)-2)</f>
        <v>Chautauqua</v>
      </c>
      <c r="C903" s="30">
        <v>3669</v>
      </c>
      <c r="D903" s="30">
        <v>3669</v>
      </c>
      <c r="E903" s="30">
        <v>3649</v>
      </c>
      <c r="F903" s="30">
        <v>3610</v>
      </c>
      <c r="G903" s="30">
        <v>3559</v>
      </c>
      <c r="H903" s="30">
        <v>3529</v>
      </c>
      <c r="I903" s="30">
        <v>3456</v>
      </c>
      <c r="J903" s="30">
        <v>3387</v>
      </c>
      <c r="K903" s="30">
        <v>3360</v>
      </c>
      <c r="L903" s="30">
        <v>3315</v>
      </c>
      <c r="M903" s="30">
        <v>3304</v>
      </c>
      <c r="N903" s="30">
        <v>3250</v>
      </c>
      <c r="O903" s="24" t="str">
        <f t="shared" ref="O903:O966" si="29">A903</f>
        <v>Chautauqua County, Kansas</v>
      </c>
    </row>
    <row r="904" spans="1:15" x14ac:dyDescent="0.25">
      <c r="A904" s="35" t="s">
        <v>1380</v>
      </c>
      <c r="B904" s="28" t="str">
        <f t="shared" si="28"/>
        <v>Cherokee</v>
      </c>
      <c r="C904" s="30">
        <v>21603</v>
      </c>
      <c r="D904" s="30">
        <v>21607</v>
      </c>
      <c r="E904" s="30">
        <v>21526</v>
      </c>
      <c r="F904" s="30">
        <v>21359</v>
      </c>
      <c r="G904" s="30">
        <v>21192</v>
      </c>
      <c r="H904" s="30">
        <v>20899</v>
      </c>
      <c r="I904" s="30">
        <v>20768</v>
      </c>
      <c r="J904" s="30">
        <v>20535</v>
      </c>
      <c r="K904" s="30">
        <v>20256</v>
      </c>
      <c r="L904" s="30">
        <v>20129</v>
      </c>
      <c r="M904" s="30">
        <v>20035</v>
      </c>
      <c r="N904" s="30">
        <v>19939</v>
      </c>
      <c r="O904" s="24" t="str">
        <f t="shared" si="29"/>
        <v>Cherokee County, Kansas</v>
      </c>
    </row>
    <row r="905" spans="1:15" x14ac:dyDescent="0.25">
      <c r="A905" s="35" t="s">
        <v>1381</v>
      </c>
      <c r="B905" s="28" t="str">
        <f t="shared" si="28"/>
        <v>Cheyenne</v>
      </c>
      <c r="C905" s="30">
        <v>2726</v>
      </c>
      <c r="D905" s="30">
        <v>2726</v>
      </c>
      <c r="E905" s="30">
        <v>2714</v>
      </c>
      <c r="F905" s="30">
        <v>2693</v>
      </c>
      <c r="G905" s="30">
        <v>2667</v>
      </c>
      <c r="H905" s="30">
        <v>2671</v>
      </c>
      <c r="I905" s="30">
        <v>2686</v>
      </c>
      <c r="J905" s="30">
        <v>2674</v>
      </c>
      <c r="K905" s="30">
        <v>2667</v>
      </c>
      <c r="L905" s="30">
        <v>2684</v>
      </c>
      <c r="M905" s="30">
        <v>2645</v>
      </c>
      <c r="N905" s="30">
        <v>2657</v>
      </c>
      <c r="O905" s="24" t="str">
        <f t="shared" si="29"/>
        <v>Cheyenne County, Kansas</v>
      </c>
    </row>
    <row r="906" spans="1:15" x14ac:dyDescent="0.25">
      <c r="A906" s="35" t="s">
        <v>1382</v>
      </c>
      <c r="B906" s="28" t="str">
        <f t="shared" si="28"/>
        <v>Clark</v>
      </c>
      <c r="C906" s="30">
        <v>2215</v>
      </c>
      <c r="D906" s="30">
        <v>2215</v>
      </c>
      <c r="E906" s="30">
        <v>2199</v>
      </c>
      <c r="F906" s="30">
        <v>2120</v>
      </c>
      <c r="G906" s="30">
        <v>2165</v>
      </c>
      <c r="H906" s="30">
        <v>2178</v>
      </c>
      <c r="I906" s="30">
        <v>2114</v>
      </c>
      <c r="J906" s="30">
        <v>2081</v>
      </c>
      <c r="K906" s="30">
        <v>2065</v>
      </c>
      <c r="L906" s="30">
        <v>1995</v>
      </c>
      <c r="M906" s="30">
        <v>1994</v>
      </c>
      <c r="N906" s="30">
        <v>1994</v>
      </c>
      <c r="O906" s="24" t="str">
        <f t="shared" si="29"/>
        <v>Clark County, Kansas</v>
      </c>
    </row>
    <row r="907" spans="1:15" x14ac:dyDescent="0.25">
      <c r="A907" s="35" t="s">
        <v>1383</v>
      </c>
      <c r="B907" s="28" t="str">
        <f t="shared" si="28"/>
        <v>Clay</v>
      </c>
      <c r="C907" s="30">
        <v>8535</v>
      </c>
      <c r="D907" s="30">
        <v>8545</v>
      </c>
      <c r="E907" s="30">
        <v>8548</v>
      </c>
      <c r="F907" s="30">
        <v>8529</v>
      </c>
      <c r="G907" s="30">
        <v>8504</v>
      </c>
      <c r="H907" s="30">
        <v>8388</v>
      </c>
      <c r="I907" s="30">
        <v>8301</v>
      </c>
      <c r="J907" s="30">
        <v>8293</v>
      </c>
      <c r="K907" s="30">
        <v>8105</v>
      </c>
      <c r="L907" s="30">
        <v>8006</v>
      </c>
      <c r="M907" s="30">
        <v>8003</v>
      </c>
      <c r="N907" s="30">
        <v>8002</v>
      </c>
      <c r="O907" s="24" t="str">
        <f t="shared" si="29"/>
        <v>Clay County, Kansas</v>
      </c>
    </row>
    <row r="908" spans="1:15" x14ac:dyDescent="0.25">
      <c r="A908" s="35" t="s">
        <v>1384</v>
      </c>
      <c r="B908" s="28" t="str">
        <f t="shared" si="28"/>
        <v>Cloud</v>
      </c>
      <c r="C908" s="30">
        <v>9533</v>
      </c>
      <c r="D908" s="30">
        <v>9533</v>
      </c>
      <c r="E908" s="30">
        <v>9519</v>
      </c>
      <c r="F908" s="30">
        <v>9421</v>
      </c>
      <c r="G908" s="30">
        <v>9417</v>
      </c>
      <c r="H908" s="30">
        <v>9355</v>
      </c>
      <c r="I908" s="30">
        <v>9331</v>
      </c>
      <c r="J908" s="30">
        <v>9188</v>
      </c>
      <c r="K908" s="30">
        <v>9070</v>
      </c>
      <c r="L908" s="30">
        <v>8912</v>
      </c>
      <c r="M908" s="30">
        <v>8734</v>
      </c>
      <c r="N908" s="30">
        <v>8786</v>
      </c>
      <c r="O908" s="24" t="str">
        <f t="shared" si="29"/>
        <v>Cloud County, Kansas</v>
      </c>
    </row>
    <row r="909" spans="1:15" x14ac:dyDescent="0.25">
      <c r="A909" s="35" t="s">
        <v>1385</v>
      </c>
      <c r="B909" s="28" t="str">
        <f t="shared" si="28"/>
        <v>Coffey</v>
      </c>
      <c r="C909" s="30">
        <v>8601</v>
      </c>
      <c r="D909" s="30">
        <v>8598</v>
      </c>
      <c r="E909" s="30">
        <v>8585</v>
      </c>
      <c r="F909" s="30">
        <v>8487</v>
      </c>
      <c r="G909" s="30">
        <v>8467</v>
      </c>
      <c r="H909" s="30">
        <v>8377</v>
      </c>
      <c r="I909" s="30">
        <v>8394</v>
      </c>
      <c r="J909" s="30">
        <v>8291</v>
      </c>
      <c r="K909" s="30">
        <v>8339</v>
      </c>
      <c r="L909" s="30">
        <v>8228</v>
      </c>
      <c r="M909" s="30">
        <v>8232</v>
      </c>
      <c r="N909" s="30">
        <v>8179</v>
      </c>
      <c r="O909" s="24" t="str">
        <f t="shared" si="29"/>
        <v>Coffey County, Kansas</v>
      </c>
    </row>
    <row r="910" spans="1:15" x14ac:dyDescent="0.25">
      <c r="A910" s="35" t="s">
        <v>1386</v>
      </c>
      <c r="B910" s="28" t="str">
        <f t="shared" si="28"/>
        <v>Comanche</v>
      </c>
      <c r="C910" s="30">
        <v>1891</v>
      </c>
      <c r="D910" s="30">
        <v>1891</v>
      </c>
      <c r="E910" s="30">
        <v>1886</v>
      </c>
      <c r="F910" s="30">
        <v>1882</v>
      </c>
      <c r="G910" s="30">
        <v>1914</v>
      </c>
      <c r="H910" s="30">
        <v>1926</v>
      </c>
      <c r="I910" s="30">
        <v>1950</v>
      </c>
      <c r="J910" s="30">
        <v>1827</v>
      </c>
      <c r="K910" s="30">
        <v>1838</v>
      </c>
      <c r="L910" s="30">
        <v>1759</v>
      </c>
      <c r="M910" s="30">
        <v>1736</v>
      </c>
      <c r="N910" s="30">
        <v>1700</v>
      </c>
      <c r="O910" s="24" t="str">
        <f t="shared" si="29"/>
        <v>Comanche County, Kansas</v>
      </c>
    </row>
    <row r="911" spans="1:15" x14ac:dyDescent="0.25">
      <c r="A911" s="35" t="s">
        <v>1387</v>
      </c>
      <c r="B911" s="28" t="str">
        <f t="shared" si="28"/>
        <v>Cowley</v>
      </c>
      <c r="C911" s="30">
        <v>36311</v>
      </c>
      <c r="D911" s="30">
        <v>36309</v>
      </c>
      <c r="E911" s="30">
        <v>36312</v>
      </c>
      <c r="F911" s="30">
        <v>36249</v>
      </c>
      <c r="G911" s="30">
        <v>36267</v>
      </c>
      <c r="H911" s="30">
        <v>36170</v>
      </c>
      <c r="I911" s="30">
        <v>35896</v>
      </c>
      <c r="J911" s="30">
        <v>35752</v>
      </c>
      <c r="K911" s="30">
        <v>35650</v>
      </c>
      <c r="L911" s="30">
        <v>35297</v>
      </c>
      <c r="M911" s="30">
        <v>35149</v>
      </c>
      <c r="N911" s="30">
        <v>34908</v>
      </c>
      <c r="O911" s="24" t="str">
        <f t="shared" si="29"/>
        <v>Cowley County, Kansas</v>
      </c>
    </row>
    <row r="912" spans="1:15" x14ac:dyDescent="0.25">
      <c r="A912" s="35" t="s">
        <v>1388</v>
      </c>
      <c r="B912" s="28" t="str">
        <f t="shared" si="28"/>
        <v>Crawford</v>
      </c>
      <c r="C912" s="30">
        <v>39134</v>
      </c>
      <c r="D912" s="30">
        <v>39135</v>
      </c>
      <c r="E912" s="30">
        <v>39172</v>
      </c>
      <c r="F912" s="30">
        <v>39204</v>
      </c>
      <c r="G912" s="30">
        <v>39324</v>
      </c>
      <c r="H912" s="30">
        <v>39250</v>
      </c>
      <c r="I912" s="30">
        <v>39269</v>
      </c>
      <c r="J912" s="30">
        <v>39139</v>
      </c>
      <c r="K912" s="30">
        <v>39046</v>
      </c>
      <c r="L912" s="30">
        <v>38925</v>
      </c>
      <c r="M912" s="30">
        <v>38911</v>
      </c>
      <c r="N912" s="30">
        <v>38818</v>
      </c>
      <c r="O912" s="24" t="str">
        <f t="shared" si="29"/>
        <v>Crawford County, Kansas</v>
      </c>
    </row>
    <row r="913" spans="1:15" x14ac:dyDescent="0.25">
      <c r="A913" s="35" t="s">
        <v>1389</v>
      </c>
      <c r="B913" s="28" t="str">
        <f t="shared" si="28"/>
        <v>Decatur</v>
      </c>
      <c r="C913" s="30">
        <v>2961</v>
      </c>
      <c r="D913" s="30">
        <v>2965</v>
      </c>
      <c r="E913" s="30">
        <v>2957</v>
      </c>
      <c r="F913" s="30">
        <v>2927</v>
      </c>
      <c r="G913" s="30">
        <v>2884</v>
      </c>
      <c r="H913" s="30">
        <v>2908</v>
      </c>
      <c r="I913" s="30">
        <v>2897</v>
      </c>
      <c r="J913" s="30">
        <v>2923</v>
      </c>
      <c r="K913" s="30">
        <v>2828</v>
      </c>
      <c r="L913" s="30">
        <v>2863</v>
      </c>
      <c r="M913" s="30">
        <v>2860</v>
      </c>
      <c r="N913" s="30">
        <v>2827</v>
      </c>
      <c r="O913" s="24" t="str">
        <f t="shared" si="29"/>
        <v>Decatur County, Kansas</v>
      </c>
    </row>
    <row r="914" spans="1:15" x14ac:dyDescent="0.25">
      <c r="A914" s="35" t="s">
        <v>1390</v>
      </c>
      <c r="B914" s="28" t="str">
        <f t="shared" si="28"/>
        <v>Dickinson</v>
      </c>
      <c r="C914" s="30">
        <v>19754</v>
      </c>
      <c r="D914" s="30">
        <v>19749</v>
      </c>
      <c r="E914" s="30">
        <v>19773</v>
      </c>
      <c r="F914" s="30">
        <v>19685</v>
      </c>
      <c r="G914" s="30">
        <v>19705</v>
      </c>
      <c r="H914" s="30">
        <v>19433</v>
      </c>
      <c r="I914" s="30">
        <v>19305</v>
      </c>
      <c r="J914" s="30">
        <v>19206</v>
      </c>
      <c r="K914" s="30">
        <v>18956</v>
      </c>
      <c r="L914" s="30">
        <v>18829</v>
      </c>
      <c r="M914" s="30">
        <v>18682</v>
      </c>
      <c r="N914" s="30">
        <v>18466</v>
      </c>
      <c r="O914" s="24" t="str">
        <f t="shared" si="29"/>
        <v>Dickinson County, Kansas</v>
      </c>
    </row>
    <row r="915" spans="1:15" x14ac:dyDescent="0.25">
      <c r="A915" s="35" t="s">
        <v>1391</v>
      </c>
      <c r="B915" s="28" t="str">
        <f t="shared" si="28"/>
        <v>Doniphan</v>
      </c>
      <c r="C915" s="30">
        <v>7945</v>
      </c>
      <c r="D915" s="30">
        <v>7948</v>
      </c>
      <c r="E915" s="30">
        <v>7960</v>
      </c>
      <c r="F915" s="30">
        <v>7960</v>
      </c>
      <c r="G915" s="30">
        <v>7890</v>
      </c>
      <c r="H915" s="30">
        <v>7876</v>
      </c>
      <c r="I915" s="30">
        <v>7840</v>
      </c>
      <c r="J915" s="30">
        <v>7788</v>
      </c>
      <c r="K915" s="30">
        <v>7718</v>
      </c>
      <c r="L915" s="30">
        <v>7657</v>
      </c>
      <c r="M915" s="30">
        <v>7658</v>
      </c>
      <c r="N915" s="30">
        <v>7600</v>
      </c>
      <c r="O915" s="24" t="str">
        <f t="shared" si="29"/>
        <v>Doniphan County, Kansas</v>
      </c>
    </row>
    <row r="916" spans="1:15" x14ac:dyDescent="0.25">
      <c r="A916" s="35" t="s">
        <v>1392</v>
      </c>
      <c r="B916" s="28" t="str">
        <f t="shared" si="28"/>
        <v>Douglas</v>
      </c>
      <c r="C916" s="30">
        <v>110826</v>
      </c>
      <c r="D916" s="30">
        <v>110826</v>
      </c>
      <c r="E916" s="30">
        <v>111198</v>
      </c>
      <c r="F916" s="30">
        <v>112479</v>
      </c>
      <c r="G916" s="30">
        <v>113313</v>
      </c>
      <c r="H916" s="30">
        <v>114713</v>
      </c>
      <c r="I916" s="30">
        <v>116445</v>
      </c>
      <c r="J916" s="30">
        <v>118141</v>
      </c>
      <c r="K916" s="30">
        <v>119662</v>
      </c>
      <c r="L916" s="30">
        <v>120281</v>
      </c>
      <c r="M916" s="30">
        <v>121109</v>
      </c>
      <c r="N916" s="30">
        <v>122259</v>
      </c>
      <c r="O916" s="24" t="str">
        <f t="shared" si="29"/>
        <v>Douglas County, Kansas</v>
      </c>
    </row>
    <row r="917" spans="1:15" x14ac:dyDescent="0.25">
      <c r="A917" s="35" t="s">
        <v>1393</v>
      </c>
      <c r="B917" s="28" t="str">
        <f t="shared" si="28"/>
        <v>Edwards</v>
      </c>
      <c r="C917" s="30">
        <v>3037</v>
      </c>
      <c r="D917" s="30">
        <v>3037</v>
      </c>
      <c r="E917" s="30">
        <v>3054</v>
      </c>
      <c r="F917" s="30">
        <v>3019</v>
      </c>
      <c r="G917" s="30">
        <v>2965</v>
      </c>
      <c r="H917" s="30">
        <v>2967</v>
      </c>
      <c r="I917" s="30">
        <v>3025</v>
      </c>
      <c r="J917" s="30">
        <v>2955</v>
      </c>
      <c r="K917" s="30">
        <v>2899</v>
      </c>
      <c r="L917" s="30">
        <v>2873</v>
      </c>
      <c r="M917" s="30">
        <v>2820</v>
      </c>
      <c r="N917" s="30">
        <v>2798</v>
      </c>
      <c r="O917" s="24" t="str">
        <f t="shared" si="29"/>
        <v>Edwards County, Kansas</v>
      </c>
    </row>
    <row r="918" spans="1:15" x14ac:dyDescent="0.25">
      <c r="A918" s="35" t="s">
        <v>1394</v>
      </c>
      <c r="B918" s="28" t="str">
        <f t="shared" si="28"/>
        <v>Elk</v>
      </c>
      <c r="C918" s="30">
        <v>2882</v>
      </c>
      <c r="D918" s="30">
        <v>2882</v>
      </c>
      <c r="E918" s="30">
        <v>2867</v>
      </c>
      <c r="F918" s="30">
        <v>2786</v>
      </c>
      <c r="G918" s="30">
        <v>2661</v>
      </c>
      <c r="H918" s="30">
        <v>2633</v>
      </c>
      <c r="I918" s="30">
        <v>2696</v>
      </c>
      <c r="J918" s="30">
        <v>2574</v>
      </c>
      <c r="K918" s="30">
        <v>2511</v>
      </c>
      <c r="L918" s="30">
        <v>2514</v>
      </c>
      <c r="M918" s="30">
        <v>2484</v>
      </c>
      <c r="N918" s="30">
        <v>2530</v>
      </c>
      <c r="O918" s="24" t="str">
        <f t="shared" si="29"/>
        <v>Elk County, Kansas</v>
      </c>
    </row>
    <row r="919" spans="1:15" x14ac:dyDescent="0.25">
      <c r="A919" s="35" t="s">
        <v>1395</v>
      </c>
      <c r="B919" s="28" t="str">
        <f t="shared" si="28"/>
        <v>Ellis</v>
      </c>
      <c r="C919" s="30">
        <v>28452</v>
      </c>
      <c r="D919" s="30">
        <v>28452</v>
      </c>
      <c r="E919" s="30">
        <v>28424</v>
      </c>
      <c r="F919" s="30">
        <v>28765</v>
      </c>
      <c r="G919" s="30">
        <v>29089</v>
      </c>
      <c r="H919" s="30">
        <v>29030</v>
      </c>
      <c r="I919" s="30">
        <v>28963</v>
      </c>
      <c r="J919" s="30">
        <v>28999</v>
      </c>
      <c r="K919" s="30">
        <v>28942</v>
      </c>
      <c r="L919" s="30">
        <v>28735</v>
      </c>
      <c r="M919" s="30">
        <v>28646</v>
      </c>
      <c r="N919" s="30">
        <v>28553</v>
      </c>
      <c r="O919" s="24" t="str">
        <f t="shared" si="29"/>
        <v>Ellis County, Kansas</v>
      </c>
    </row>
    <row r="920" spans="1:15" x14ac:dyDescent="0.25">
      <c r="A920" s="35" t="s">
        <v>1396</v>
      </c>
      <c r="B920" s="28" t="str">
        <f t="shared" si="28"/>
        <v>Ellsworth</v>
      </c>
      <c r="C920" s="30">
        <v>6497</v>
      </c>
      <c r="D920" s="30">
        <v>6497</v>
      </c>
      <c r="E920" s="30">
        <v>6513</v>
      </c>
      <c r="F920" s="30">
        <v>6461</v>
      </c>
      <c r="G920" s="30">
        <v>6462</v>
      </c>
      <c r="H920" s="30">
        <v>6365</v>
      </c>
      <c r="I920" s="30">
        <v>6345</v>
      </c>
      <c r="J920" s="30">
        <v>6302</v>
      </c>
      <c r="K920" s="30">
        <v>6302</v>
      </c>
      <c r="L920" s="30">
        <v>6284</v>
      </c>
      <c r="M920" s="30">
        <v>6163</v>
      </c>
      <c r="N920" s="30">
        <v>6102</v>
      </c>
      <c r="O920" s="24" t="str">
        <f t="shared" si="29"/>
        <v>Ellsworth County, Kansas</v>
      </c>
    </row>
    <row r="921" spans="1:15" x14ac:dyDescent="0.25">
      <c r="A921" s="35" t="s">
        <v>1397</v>
      </c>
      <c r="B921" s="28" t="str">
        <f t="shared" si="28"/>
        <v>Finney</v>
      </c>
      <c r="C921" s="30">
        <v>36776</v>
      </c>
      <c r="D921" s="30">
        <v>36785</v>
      </c>
      <c r="E921" s="30">
        <v>36952</v>
      </c>
      <c r="F921" s="30">
        <v>37115</v>
      </c>
      <c r="G921" s="30">
        <v>37110</v>
      </c>
      <c r="H921" s="30">
        <v>37073</v>
      </c>
      <c r="I921" s="30">
        <v>37119</v>
      </c>
      <c r="J921" s="30">
        <v>37148</v>
      </c>
      <c r="K921" s="30">
        <v>36885</v>
      </c>
      <c r="L921" s="30">
        <v>36720</v>
      </c>
      <c r="M921" s="30">
        <v>36528</v>
      </c>
      <c r="N921" s="30">
        <v>36467</v>
      </c>
      <c r="O921" s="24" t="str">
        <f t="shared" si="29"/>
        <v>Finney County, Kansas</v>
      </c>
    </row>
    <row r="922" spans="1:15" x14ac:dyDescent="0.25">
      <c r="A922" s="35" t="s">
        <v>1398</v>
      </c>
      <c r="B922" s="28" t="str">
        <f t="shared" si="28"/>
        <v>Ford</v>
      </c>
      <c r="C922" s="30">
        <v>33848</v>
      </c>
      <c r="D922" s="30">
        <v>33844</v>
      </c>
      <c r="E922" s="30">
        <v>34008</v>
      </c>
      <c r="F922" s="30">
        <v>34372</v>
      </c>
      <c r="G922" s="30">
        <v>34665</v>
      </c>
      <c r="H922" s="30">
        <v>34879</v>
      </c>
      <c r="I922" s="30">
        <v>34930</v>
      </c>
      <c r="J922" s="30">
        <v>34629</v>
      </c>
      <c r="K922" s="30">
        <v>34552</v>
      </c>
      <c r="L922" s="30">
        <v>34218</v>
      </c>
      <c r="M922" s="30">
        <v>33877</v>
      </c>
      <c r="N922" s="30">
        <v>33619</v>
      </c>
      <c r="O922" s="24" t="str">
        <f t="shared" si="29"/>
        <v>Ford County, Kansas</v>
      </c>
    </row>
    <row r="923" spans="1:15" x14ac:dyDescent="0.25">
      <c r="A923" s="35" t="s">
        <v>1399</v>
      </c>
      <c r="B923" s="28" t="str">
        <f t="shared" si="28"/>
        <v>Franklin</v>
      </c>
      <c r="C923" s="30">
        <v>25992</v>
      </c>
      <c r="D923" s="30">
        <v>25996</v>
      </c>
      <c r="E923" s="30">
        <v>25985</v>
      </c>
      <c r="F923" s="30">
        <v>25856</v>
      </c>
      <c r="G923" s="30">
        <v>25825</v>
      </c>
      <c r="H923" s="30">
        <v>25734</v>
      </c>
      <c r="I923" s="30">
        <v>25531</v>
      </c>
      <c r="J923" s="30">
        <v>25469</v>
      </c>
      <c r="K923" s="30">
        <v>25523</v>
      </c>
      <c r="L923" s="30">
        <v>25631</v>
      </c>
      <c r="M923" s="30">
        <v>25625</v>
      </c>
      <c r="N923" s="30">
        <v>25544</v>
      </c>
      <c r="O923" s="24" t="str">
        <f t="shared" si="29"/>
        <v>Franklin County, Kansas</v>
      </c>
    </row>
    <row r="924" spans="1:15" x14ac:dyDescent="0.25">
      <c r="A924" s="35" t="s">
        <v>1400</v>
      </c>
      <c r="B924" s="28" t="str">
        <f t="shared" si="28"/>
        <v>Geary</v>
      </c>
      <c r="C924" s="30">
        <v>34362</v>
      </c>
      <c r="D924" s="30">
        <v>34356</v>
      </c>
      <c r="E924" s="30">
        <v>35243</v>
      </c>
      <c r="F924" s="30">
        <v>35294</v>
      </c>
      <c r="G924" s="30">
        <v>37903</v>
      </c>
      <c r="H924" s="30">
        <v>36797</v>
      </c>
      <c r="I924" s="30">
        <v>36446</v>
      </c>
      <c r="J924" s="30">
        <v>36681</v>
      </c>
      <c r="K924" s="30">
        <v>35223</v>
      </c>
      <c r="L924" s="30">
        <v>33774</v>
      </c>
      <c r="M924" s="30">
        <v>32777</v>
      </c>
      <c r="N924" s="30">
        <v>31670</v>
      </c>
      <c r="O924" s="24" t="str">
        <f t="shared" si="29"/>
        <v>Geary County, Kansas</v>
      </c>
    </row>
    <row r="925" spans="1:15" x14ac:dyDescent="0.25">
      <c r="A925" s="35" t="s">
        <v>1401</v>
      </c>
      <c r="B925" s="28" t="str">
        <f t="shared" si="28"/>
        <v>Gove</v>
      </c>
      <c r="C925" s="30">
        <v>2695</v>
      </c>
      <c r="D925" s="30">
        <v>2701</v>
      </c>
      <c r="E925" s="30">
        <v>2692</v>
      </c>
      <c r="F925" s="30">
        <v>2726</v>
      </c>
      <c r="G925" s="30">
        <v>2759</v>
      </c>
      <c r="H925" s="30">
        <v>2794</v>
      </c>
      <c r="I925" s="30">
        <v>2748</v>
      </c>
      <c r="J925" s="30">
        <v>2698</v>
      </c>
      <c r="K925" s="30">
        <v>2622</v>
      </c>
      <c r="L925" s="30">
        <v>2622</v>
      </c>
      <c r="M925" s="30">
        <v>2611</v>
      </c>
      <c r="N925" s="30">
        <v>2636</v>
      </c>
      <c r="O925" s="24" t="str">
        <f t="shared" si="29"/>
        <v>Gove County, Kansas</v>
      </c>
    </row>
    <row r="926" spans="1:15" x14ac:dyDescent="0.25">
      <c r="A926" s="35" t="s">
        <v>1402</v>
      </c>
      <c r="B926" s="28" t="str">
        <f t="shared" si="28"/>
        <v>Graham</v>
      </c>
      <c r="C926" s="30">
        <v>2597</v>
      </c>
      <c r="D926" s="30">
        <v>2588</v>
      </c>
      <c r="E926" s="30">
        <v>2602</v>
      </c>
      <c r="F926" s="30">
        <v>2635</v>
      </c>
      <c r="G926" s="30">
        <v>2581</v>
      </c>
      <c r="H926" s="30">
        <v>2588</v>
      </c>
      <c r="I926" s="30">
        <v>2557</v>
      </c>
      <c r="J926" s="30">
        <v>2591</v>
      </c>
      <c r="K926" s="30">
        <v>2562</v>
      </c>
      <c r="L926" s="30">
        <v>2485</v>
      </c>
      <c r="M926" s="30">
        <v>2475</v>
      </c>
      <c r="N926" s="30">
        <v>2482</v>
      </c>
      <c r="O926" s="24" t="str">
        <f t="shared" si="29"/>
        <v>Graham County, Kansas</v>
      </c>
    </row>
    <row r="927" spans="1:15" x14ac:dyDescent="0.25">
      <c r="A927" s="35" t="s">
        <v>1403</v>
      </c>
      <c r="B927" s="28" t="str">
        <f t="shared" si="28"/>
        <v>Grant</v>
      </c>
      <c r="C927" s="30">
        <v>7829</v>
      </c>
      <c r="D927" s="30">
        <v>7824</v>
      </c>
      <c r="E927" s="30">
        <v>7825</v>
      </c>
      <c r="F927" s="30">
        <v>7896</v>
      </c>
      <c r="G927" s="30">
        <v>7832</v>
      </c>
      <c r="H927" s="30">
        <v>7846</v>
      </c>
      <c r="I927" s="30">
        <v>7787</v>
      </c>
      <c r="J927" s="30">
        <v>7724</v>
      </c>
      <c r="K927" s="30">
        <v>7675</v>
      </c>
      <c r="L927" s="30">
        <v>7490</v>
      </c>
      <c r="M927" s="30">
        <v>7294</v>
      </c>
      <c r="N927" s="30">
        <v>7150</v>
      </c>
      <c r="O927" s="24" t="str">
        <f t="shared" si="29"/>
        <v>Grant County, Kansas</v>
      </c>
    </row>
    <row r="928" spans="1:15" x14ac:dyDescent="0.25">
      <c r="A928" s="35" t="s">
        <v>1404</v>
      </c>
      <c r="B928" s="28" t="str">
        <f t="shared" si="28"/>
        <v>Gray</v>
      </c>
      <c r="C928" s="30">
        <v>6006</v>
      </c>
      <c r="D928" s="30">
        <v>6001</v>
      </c>
      <c r="E928" s="30">
        <v>6026</v>
      </c>
      <c r="F928" s="30">
        <v>6086</v>
      </c>
      <c r="G928" s="30">
        <v>5963</v>
      </c>
      <c r="H928" s="30">
        <v>5980</v>
      </c>
      <c r="I928" s="30">
        <v>6062</v>
      </c>
      <c r="J928" s="30">
        <v>6082</v>
      </c>
      <c r="K928" s="30">
        <v>6031</v>
      </c>
      <c r="L928" s="30">
        <v>6018</v>
      </c>
      <c r="M928" s="30">
        <v>6076</v>
      </c>
      <c r="N928" s="30">
        <v>5988</v>
      </c>
      <c r="O928" s="24" t="str">
        <f t="shared" si="29"/>
        <v>Gray County, Kansas</v>
      </c>
    </row>
    <row r="929" spans="1:15" x14ac:dyDescent="0.25">
      <c r="A929" s="35" t="s">
        <v>1405</v>
      </c>
      <c r="B929" s="28" t="str">
        <f t="shared" si="28"/>
        <v>Greeley</v>
      </c>
      <c r="C929" s="30">
        <v>1247</v>
      </c>
      <c r="D929" s="30">
        <v>1248</v>
      </c>
      <c r="E929" s="30">
        <v>1259</v>
      </c>
      <c r="F929" s="30">
        <v>1255</v>
      </c>
      <c r="G929" s="30">
        <v>1268</v>
      </c>
      <c r="H929" s="30">
        <v>1283</v>
      </c>
      <c r="I929" s="30">
        <v>1302</v>
      </c>
      <c r="J929" s="30">
        <v>1302</v>
      </c>
      <c r="K929" s="30">
        <v>1277</v>
      </c>
      <c r="L929" s="30">
        <v>1226</v>
      </c>
      <c r="M929" s="30">
        <v>1229</v>
      </c>
      <c r="N929" s="30">
        <v>1232</v>
      </c>
      <c r="O929" s="24" t="str">
        <f t="shared" si="29"/>
        <v>Greeley County, Kansas</v>
      </c>
    </row>
    <row r="930" spans="1:15" x14ac:dyDescent="0.25">
      <c r="A930" s="35" t="s">
        <v>1406</v>
      </c>
      <c r="B930" s="28" t="str">
        <f t="shared" si="28"/>
        <v>Greenwood</v>
      </c>
      <c r="C930" s="30">
        <v>6689</v>
      </c>
      <c r="D930" s="30">
        <v>6689</v>
      </c>
      <c r="E930" s="30">
        <v>6680</v>
      </c>
      <c r="F930" s="30">
        <v>6611</v>
      </c>
      <c r="G930" s="30">
        <v>6426</v>
      </c>
      <c r="H930" s="30">
        <v>6358</v>
      </c>
      <c r="I930" s="30">
        <v>6288</v>
      </c>
      <c r="J930" s="30">
        <v>6233</v>
      </c>
      <c r="K930" s="30">
        <v>6112</v>
      </c>
      <c r="L930" s="30">
        <v>6067</v>
      </c>
      <c r="M930" s="30">
        <v>6011</v>
      </c>
      <c r="N930" s="30">
        <v>5982</v>
      </c>
      <c r="O930" s="24" t="str">
        <f t="shared" si="29"/>
        <v>Greenwood County, Kansas</v>
      </c>
    </row>
    <row r="931" spans="1:15" x14ac:dyDescent="0.25">
      <c r="A931" s="35" t="s">
        <v>1407</v>
      </c>
      <c r="B931" s="28" t="str">
        <f t="shared" si="28"/>
        <v>Hamilton</v>
      </c>
      <c r="C931" s="30">
        <v>2690</v>
      </c>
      <c r="D931" s="30">
        <v>2687</v>
      </c>
      <c r="E931" s="30">
        <v>2707</v>
      </c>
      <c r="F931" s="30">
        <v>2637</v>
      </c>
      <c r="G931" s="30">
        <v>2651</v>
      </c>
      <c r="H931" s="30">
        <v>2620</v>
      </c>
      <c r="I931" s="30">
        <v>2659</v>
      </c>
      <c r="J931" s="30">
        <v>2568</v>
      </c>
      <c r="K931" s="30">
        <v>2634</v>
      </c>
      <c r="L931" s="30">
        <v>2616</v>
      </c>
      <c r="M931" s="30">
        <v>2600</v>
      </c>
      <c r="N931" s="30">
        <v>2539</v>
      </c>
      <c r="O931" s="24" t="str">
        <f t="shared" si="29"/>
        <v>Hamilton County, Kansas</v>
      </c>
    </row>
    <row r="932" spans="1:15" x14ac:dyDescent="0.25">
      <c r="A932" s="35" t="s">
        <v>1408</v>
      </c>
      <c r="B932" s="28" t="str">
        <f t="shared" si="28"/>
        <v>Harper</v>
      </c>
      <c r="C932" s="30">
        <v>6034</v>
      </c>
      <c r="D932" s="30">
        <v>6034</v>
      </c>
      <c r="E932" s="30">
        <v>6008</v>
      </c>
      <c r="F932" s="30">
        <v>5937</v>
      </c>
      <c r="G932" s="30">
        <v>5862</v>
      </c>
      <c r="H932" s="30">
        <v>5842</v>
      </c>
      <c r="I932" s="30">
        <v>5829</v>
      </c>
      <c r="J932" s="30">
        <v>5781</v>
      </c>
      <c r="K932" s="30">
        <v>5667</v>
      </c>
      <c r="L932" s="30">
        <v>5580</v>
      </c>
      <c r="M932" s="30">
        <v>5508</v>
      </c>
      <c r="N932" s="30">
        <v>5436</v>
      </c>
      <c r="O932" s="24" t="str">
        <f t="shared" si="29"/>
        <v>Harper County, Kansas</v>
      </c>
    </row>
    <row r="933" spans="1:15" x14ac:dyDescent="0.25">
      <c r="A933" s="35" t="s">
        <v>1409</v>
      </c>
      <c r="B933" s="28" t="str">
        <f t="shared" si="28"/>
        <v>Harvey</v>
      </c>
      <c r="C933" s="30">
        <v>34684</v>
      </c>
      <c r="D933" s="30">
        <v>34684</v>
      </c>
      <c r="E933" s="30">
        <v>34740</v>
      </c>
      <c r="F933" s="30">
        <v>34691</v>
      </c>
      <c r="G933" s="30">
        <v>34754</v>
      </c>
      <c r="H933" s="30">
        <v>34715</v>
      </c>
      <c r="I933" s="30">
        <v>34597</v>
      </c>
      <c r="J933" s="30">
        <v>34802</v>
      </c>
      <c r="K933" s="30">
        <v>34726</v>
      </c>
      <c r="L933" s="30">
        <v>34373</v>
      </c>
      <c r="M933" s="30">
        <v>34183</v>
      </c>
      <c r="N933" s="30">
        <v>34429</v>
      </c>
      <c r="O933" s="24" t="str">
        <f t="shared" si="29"/>
        <v>Harvey County, Kansas</v>
      </c>
    </row>
    <row r="934" spans="1:15" x14ac:dyDescent="0.25">
      <c r="A934" s="35" t="s">
        <v>1410</v>
      </c>
      <c r="B934" s="28" t="str">
        <f t="shared" si="28"/>
        <v>Haskell</v>
      </c>
      <c r="C934" s="30">
        <v>4256</v>
      </c>
      <c r="D934" s="30">
        <v>4256</v>
      </c>
      <c r="E934" s="30">
        <v>4273</v>
      </c>
      <c r="F934" s="30">
        <v>4235</v>
      </c>
      <c r="G934" s="30">
        <v>4215</v>
      </c>
      <c r="H934" s="30">
        <v>4126</v>
      </c>
      <c r="I934" s="30">
        <v>4101</v>
      </c>
      <c r="J934" s="30">
        <v>4089</v>
      </c>
      <c r="K934" s="30">
        <v>4026</v>
      </c>
      <c r="L934" s="30">
        <v>4019</v>
      </c>
      <c r="M934" s="30">
        <v>3990</v>
      </c>
      <c r="N934" s="30">
        <v>3968</v>
      </c>
      <c r="O934" s="24" t="str">
        <f t="shared" si="29"/>
        <v>Haskell County, Kansas</v>
      </c>
    </row>
    <row r="935" spans="1:15" x14ac:dyDescent="0.25">
      <c r="A935" s="35" t="s">
        <v>1411</v>
      </c>
      <c r="B935" s="28" t="str">
        <f t="shared" si="28"/>
        <v>Hodgeman</v>
      </c>
      <c r="C935" s="30">
        <v>1916</v>
      </c>
      <c r="D935" s="30">
        <v>1918</v>
      </c>
      <c r="E935" s="30">
        <v>1920</v>
      </c>
      <c r="F935" s="30">
        <v>1957</v>
      </c>
      <c r="G935" s="30">
        <v>1927</v>
      </c>
      <c r="H935" s="30">
        <v>1924</v>
      </c>
      <c r="I935" s="30">
        <v>1883</v>
      </c>
      <c r="J935" s="30">
        <v>1869</v>
      </c>
      <c r="K935" s="30">
        <v>1851</v>
      </c>
      <c r="L935" s="30">
        <v>1863</v>
      </c>
      <c r="M935" s="30">
        <v>1822</v>
      </c>
      <c r="N935" s="30">
        <v>1794</v>
      </c>
      <c r="O935" s="24" t="str">
        <f t="shared" si="29"/>
        <v>Hodgeman County, Kansas</v>
      </c>
    </row>
    <row r="936" spans="1:15" x14ac:dyDescent="0.25">
      <c r="A936" s="35" t="s">
        <v>1412</v>
      </c>
      <c r="B936" s="28" t="str">
        <f t="shared" si="28"/>
        <v>Jackson</v>
      </c>
      <c r="C936" s="30">
        <v>13462</v>
      </c>
      <c r="D936" s="30">
        <v>13460</v>
      </c>
      <c r="E936" s="30">
        <v>13462</v>
      </c>
      <c r="F936" s="30">
        <v>13427</v>
      </c>
      <c r="G936" s="30">
        <v>13401</v>
      </c>
      <c r="H936" s="30">
        <v>13310</v>
      </c>
      <c r="I936" s="30">
        <v>13437</v>
      </c>
      <c r="J936" s="30">
        <v>13285</v>
      </c>
      <c r="K936" s="30">
        <v>13270</v>
      </c>
      <c r="L936" s="30">
        <v>13332</v>
      </c>
      <c r="M936" s="30">
        <v>13270</v>
      </c>
      <c r="N936" s="30">
        <v>13171</v>
      </c>
      <c r="O936" s="24" t="str">
        <f t="shared" si="29"/>
        <v>Jackson County, Kansas</v>
      </c>
    </row>
    <row r="937" spans="1:15" x14ac:dyDescent="0.25">
      <c r="A937" s="35" t="s">
        <v>1413</v>
      </c>
      <c r="B937" s="28" t="str">
        <f t="shared" si="28"/>
        <v>Jefferson</v>
      </c>
      <c r="C937" s="30">
        <v>19126</v>
      </c>
      <c r="D937" s="30">
        <v>19108</v>
      </c>
      <c r="E937" s="30">
        <v>19121</v>
      </c>
      <c r="F937" s="30">
        <v>18942</v>
      </c>
      <c r="G937" s="30">
        <v>18861</v>
      </c>
      <c r="H937" s="30">
        <v>18773</v>
      </c>
      <c r="I937" s="30">
        <v>18805</v>
      </c>
      <c r="J937" s="30">
        <v>18794</v>
      </c>
      <c r="K937" s="30">
        <v>18824</v>
      </c>
      <c r="L937" s="30">
        <v>18932</v>
      </c>
      <c r="M937" s="30">
        <v>18856</v>
      </c>
      <c r="N937" s="30">
        <v>19043</v>
      </c>
      <c r="O937" s="24" t="str">
        <f t="shared" si="29"/>
        <v>Jefferson County, Kansas</v>
      </c>
    </row>
    <row r="938" spans="1:15" x14ac:dyDescent="0.25">
      <c r="A938" s="35" t="s">
        <v>1414</v>
      </c>
      <c r="B938" s="28" t="str">
        <f t="shared" si="28"/>
        <v>Jewell</v>
      </c>
      <c r="C938" s="30">
        <v>3077</v>
      </c>
      <c r="D938" s="30">
        <v>3073</v>
      </c>
      <c r="E938" s="30">
        <v>3063</v>
      </c>
      <c r="F938" s="30">
        <v>3091</v>
      </c>
      <c r="G938" s="30">
        <v>3054</v>
      </c>
      <c r="H938" s="30">
        <v>3060</v>
      </c>
      <c r="I938" s="30">
        <v>3043</v>
      </c>
      <c r="J938" s="30">
        <v>2963</v>
      </c>
      <c r="K938" s="30">
        <v>2880</v>
      </c>
      <c r="L938" s="30">
        <v>2857</v>
      </c>
      <c r="M938" s="30">
        <v>2845</v>
      </c>
      <c r="N938" s="30">
        <v>2879</v>
      </c>
      <c r="O938" s="24" t="str">
        <f t="shared" si="29"/>
        <v>Jewell County, Kansas</v>
      </c>
    </row>
    <row r="939" spans="1:15" x14ac:dyDescent="0.25">
      <c r="A939" s="35" t="s">
        <v>1415</v>
      </c>
      <c r="B939" s="28" t="str">
        <f t="shared" si="28"/>
        <v>Johnson</v>
      </c>
      <c r="C939" s="30">
        <v>544179</v>
      </c>
      <c r="D939" s="30">
        <v>544181</v>
      </c>
      <c r="E939" s="30">
        <v>545655</v>
      </c>
      <c r="F939" s="30">
        <v>552907</v>
      </c>
      <c r="G939" s="30">
        <v>559428</v>
      </c>
      <c r="H939" s="30">
        <v>566351</v>
      </c>
      <c r="I939" s="30">
        <v>572940</v>
      </c>
      <c r="J939" s="30">
        <v>579684</v>
      </c>
      <c r="K939" s="30">
        <v>586015</v>
      </c>
      <c r="L939" s="30">
        <v>591305</v>
      </c>
      <c r="M939" s="30">
        <v>598127</v>
      </c>
      <c r="N939" s="30">
        <v>602401</v>
      </c>
      <c r="O939" s="24" t="str">
        <f t="shared" si="29"/>
        <v>Johnson County, Kansas</v>
      </c>
    </row>
    <row r="940" spans="1:15" x14ac:dyDescent="0.25">
      <c r="A940" s="35" t="s">
        <v>1416</v>
      </c>
      <c r="B940" s="28" t="str">
        <f t="shared" si="28"/>
        <v>Kearny</v>
      </c>
      <c r="C940" s="30">
        <v>3977</v>
      </c>
      <c r="D940" s="30">
        <v>3982</v>
      </c>
      <c r="E940" s="30">
        <v>4002</v>
      </c>
      <c r="F940" s="30">
        <v>3958</v>
      </c>
      <c r="G940" s="30">
        <v>3971</v>
      </c>
      <c r="H940" s="30">
        <v>3912</v>
      </c>
      <c r="I940" s="30">
        <v>3938</v>
      </c>
      <c r="J940" s="30">
        <v>3929</v>
      </c>
      <c r="K940" s="30">
        <v>3890</v>
      </c>
      <c r="L940" s="30">
        <v>3935</v>
      </c>
      <c r="M940" s="30">
        <v>3941</v>
      </c>
      <c r="N940" s="30">
        <v>3838</v>
      </c>
      <c r="O940" s="24" t="str">
        <f t="shared" si="29"/>
        <v>Kearny County, Kansas</v>
      </c>
    </row>
    <row r="941" spans="1:15" x14ac:dyDescent="0.25">
      <c r="A941" s="35" t="s">
        <v>1417</v>
      </c>
      <c r="B941" s="28" t="str">
        <f t="shared" si="28"/>
        <v>Kingman</v>
      </c>
      <c r="C941" s="30">
        <v>7858</v>
      </c>
      <c r="D941" s="30">
        <v>7860</v>
      </c>
      <c r="E941" s="30">
        <v>7857</v>
      </c>
      <c r="F941" s="30">
        <v>7891</v>
      </c>
      <c r="G941" s="30">
        <v>7825</v>
      </c>
      <c r="H941" s="30">
        <v>7801</v>
      </c>
      <c r="I941" s="30">
        <v>7683</v>
      </c>
      <c r="J941" s="30">
        <v>7636</v>
      </c>
      <c r="K941" s="30">
        <v>7417</v>
      </c>
      <c r="L941" s="30">
        <v>7275</v>
      </c>
      <c r="M941" s="30">
        <v>7220</v>
      </c>
      <c r="N941" s="30">
        <v>7152</v>
      </c>
      <c r="O941" s="24" t="str">
        <f t="shared" si="29"/>
        <v>Kingman County, Kansas</v>
      </c>
    </row>
    <row r="942" spans="1:15" x14ac:dyDescent="0.25">
      <c r="A942" s="35" t="s">
        <v>1418</v>
      </c>
      <c r="B942" s="28" t="str">
        <f t="shared" si="28"/>
        <v>Kiowa</v>
      </c>
      <c r="C942" s="30">
        <v>2553</v>
      </c>
      <c r="D942" s="30">
        <v>2553</v>
      </c>
      <c r="E942" s="30">
        <v>2569</v>
      </c>
      <c r="F942" s="30">
        <v>2558</v>
      </c>
      <c r="G942" s="30">
        <v>2513</v>
      </c>
      <c r="H942" s="30">
        <v>2534</v>
      </c>
      <c r="I942" s="30">
        <v>2532</v>
      </c>
      <c r="J942" s="30">
        <v>2570</v>
      </c>
      <c r="K942" s="30">
        <v>2507</v>
      </c>
      <c r="L942" s="30">
        <v>2486</v>
      </c>
      <c r="M942" s="30">
        <v>2489</v>
      </c>
      <c r="N942" s="30">
        <v>2475</v>
      </c>
      <c r="O942" s="24" t="str">
        <f t="shared" si="29"/>
        <v>Kiowa County, Kansas</v>
      </c>
    </row>
    <row r="943" spans="1:15" x14ac:dyDescent="0.25">
      <c r="A943" s="35" t="s">
        <v>1419</v>
      </c>
      <c r="B943" s="28" t="str">
        <f t="shared" si="28"/>
        <v>Labette</v>
      </c>
      <c r="C943" s="30">
        <v>21607</v>
      </c>
      <c r="D943" s="30">
        <v>21609</v>
      </c>
      <c r="E943" s="30">
        <v>21537</v>
      </c>
      <c r="F943" s="30">
        <v>21377</v>
      </c>
      <c r="G943" s="30">
        <v>21163</v>
      </c>
      <c r="H943" s="30">
        <v>20871</v>
      </c>
      <c r="I943" s="30">
        <v>20773</v>
      </c>
      <c r="J943" s="30">
        <v>20628</v>
      </c>
      <c r="K943" s="30">
        <v>20313</v>
      </c>
      <c r="L943" s="30">
        <v>20129</v>
      </c>
      <c r="M943" s="30">
        <v>19906</v>
      </c>
      <c r="N943" s="30">
        <v>19618</v>
      </c>
      <c r="O943" s="24" t="str">
        <f t="shared" si="29"/>
        <v>Labette County, Kansas</v>
      </c>
    </row>
    <row r="944" spans="1:15" x14ac:dyDescent="0.25">
      <c r="A944" s="35" t="s">
        <v>1420</v>
      </c>
      <c r="B944" s="28" t="str">
        <f t="shared" si="28"/>
        <v>Lane</v>
      </c>
      <c r="C944" s="30">
        <v>1750</v>
      </c>
      <c r="D944" s="30">
        <v>1749</v>
      </c>
      <c r="E944" s="30">
        <v>1736</v>
      </c>
      <c r="F944" s="30">
        <v>1743</v>
      </c>
      <c r="G944" s="30">
        <v>1684</v>
      </c>
      <c r="H944" s="30">
        <v>1698</v>
      </c>
      <c r="I944" s="30">
        <v>1666</v>
      </c>
      <c r="J944" s="30">
        <v>1630</v>
      </c>
      <c r="K944" s="30">
        <v>1593</v>
      </c>
      <c r="L944" s="30">
        <v>1548</v>
      </c>
      <c r="M944" s="30">
        <v>1546</v>
      </c>
      <c r="N944" s="30">
        <v>1535</v>
      </c>
      <c r="O944" s="24" t="str">
        <f t="shared" si="29"/>
        <v>Lane County, Kansas</v>
      </c>
    </row>
    <row r="945" spans="1:15" x14ac:dyDescent="0.25">
      <c r="A945" s="35" t="s">
        <v>1421</v>
      </c>
      <c r="B945" s="28" t="str">
        <f t="shared" si="28"/>
        <v>Leavenworth</v>
      </c>
      <c r="C945" s="30">
        <v>76227</v>
      </c>
      <c r="D945" s="30">
        <v>76220</v>
      </c>
      <c r="E945" s="30">
        <v>76520</v>
      </c>
      <c r="F945" s="30">
        <v>77075</v>
      </c>
      <c r="G945" s="30">
        <v>77644</v>
      </c>
      <c r="H945" s="30">
        <v>78082</v>
      </c>
      <c r="I945" s="30">
        <v>78554</v>
      </c>
      <c r="J945" s="30">
        <v>79119</v>
      </c>
      <c r="K945" s="30">
        <v>80244</v>
      </c>
      <c r="L945" s="30">
        <v>81109</v>
      </c>
      <c r="M945" s="30">
        <v>81497</v>
      </c>
      <c r="N945" s="30">
        <v>81758</v>
      </c>
      <c r="O945" s="24" t="str">
        <f t="shared" si="29"/>
        <v>Leavenworth County, Kansas</v>
      </c>
    </row>
    <row r="946" spans="1:15" x14ac:dyDescent="0.25">
      <c r="A946" s="35" t="s">
        <v>1422</v>
      </c>
      <c r="B946" s="28" t="str">
        <f t="shared" si="28"/>
        <v>Lincoln</v>
      </c>
      <c r="C946" s="30">
        <v>3241</v>
      </c>
      <c r="D946" s="30">
        <v>3241</v>
      </c>
      <c r="E946" s="30">
        <v>3244</v>
      </c>
      <c r="F946" s="30">
        <v>3234</v>
      </c>
      <c r="G946" s="30">
        <v>3181</v>
      </c>
      <c r="H946" s="30">
        <v>3161</v>
      </c>
      <c r="I946" s="30">
        <v>3184</v>
      </c>
      <c r="J946" s="30">
        <v>3142</v>
      </c>
      <c r="K946" s="30">
        <v>3077</v>
      </c>
      <c r="L946" s="30">
        <v>3043</v>
      </c>
      <c r="M946" s="30">
        <v>2998</v>
      </c>
      <c r="N946" s="30">
        <v>2962</v>
      </c>
      <c r="O946" s="24" t="str">
        <f t="shared" si="29"/>
        <v>Lincoln County, Kansas</v>
      </c>
    </row>
    <row r="947" spans="1:15" x14ac:dyDescent="0.25">
      <c r="A947" s="35" t="s">
        <v>1423</v>
      </c>
      <c r="B947" s="28" t="str">
        <f t="shared" si="28"/>
        <v>Linn</v>
      </c>
      <c r="C947" s="30">
        <v>9656</v>
      </c>
      <c r="D947" s="30">
        <v>9656</v>
      </c>
      <c r="E947" s="30">
        <v>9626</v>
      </c>
      <c r="F947" s="30">
        <v>9612</v>
      </c>
      <c r="G947" s="30">
        <v>9485</v>
      </c>
      <c r="H947" s="30">
        <v>9543</v>
      </c>
      <c r="I947" s="30">
        <v>9536</v>
      </c>
      <c r="J947" s="30">
        <v>9580</v>
      </c>
      <c r="K947" s="30">
        <v>9606</v>
      </c>
      <c r="L947" s="30">
        <v>9697</v>
      </c>
      <c r="M947" s="30">
        <v>9771</v>
      </c>
      <c r="N947" s="30">
        <v>9703</v>
      </c>
      <c r="O947" s="24" t="str">
        <f t="shared" si="29"/>
        <v>Linn County, Kansas</v>
      </c>
    </row>
    <row r="948" spans="1:15" x14ac:dyDescent="0.25">
      <c r="A948" s="35" t="s">
        <v>1424</v>
      </c>
      <c r="B948" s="28" t="str">
        <f t="shared" si="28"/>
        <v>Logan</v>
      </c>
      <c r="C948" s="30">
        <v>2756</v>
      </c>
      <c r="D948" s="30">
        <v>2759</v>
      </c>
      <c r="E948" s="30">
        <v>2774</v>
      </c>
      <c r="F948" s="30">
        <v>2766</v>
      </c>
      <c r="G948" s="30">
        <v>2794</v>
      </c>
      <c r="H948" s="30">
        <v>2775</v>
      </c>
      <c r="I948" s="30">
        <v>2768</v>
      </c>
      <c r="J948" s="30">
        <v>2787</v>
      </c>
      <c r="K948" s="30">
        <v>2818</v>
      </c>
      <c r="L948" s="30">
        <v>2814</v>
      </c>
      <c r="M948" s="30">
        <v>2812</v>
      </c>
      <c r="N948" s="30">
        <v>2794</v>
      </c>
      <c r="O948" s="24" t="str">
        <f t="shared" si="29"/>
        <v>Logan County, Kansas</v>
      </c>
    </row>
    <row r="949" spans="1:15" x14ac:dyDescent="0.25">
      <c r="A949" s="35" t="s">
        <v>1425</v>
      </c>
      <c r="B949" s="28" t="str">
        <f t="shared" si="28"/>
        <v>Lyon</v>
      </c>
      <c r="C949" s="30">
        <v>33690</v>
      </c>
      <c r="D949" s="30">
        <v>33692</v>
      </c>
      <c r="E949" s="30">
        <v>33648</v>
      </c>
      <c r="F949" s="30">
        <v>33652</v>
      </c>
      <c r="G949" s="30">
        <v>33550</v>
      </c>
      <c r="H949" s="30">
        <v>33479</v>
      </c>
      <c r="I949" s="30">
        <v>33143</v>
      </c>
      <c r="J949" s="30">
        <v>33133</v>
      </c>
      <c r="K949" s="30">
        <v>33369</v>
      </c>
      <c r="L949" s="30">
        <v>33257</v>
      </c>
      <c r="M949" s="30">
        <v>33300</v>
      </c>
      <c r="N949" s="30">
        <v>33195</v>
      </c>
      <c r="O949" s="24" t="str">
        <f t="shared" si="29"/>
        <v>Lyon County, Kansas</v>
      </c>
    </row>
    <row r="950" spans="1:15" x14ac:dyDescent="0.25">
      <c r="A950" s="35" t="s">
        <v>1426</v>
      </c>
      <c r="B950" s="28" t="str">
        <f t="shared" si="28"/>
        <v>McPherson</v>
      </c>
      <c r="C950" s="30">
        <v>29180</v>
      </c>
      <c r="D950" s="30">
        <v>29186</v>
      </c>
      <c r="E950" s="30">
        <v>29128</v>
      </c>
      <c r="F950" s="30">
        <v>29154</v>
      </c>
      <c r="G950" s="30">
        <v>29221</v>
      </c>
      <c r="H950" s="30">
        <v>29415</v>
      </c>
      <c r="I950" s="30">
        <v>28896</v>
      </c>
      <c r="J950" s="30">
        <v>28648</v>
      </c>
      <c r="K950" s="30">
        <v>28429</v>
      </c>
      <c r="L950" s="30">
        <v>28687</v>
      </c>
      <c r="M950" s="30">
        <v>28528</v>
      </c>
      <c r="N950" s="30">
        <v>28542</v>
      </c>
      <c r="O950" s="24" t="str">
        <f t="shared" si="29"/>
        <v>McPherson County, Kansas</v>
      </c>
    </row>
    <row r="951" spans="1:15" x14ac:dyDescent="0.25">
      <c r="A951" s="35" t="s">
        <v>1427</v>
      </c>
      <c r="B951" s="28" t="str">
        <f t="shared" si="28"/>
        <v>Marion</v>
      </c>
      <c r="C951" s="30">
        <v>12660</v>
      </c>
      <c r="D951" s="30">
        <v>12660</v>
      </c>
      <c r="E951" s="30">
        <v>12671</v>
      </c>
      <c r="F951" s="30">
        <v>12545</v>
      </c>
      <c r="G951" s="30">
        <v>12376</v>
      </c>
      <c r="H951" s="30">
        <v>12205</v>
      </c>
      <c r="I951" s="30">
        <v>12188</v>
      </c>
      <c r="J951" s="30">
        <v>12053</v>
      </c>
      <c r="K951" s="30">
        <v>12017</v>
      </c>
      <c r="L951" s="30">
        <v>11945</v>
      </c>
      <c r="M951" s="30">
        <v>11923</v>
      </c>
      <c r="N951" s="30">
        <v>11884</v>
      </c>
      <c r="O951" s="24" t="str">
        <f t="shared" si="29"/>
        <v>Marion County, Kansas</v>
      </c>
    </row>
    <row r="952" spans="1:15" x14ac:dyDescent="0.25">
      <c r="A952" s="35" t="s">
        <v>1428</v>
      </c>
      <c r="B952" s="28" t="str">
        <f t="shared" si="28"/>
        <v>Marshall</v>
      </c>
      <c r="C952" s="30">
        <v>10117</v>
      </c>
      <c r="D952" s="30">
        <v>10117</v>
      </c>
      <c r="E952" s="30">
        <v>10111</v>
      </c>
      <c r="F952" s="30">
        <v>9983</v>
      </c>
      <c r="G952" s="30">
        <v>10026</v>
      </c>
      <c r="H952" s="30">
        <v>9973</v>
      </c>
      <c r="I952" s="30">
        <v>9945</v>
      </c>
      <c r="J952" s="30">
        <v>9845</v>
      </c>
      <c r="K952" s="30">
        <v>9789</v>
      </c>
      <c r="L952" s="30">
        <v>9687</v>
      </c>
      <c r="M952" s="30">
        <v>9715</v>
      </c>
      <c r="N952" s="30">
        <v>9707</v>
      </c>
      <c r="O952" s="24" t="str">
        <f t="shared" si="29"/>
        <v>Marshall County, Kansas</v>
      </c>
    </row>
    <row r="953" spans="1:15" x14ac:dyDescent="0.25">
      <c r="A953" s="35" t="s">
        <v>1429</v>
      </c>
      <c r="B953" s="28" t="str">
        <f t="shared" si="28"/>
        <v>Meade</v>
      </c>
      <c r="C953" s="30">
        <v>4575</v>
      </c>
      <c r="D953" s="30">
        <v>4575</v>
      </c>
      <c r="E953" s="30">
        <v>4596</v>
      </c>
      <c r="F953" s="30">
        <v>4519</v>
      </c>
      <c r="G953" s="30">
        <v>4378</v>
      </c>
      <c r="H953" s="30">
        <v>4286</v>
      </c>
      <c r="I953" s="30">
        <v>4357</v>
      </c>
      <c r="J953" s="30">
        <v>4301</v>
      </c>
      <c r="K953" s="30">
        <v>4236</v>
      </c>
      <c r="L953" s="30">
        <v>4230</v>
      </c>
      <c r="M953" s="30">
        <v>4098</v>
      </c>
      <c r="N953" s="30">
        <v>4033</v>
      </c>
      <c r="O953" s="24" t="str">
        <f t="shared" si="29"/>
        <v>Meade County, Kansas</v>
      </c>
    </row>
    <row r="954" spans="1:15" x14ac:dyDescent="0.25">
      <c r="A954" s="35" t="s">
        <v>1430</v>
      </c>
      <c r="B954" s="28" t="str">
        <f t="shared" si="28"/>
        <v>Miami</v>
      </c>
      <c r="C954" s="30">
        <v>32787</v>
      </c>
      <c r="D954" s="30">
        <v>32781</v>
      </c>
      <c r="E954" s="30">
        <v>32882</v>
      </c>
      <c r="F954" s="30">
        <v>32737</v>
      </c>
      <c r="G954" s="30">
        <v>32669</v>
      </c>
      <c r="H954" s="30">
        <v>32834</v>
      </c>
      <c r="I954" s="30">
        <v>32868</v>
      </c>
      <c r="J954" s="30">
        <v>32758</v>
      </c>
      <c r="K954" s="30">
        <v>32923</v>
      </c>
      <c r="L954" s="30">
        <v>33429</v>
      </c>
      <c r="M954" s="30">
        <v>33737</v>
      </c>
      <c r="N954" s="30">
        <v>34237</v>
      </c>
      <c r="O954" s="24" t="str">
        <f t="shared" si="29"/>
        <v>Miami County, Kansas</v>
      </c>
    </row>
    <row r="955" spans="1:15" x14ac:dyDescent="0.25">
      <c r="A955" s="35" t="s">
        <v>1431</v>
      </c>
      <c r="B955" s="28" t="str">
        <f t="shared" si="28"/>
        <v>Mitchell</v>
      </c>
      <c r="C955" s="30">
        <v>6373</v>
      </c>
      <c r="D955" s="30">
        <v>6373</v>
      </c>
      <c r="E955" s="30">
        <v>6336</v>
      </c>
      <c r="F955" s="30">
        <v>6284</v>
      </c>
      <c r="G955" s="30">
        <v>6301</v>
      </c>
      <c r="H955" s="30">
        <v>6309</v>
      </c>
      <c r="I955" s="30">
        <v>6248</v>
      </c>
      <c r="J955" s="30">
        <v>6294</v>
      </c>
      <c r="K955" s="30">
        <v>6207</v>
      </c>
      <c r="L955" s="30">
        <v>6137</v>
      </c>
      <c r="M955" s="30">
        <v>6110</v>
      </c>
      <c r="N955" s="30">
        <v>5979</v>
      </c>
      <c r="O955" s="24" t="str">
        <f t="shared" si="29"/>
        <v>Mitchell County, Kansas</v>
      </c>
    </row>
    <row r="956" spans="1:15" x14ac:dyDescent="0.25">
      <c r="A956" s="35" t="s">
        <v>1432</v>
      </c>
      <c r="B956" s="28" t="str">
        <f t="shared" si="28"/>
        <v>Montgomery</v>
      </c>
      <c r="C956" s="30">
        <v>35471</v>
      </c>
      <c r="D956" s="30">
        <v>35468</v>
      </c>
      <c r="E956" s="30">
        <v>35349</v>
      </c>
      <c r="F956" s="30">
        <v>34779</v>
      </c>
      <c r="G956" s="30">
        <v>34472</v>
      </c>
      <c r="H956" s="30">
        <v>34444</v>
      </c>
      <c r="I956" s="30">
        <v>34090</v>
      </c>
      <c r="J956" s="30">
        <v>33436</v>
      </c>
      <c r="K956" s="30">
        <v>32859</v>
      </c>
      <c r="L956" s="30">
        <v>32390</v>
      </c>
      <c r="M956" s="30">
        <v>32091</v>
      </c>
      <c r="N956" s="30">
        <v>31829</v>
      </c>
      <c r="O956" s="24" t="str">
        <f t="shared" si="29"/>
        <v>Montgomery County, Kansas</v>
      </c>
    </row>
    <row r="957" spans="1:15" x14ac:dyDescent="0.25">
      <c r="A957" s="35" t="s">
        <v>1433</v>
      </c>
      <c r="B957" s="28" t="str">
        <f t="shared" si="28"/>
        <v>Morris</v>
      </c>
      <c r="C957" s="30">
        <v>5923</v>
      </c>
      <c r="D957" s="30">
        <v>5923</v>
      </c>
      <c r="E957" s="30">
        <v>5918</v>
      </c>
      <c r="F957" s="30">
        <v>5864</v>
      </c>
      <c r="G957" s="30">
        <v>5849</v>
      </c>
      <c r="H957" s="30">
        <v>5719</v>
      </c>
      <c r="I957" s="30">
        <v>5664</v>
      </c>
      <c r="J957" s="30">
        <v>5628</v>
      </c>
      <c r="K957" s="30">
        <v>5558</v>
      </c>
      <c r="L957" s="30">
        <v>5467</v>
      </c>
      <c r="M957" s="30">
        <v>5557</v>
      </c>
      <c r="N957" s="30">
        <v>5620</v>
      </c>
      <c r="O957" s="24" t="str">
        <f t="shared" si="29"/>
        <v>Morris County, Kansas</v>
      </c>
    </row>
    <row r="958" spans="1:15" x14ac:dyDescent="0.25">
      <c r="A958" s="35" t="s">
        <v>1434</v>
      </c>
      <c r="B958" s="28" t="str">
        <f t="shared" si="28"/>
        <v>Morton</v>
      </c>
      <c r="C958" s="30">
        <v>3233</v>
      </c>
      <c r="D958" s="30">
        <v>3233</v>
      </c>
      <c r="E958" s="30">
        <v>3240</v>
      </c>
      <c r="F958" s="30">
        <v>3176</v>
      </c>
      <c r="G958" s="30">
        <v>3127</v>
      </c>
      <c r="H958" s="30">
        <v>3116</v>
      </c>
      <c r="I958" s="30">
        <v>3041</v>
      </c>
      <c r="J958" s="30">
        <v>2953</v>
      </c>
      <c r="K958" s="30">
        <v>2790</v>
      </c>
      <c r="L958" s="30">
        <v>2747</v>
      </c>
      <c r="M958" s="30">
        <v>2693</v>
      </c>
      <c r="N958" s="30">
        <v>2587</v>
      </c>
      <c r="O958" s="24" t="str">
        <f t="shared" si="29"/>
        <v>Morton County, Kansas</v>
      </c>
    </row>
    <row r="959" spans="1:15" x14ac:dyDescent="0.25">
      <c r="A959" s="35" t="s">
        <v>1435</v>
      </c>
      <c r="B959" s="28" t="str">
        <f t="shared" si="28"/>
        <v>Nemaha</v>
      </c>
      <c r="C959" s="30">
        <v>10178</v>
      </c>
      <c r="D959" s="30">
        <v>10178</v>
      </c>
      <c r="E959" s="30">
        <v>10159</v>
      </c>
      <c r="F959" s="30">
        <v>10088</v>
      </c>
      <c r="G959" s="30">
        <v>10067</v>
      </c>
      <c r="H959" s="30">
        <v>10092</v>
      </c>
      <c r="I959" s="30">
        <v>10087</v>
      </c>
      <c r="J959" s="30">
        <v>10094</v>
      </c>
      <c r="K959" s="30">
        <v>10089</v>
      </c>
      <c r="L959" s="30">
        <v>10060</v>
      </c>
      <c r="M959" s="30">
        <v>10125</v>
      </c>
      <c r="N959" s="30">
        <v>10231</v>
      </c>
      <c r="O959" s="24" t="str">
        <f t="shared" si="29"/>
        <v>Nemaha County, Kansas</v>
      </c>
    </row>
    <row r="960" spans="1:15" x14ac:dyDescent="0.25">
      <c r="A960" s="35" t="s">
        <v>1436</v>
      </c>
      <c r="B960" s="28" t="str">
        <f t="shared" si="28"/>
        <v>Neosho</v>
      </c>
      <c r="C960" s="30">
        <v>16512</v>
      </c>
      <c r="D960" s="30">
        <v>16511</v>
      </c>
      <c r="E960" s="30">
        <v>16475</v>
      </c>
      <c r="F960" s="30">
        <v>16447</v>
      </c>
      <c r="G960" s="30">
        <v>16420</v>
      </c>
      <c r="H960" s="30">
        <v>16383</v>
      </c>
      <c r="I960" s="30">
        <v>16325</v>
      </c>
      <c r="J960" s="30">
        <v>16287</v>
      </c>
      <c r="K960" s="30">
        <v>16127</v>
      </c>
      <c r="L960" s="30">
        <v>16094</v>
      </c>
      <c r="M960" s="30">
        <v>16025</v>
      </c>
      <c r="N960" s="30">
        <v>16007</v>
      </c>
      <c r="O960" s="24" t="str">
        <f t="shared" si="29"/>
        <v>Neosho County, Kansas</v>
      </c>
    </row>
    <row r="961" spans="1:15" x14ac:dyDescent="0.25">
      <c r="A961" s="35" t="s">
        <v>1437</v>
      </c>
      <c r="B961" s="28" t="str">
        <f t="shared" si="28"/>
        <v>Ness</v>
      </c>
      <c r="C961" s="30">
        <v>3107</v>
      </c>
      <c r="D961" s="30">
        <v>3107</v>
      </c>
      <c r="E961" s="30">
        <v>3104</v>
      </c>
      <c r="F961" s="30">
        <v>3118</v>
      </c>
      <c r="G961" s="30">
        <v>3077</v>
      </c>
      <c r="H961" s="30">
        <v>3087</v>
      </c>
      <c r="I961" s="30">
        <v>3089</v>
      </c>
      <c r="J961" s="30">
        <v>3020</v>
      </c>
      <c r="K961" s="30">
        <v>2957</v>
      </c>
      <c r="L961" s="30">
        <v>2856</v>
      </c>
      <c r="M961" s="30">
        <v>2796</v>
      </c>
      <c r="N961" s="30">
        <v>2750</v>
      </c>
      <c r="O961" s="24" t="str">
        <f t="shared" si="29"/>
        <v>Ness County, Kansas</v>
      </c>
    </row>
    <row r="962" spans="1:15" x14ac:dyDescent="0.25">
      <c r="A962" s="35" t="s">
        <v>1438</v>
      </c>
      <c r="B962" s="28" t="str">
        <f t="shared" si="28"/>
        <v>Norton</v>
      </c>
      <c r="C962" s="30">
        <v>5671</v>
      </c>
      <c r="D962" s="30">
        <v>5669</v>
      </c>
      <c r="E962" s="30">
        <v>5664</v>
      </c>
      <c r="F962" s="30">
        <v>5656</v>
      </c>
      <c r="G962" s="30">
        <v>5586</v>
      </c>
      <c r="H962" s="30">
        <v>5614</v>
      </c>
      <c r="I962" s="30">
        <v>5534</v>
      </c>
      <c r="J962" s="30">
        <v>5536</v>
      </c>
      <c r="K962" s="30">
        <v>5491</v>
      </c>
      <c r="L962" s="30">
        <v>5421</v>
      </c>
      <c r="M962" s="30">
        <v>5419</v>
      </c>
      <c r="N962" s="30">
        <v>5361</v>
      </c>
      <c r="O962" s="24" t="str">
        <f t="shared" si="29"/>
        <v>Norton County, Kansas</v>
      </c>
    </row>
    <row r="963" spans="1:15" x14ac:dyDescent="0.25">
      <c r="A963" s="35" t="s">
        <v>1439</v>
      </c>
      <c r="B963" s="28" t="str">
        <f t="shared" si="28"/>
        <v>Osage</v>
      </c>
      <c r="C963" s="30">
        <v>16295</v>
      </c>
      <c r="D963" s="30">
        <v>16294</v>
      </c>
      <c r="E963" s="30">
        <v>16274</v>
      </c>
      <c r="F963" s="30">
        <v>16341</v>
      </c>
      <c r="G963" s="30">
        <v>16176</v>
      </c>
      <c r="H963" s="30">
        <v>16080</v>
      </c>
      <c r="I963" s="30">
        <v>15970</v>
      </c>
      <c r="J963" s="30">
        <v>15865</v>
      </c>
      <c r="K963" s="30">
        <v>15811</v>
      </c>
      <c r="L963" s="30">
        <v>15842</v>
      </c>
      <c r="M963" s="30">
        <v>15938</v>
      </c>
      <c r="N963" s="30">
        <v>15949</v>
      </c>
      <c r="O963" s="24" t="str">
        <f t="shared" si="29"/>
        <v>Osage County, Kansas</v>
      </c>
    </row>
    <row r="964" spans="1:15" x14ac:dyDescent="0.25">
      <c r="A964" s="35" t="s">
        <v>1440</v>
      </c>
      <c r="B964" s="28" t="str">
        <f t="shared" si="28"/>
        <v>Osborne</v>
      </c>
      <c r="C964" s="30">
        <v>3858</v>
      </c>
      <c r="D964" s="30">
        <v>3861</v>
      </c>
      <c r="E964" s="30">
        <v>3850</v>
      </c>
      <c r="F964" s="30">
        <v>3833</v>
      </c>
      <c r="G964" s="30">
        <v>3809</v>
      </c>
      <c r="H964" s="30">
        <v>3800</v>
      </c>
      <c r="I964" s="30">
        <v>3752</v>
      </c>
      <c r="J964" s="30">
        <v>3641</v>
      </c>
      <c r="K964" s="30">
        <v>3588</v>
      </c>
      <c r="L964" s="30">
        <v>3539</v>
      </c>
      <c r="M964" s="30">
        <v>3459</v>
      </c>
      <c r="N964" s="30">
        <v>3421</v>
      </c>
      <c r="O964" s="24" t="str">
        <f t="shared" si="29"/>
        <v>Osborne County, Kansas</v>
      </c>
    </row>
    <row r="965" spans="1:15" x14ac:dyDescent="0.25">
      <c r="A965" s="35" t="s">
        <v>1441</v>
      </c>
      <c r="B965" s="28" t="str">
        <f t="shared" si="28"/>
        <v>Ottawa</v>
      </c>
      <c r="C965" s="30">
        <v>6091</v>
      </c>
      <c r="D965" s="30">
        <v>6091</v>
      </c>
      <c r="E965" s="30">
        <v>6096</v>
      </c>
      <c r="F965" s="30">
        <v>6064</v>
      </c>
      <c r="G965" s="30">
        <v>6029</v>
      </c>
      <c r="H965" s="30">
        <v>6044</v>
      </c>
      <c r="I965" s="30">
        <v>6030</v>
      </c>
      <c r="J965" s="30">
        <v>5934</v>
      </c>
      <c r="K965" s="30">
        <v>5905</v>
      </c>
      <c r="L965" s="30">
        <v>5817</v>
      </c>
      <c r="M965" s="30">
        <v>5752</v>
      </c>
      <c r="N965" s="30">
        <v>5704</v>
      </c>
      <c r="O965" s="24" t="str">
        <f t="shared" si="29"/>
        <v>Ottawa County, Kansas</v>
      </c>
    </row>
    <row r="966" spans="1:15" x14ac:dyDescent="0.25">
      <c r="A966" s="35" t="s">
        <v>1442</v>
      </c>
      <c r="B966" s="28" t="str">
        <f t="shared" si="28"/>
        <v>Pawnee</v>
      </c>
      <c r="C966" s="30">
        <v>6973</v>
      </c>
      <c r="D966" s="30">
        <v>6971</v>
      </c>
      <c r="E966" s="30">
        <v>6980</v>
      </c>
      <c r="F966" s="30">
        <v>6978</v>
      </c>
      <c r="G966" s="30">
        <v>6863</v>
      </c>
      <c r="H966" s="30">
        <v>6863</v>
      </c>
      <c r="I966" s="30">
        <v>6822</v>
      </c>
      <c r="J966" s="30">
        <v>6769</v>
      </c>
      <c r="K966" s="30">
        <v>6719</v>
      </c>
      <c r="L966" s="30">
        <v>6665</v>
      </c>
      <c r="M966" s="30">
        <v>6573</v>
      </c>
      <c r="N966" s="30">
        <v>6414</v>
      </c>
      <c r="O966" s="24" t="str">
        <f t="shared" si="29"/>
        <v>Pawnee County, Kansas</v>
      </c>
    </row>
    <row r="967" spans="1:15" x14ac:dyDescent="0.25">
      <c r="A967" s="35" t="s">
        <v>1443</v>
      </c>
      <c r="B967" s="28" t="str">
        <f t="shared" ref="B967:B1030" si="30">LEFT(A967,FIND("County",A967,1)-2)</f>
        <v>Phillips</v>
      </c>
      <c r="C967" s="30">
        <v>5642</v>
      </c>
      <c r="D967" s="30">
        <v>5640</v>
      </c>
      <c r="E967" s="30">
        <v>5632</v>
      </c>
      <c r="F967" s="30">
        <v>5541</v>
      </c>
      <c r="G967" s="30">
        <v>5521</v>
      </c>
      <c r="H967" s="30">
        <v>5560</v>
      </c>
      <c r="I967" s="30">
        <v>5494</v>
      </c>
      <c r="J967" s="30">
        <v>5420</v>
      </c>
      <c r="K967" s="30">
        <v>5402</v>
      </c>
      <c r="L967" s="30">
        <v>5370</v>
      </c>
      <c r="M967" s="30">
        <v>5276</v>
      </c>
      <c r="N967" s="30">
        <v>5234</v>
      </c>
      <c r="O967" s="24" t="str">
        <f t="shared" ref="O967:O1030" si="31">A967</f>
        <v>Phillips County, Kansas</v>
      </c>
    </row>
    <row r="968" spans="1:15" x14ac:dyDescent="0.25">
      <c r="A968" s="35" t="s">
        <v>1444</v>
      </c>
      <c r="B968" s="28" t="str">
        <f t="shared" si="30"/>
        <v>Pottawatomie</v>
      </c>
      <c r="C968" s="30">
        <v>21604</v>
      </c>
      <c r="D968" s="30">
        <v>21608</v>
      </c>
      <c r="E968" s="30">
        <v>21727</v>
      </c>
      <c r="F968" s="30">
        <v>22028</v>
      </c>
      <c r="G968" s="30">
        <v>22331</v>
      </c>
      <c r="H968" s="30">
        <v>22574</v>
      </c>
      <c r="I968" s="30">
        <v>22740</v>
      </c>
      <c r="J968" s="30">
        <v>23123</v>
      </c>
      <c r="K968" s="30">
        <v>23605</v>
      </c>
      <c r="L968" s="30">
        <v>23916</v>
      </c>
      <c r="M968" s="30">
        <v>24209</v>
      </c>
      <c r="N968" s="30">
        <v>24383</v>
      </c>
      <c r="O968" s="24" t="str">
        <f t="shared" si="31"/>
        <v>Pottawatomie County, Kansas</v>
      </c>
    </row>
    <row r="969" spans="1:15" x14ac:dyDescent="0.25">
      <c r="A969" s="35" t="s">
        <v>1445</v>
      </c>
      <c r="B969" s="28" t="str">
        <f t="shared" si="30"/>
        <v>Pratt</v>
      </c>
      <c r="C969" s="30">
        <v>9656</v>
      </c>
      <c r="D969" s="30">
        <v>9653</v>
      </c>
      <c r="E969" s="30">
        <v>9641</v>
      </c>
      <c r="F969" s="30">
        <v>9644</v>
      </c>
      <c r="G969" s="30">
        <v>9758</v>
      </c>
      <c r="H969" s="30">
        <v>9778</v>
      </c>
      <c r="I969" s="30">
        <v>9768</v>
      </c>
      <c r="J969" s="30">
        <v>9697</v>
      </c>
      <c r="K969" s="30">
        <v>9557</v>
      </c>
      <c r="L969" s="30">
        <v>9500</v>
      </c>
      <c r="M969" s="30">
        <v>9340</v>
      </c>
      <c r="N969" s="30">
        <v>9164</v>
      </c>
      <c r="O969" s="24" t="str">
        <f t="shared" si="31"/>
        <v>Pratt County, Kansas</v>
      </c>
    </row>
    <row r="970" spans="1:15" x14ac:dyDescent="0.25">
      <c r="A970" s="35" t="s">
        <v>1446</v>
      </c>
      <c r="B970" s="28" t="str">
        <f t="shared" si="30"/>
        <v>Rawlins</v>
      </c>
      <c r="C970" s="30">
        <v>2519</v>
      </c>
      <c r="D970" s="30">
        <v>2519</v>
      </c>
      <c r="E970" s="30">
        <v>2496</v>
      </c>
      <c r="F970" s="30">
        <v>2508</v>
      </c>
      <c r="G970" s="30">
        <v>2509</v>
      </c>
      <c r="H970" s="30">
        <v>2563</v>
      </c>
      <c r="I970" s="30">
        <v>2543</v>
      </c>
      <c r="J970" s="30">
        <v>2506</v>
      </c>
      <c r="K970" s="30">
        <v>2500</v>
      </c>
      <c r="L970" s="30">
        <v>2473</v>
      </c>
      <c r="M970" s="30">
        <v>2502</v>
      </c>
      <c r="N970" s="30">
        <v>2530</v>
      </c>
      <c r="O970" s="24" t="str">
        <f t="shared" si="31"/>
        <v>Rawlins County, Kansas</v>
      </c>
    </row>
    <row r="971" spans="1:15" x14ac:dyDescent="0.25">
      <c r="A971" s="35" t="s">
        <v>1447</v>
      </c>
      <c r="B971" s="28" t="str">
        <f t="shared" si="30"/>
        <v>Reno</v>
      </c>
      <c r="C971" s="30">
        <v>64511</v>
      </c>
      <c r="D971" s="30">
        <v>64511</v>
      </c>
      <c r="E971" s="30">
        <v>64552</v>
      </c>
      <c r="F971" s="30">
        <v>64429</v>
      </c>
      <c r="G971" s="30">
        <v>64205</v>
      </c>
      <c r="H971" s="30">
        <v>64079</v>
      </c>
      <c r="I971" s="30">
        <v>63701</v>
      </c>
      <c r="J971" s="30">
        <v>63596</v>
      </c>
      <c r="K971" s="30">
        <v>63184</v>
      </c>
      <c r="L971" s="30">
        <v>62714</v>
      </c>
      <c r="M971" s="30">
        <v>62331</v>
      </c>
      <c r="N971" s="30">
        <v>61998</v>
      </c>
      <c r="O971" s="24" t="str">
        <f t="shared" si="31"/>
        <v>Reno County, Kansas</v>
      </c>
    </row>
    <row r="972" spans="1:15" x14ac:dyDescent="0.25">
      <c r="A972" s="35" t="s">
        <v>1448</v>
      </c>
      <c r="B972" s="28" t="str">
        <f t="shared" si="30"/>
        <v>Republic</v>
      </c>
      <c r="C972" s="30">
        <v>4980</v>
      </c>
      <c r="D972" s="30">
        <v>4980</v>
      </c>
      <c r="E972" s="30">
        <v>4938</v>
      </c>
      <c r="F972" s="30">
        <v>4892</v>
      </c>
      <c r="G972" s="30">
        <v>4826</v>
      </c>
      <c r="H972" s="30">
        <v>4767</v>
      </c>
      <c r="I972" s="30">
        <v>4741</v>
      </c>
      <c r="J972" s="30">
        <v>4688</v>
      </c>
      <c r="K972" s="30">
        <v>4659</v>
      </c>
      <c r="L972" s="30">
        <v>4654</v>
      </c>
      <c r="M972" s="30">
        <v>4652</v>
      </c>
      <c r="N972" s="30">
        <v>4636</v>
      </c>
      <c r="O972" s="24" t="str">
        <f t="shared" si="31"/>
        <v>Republic County, Kansas</v>
      </c>
    </row>
    <row r="973" spans="1:15" x14ac:dyDescent="0.25">
      <c r="A973" s="35" t="s">
        <v>1449</v>
      </c>
      <c r="B973" s="28" t="str">
        <f t="shared" si="30"/>
        <v>Rice</v>
      </c>
      <c r="C973" s="30">
        <v>10083</v>
      </c>
      <c r="D973" s="30">
        <v>10082</v>
      </c>
      <c r="E973" s="30">
        <v>10115</v>
      </c>
      <c r="F973" s="30">
        <v>10097</v>
      </c>
      <c r="G973" s="30">
        <v>9990</v>
      </c>
      <c r="H973" s="30">
        <v>9978</v>
      </c>
      <c r="I973" s="30">
        <v>9971</v>
      </c>
      <c r="J973" s="30">
        <v>9925</v>
      </c>
      <c r="K973" s="30">
        <v>9782</v>
      </c>
      <c r="L973" s="30">
        <v>9563</v>
      </c>
      <c r="M973" s="30">
        <v>9483</v>
      </c>
      <c r="N973" s="30">
        <v>9537</v>
      </c>
      <c r="O973" s="24" t="str">
        <f t="shared" si="31"/>
        <v>Rice County, Kansas</v>
      </c>
    </row>
    <row r="974" spans="1:15" x14ac:dyDescent="0.25">
      <c r="A974" s="35" t="s">
        <v>1450</v>
      </c>
      <c r="B974" s="28" t="str">
        <f t="shared" si="30"/>
        <v>Riley</v>
      </c>
      <c r="C974" s="30">
        <v>71115</v>
      </c>
      <c r="D974" s="30">
        <v>71130</v>
      </c>
      <c r="E974" s="30">
        <v>71551</v>
      </c>
      <c r="F974" s="30">
        <v>73424</v>
      </c>
      <c r="G974" s="30">
        <v>77497</v>
      </c>
      <c r="H974" s="30">
        <v>76923</v>
      </c>
      <c r="I974" s="30">
        <v>76479</v>
      </c>
      <c r="J974" s="30">
        <v>77185</v>
      </c>
      <c r="K974" s="30">
        <v>75172</v>
      </c>
      <c r="L974" s="30">
        <v>73977</v>
      </c>
      <c r="M974" s="30">
        <v>74712</v>
      </c>
      <c r="N974" s="30">
        <v>74232</v>
      </c>
      <c r="O974" s="24" t="str">
        <f t="shared" si="31"/>
        <v>Riley County, Kansas</v>
      </c>
    </row>
    <row r="975" spans="1:15" x14ac:dyDescent="0.25">
      <c r="A975" s="35" t="s">
        <v>1451</v>
      </c>
      <c r="B975" s="28" t="str">
        <f t="shared" si="30"/>
        <v>Rooks</v>
      </c>
      <c r="C975" s="30">
        <v>5181</v>
      </c>
      <c r="D975" s="30">
        <v>5181</v>
      </c>
      <c r="E975" s="30">
        <v>5195</v>
      </c>
      <c r="F975" s="30">
        <v>5200</v>
      </c>
      <c r="G975" s="30">
        <v>5221</v>
      </c>
      <c r="H975" s="30">
        <v>5195</v>
      </c>
      <c r="I975" s="30">
        <v>5204</v>
      </c>
      <c r="J975" s="30">
        <v>5179</v>
      </c>
      <c r="K975" s="30">
        <v>5118</v>
      </c>
      <c r="L975" s="30">
        <v>5055</v>
      </c>
      <c r="M975" s="30">
        <v>4995</v>
      </c>
      <c r="N975" s="30">
        <v>4920</v>
      </c>
      <c r="O975" s="24" t="str">
        <f t="shared" si="31"/>
        <v>Rooks County, Kansas</v>
      </c>
    </row>
    <row r="976" spans="1:15" x14ac:dyDescent="0.25">
      <c r="A976" s="35" t="s">
        <v>1452</v>
      </c>
      <c r="B976" s="28" t="str">
        <f t="shared" si="30"/>
        <v>Rush</v>
      </c>
      <c r="C976" s="30">
        <v>3307</v>
      </c>
      <c r="D976" s="30">
        <v>3307</v>
      </c>
      <c r="E976" s="30">
        <v>3314</v>
      </c>
      <c r="F976" s="30">
        <v>3211</v>
      </c>
      <c r="G976" s="30">
        <v>3208</v>
      </c>
      <c r="H976" s="30">
        <v>3176</v>
      </c>
      <c r="I976" s="30">
        <v>3161</v>
      </c>
      <c r="J976" s="30">
        <v>3098</v>
      </c>
      <c r="K976" s="30">
        <v>3054</v>
      </c>
      <c r="L976" s="30">
        <v>3048</v>
      </c>
      <c r="M976" s="30">
        <v>3056</v>
      </c>
      <c r="N976" s="30">
        <v>3036</v>
      </c>
      <c r="O976" s="24" t="str">
        <f t="shared" si="31"/>
        <v>Rush County, Kansas</v>
      </c>
    </row>
    <row r="977" spans="1:15" x14ac:dyDescent="0.25">
      <c r="A977" s="35" t="s">
        <v>1453</v>
      </c>
      <c r="B977" s="28" t="str">
        <f t="shared" si="30"/>
        <v>Russell</v>
      </c>
      <c r="C977" s="30">
        <v>6970</v>
      </c>
      <c r="D977" s="30">
        <v>6967</v>
      </c>
      <c r="E977" s="30">
        <v>7001</v>
      </c>
      <c r="F977" s="30">
        <v>6987</v>
      </c>
      <c r="G977" s="30">
        <v>6990</v>
      </c>
      <c r="H977" s="30">
        <v>6977</v>
      </c>
      <c r="I977" s="30">
        <v>7007</v>
      </c>
      <c r="J977" s="30">
        <v>7044</v>
      </c>
      <c r="K977" s="30">
        <v>7007</v>
      </c>
      <c r="L977" s="30">
        <v>6930</v>
      </c>
      <c r="M977" s="30">
        <v>6902</v>
      </c>
      <c r="N977" s="30">
        <v>6856</v>
      </c>
      <c r="O977" s="24" t="str">
        <f t="shared" si="31"/>
        <v>Russell County, Kansas</v>
      </c>
    </row>
    <row r="978" spans="1:15" x14ac:dyDescent="0.25">
      <c r="A978" s="35" t="s">
        <v>1454</v>
      </c>
      <c r="B978" s="28" t="str">
        <f t="shared" si="30"/>
        <v>Saline</v>
      </c>
      <c r="C978" s="30">
        <v>55606</v>
      </c>
      <c r="D978" s="30">
        <v>55604</v>
      </c>
      <c r="E978" s="30">
        <v>55780</v>
      </c>
      <c r="F978" s="30">
        <v>55778</v>
      </c>
      <c r="G978" s="30">
        <v>55829</v>
      </c>
      <c r="H978" s="30">
        <v>55750</v>
      </c>
      <c r="I978" s="30">
        <v>55511</v>
      </c>
      <c r="J978" s="30">
        <v>55429</v>
      </c>
      <c r="K978" s="30">
        <v>54955</v>
      </c>
      <c r="L978" s="30">
        <v>54508</v>
      </c>
      <c r="M978" s="30">
        <v>54387</v>
      </c>
      <c r="N978" s="30">
        <v>54224</v>
      </c>
      <c r="O978" s="24" t="str">
        <f t="shared" si="31"/>
        <v>Saline County, Kansas</v>
      </c>
    </row>
    <row r="979" spans="1:15" x14ac:dyDescent="0.25">
      <c r="A979" s="35" t="s">
        <v>1455</v>
      </c>
      <c r="B979" s="28" t="str">
        <f t="shared" si="30"/>
        <v>Scott</v>
      </c>
      <c r="C979" s="30">
        <v>4936</v>
      </c>
      <c r="D979" s="30">
        <v>4936</v>
      </c>
      <c r="E979" s="30">
        <v>4959</v>
      </c>
      <c r="F979" s="30">
        <v>4889</v>
      </c>
      <c r="G979" s="30">
        <v>4853</v>
      </c>
      <c r="H979" s="30">
        <v>4906</v>
      </c>
      <c r="I979" s="30">
        <v>4966</v>
      </c>
      <c r="J979" s="30">
        <v>4948</v>
      </c>
      <c r="K979" s="30">
        <v>4979</v>
      </c>
      <c r="L979" s="30">
        <v>4928</v>
      </c>
      <c r="M979" s="30">
        <v>4909</v>
      </c>
      <c r="N979" s="30">
        <v>4823</v>
      </c>
      <c r="O979" s="24" t="str">
        <f t="shared" si="31"/>
        <v>Scott County, Kansas</v>
      </c>
    </row>
    <row r="980" spans="1:15" x14ac:dyDescent="0.25">
      <c r="A980" s="35" t="s">
        <v>1456</v>
      </c>
      <c r="B980" s="28" t="str">
        <f t="shared" si="30"/>
        <v>Sedgwick</v>
      </c>
      <c r="C980" s="30">
        <v>498365</v>
      </c>
      <c r="D980" s="30">
        <v>498356</v>
      </c>
      <c r="E980" s="30">
        <v>499128</v>
      </c>
      <c r="F980" s="30">
        <v>501011</v>
      </c>
      <c r="G980" s="30">
        <v>504101</v>
      </c>
      <c r="H980" s="30">
        <v>506442</v>
      </c>
      <c r="I980" s="30">
        <v>508968</v>
      </c>
      <c r="J980" s="30">
        <v>511083</v>
      </c>
      <c r="K980" s="30">
        <v>513092</v>
      </c>
      <c r="L980" s="30">
        <v>513176</v>
      </c>
      <c r="M980" s="30">
        <v>513484</v>
      </c>
      <c r="N980" s="30">
        <v>516042</v>
      </c>
      <c r="O980" s="24" t="str">
        <f t="shared" si="31"/>
        <v>Sedgwick County, Kansas</v>
      </c>
    </row>
    <row r="981" spans="1:15" x14ac:dyDescent="0.25">
      <c r="A981" s="35" t="s">
        <v>1457</v>
      </c>
      <c r="B981" s="28" t="str">
        <f t="shared" si="30"/>
        <v>Seward</v>
      </c>
      <c r="C981" s="30">
        <v>22952</v>
      </c>
      <c r="D981" s="30">
        <v>22950</v>
      </c>
      <c r="E981" s="30">
        <v>22970</v>
      </c>
      <c r="F981" s="30">
        <v>23128</v>
      </c>
      <c r="G981" s="30">
        <v>23353</v>
      </c>
      <c r="H981" s="30">
        <v>23311</v>
      </c>
      <c r="I981" s="30">
        <v>23303</v>
      </c>
      <c r="J981" s="30">
        <v>23273</v>
      </c>
      <c r="K981" s="30">
        <v>22897</v>
      </c>
      <c r="L981" s="30">
        <v>22245</v>
      </c>
      <c r="M981" s="30">
        <v>21902</v>
      </c>
      <c r="N981" s="30">
        <v>21428</v>
      </c>
      <c r="O981" s="24" t="str">
        <f t="shared" si="31"/>
        <v>Seward County, Kansas</v>
      </c>
    </row>
    <row r="982" spans="1:15" x14ac:dyDescent="0.25">
      <c r="A982" s="35" t="s">
        <v>1458</v>
      </c>
      <c r="B982" s="28" t="str">
        <f t="shared" si="30"/>
        <v>Shawnee</v>
      </c>
      <c r="C982" s="30">
        <v>177934</v>
      </c>
      <c r="D982" s="30">
        <v>177943</v>
      </c>
      <c r="E982" s="30">
        <v>178360</v>
      </c>
      <c r="F982" s="30">
        <v>178948</v>
      </c>
      <c r="G982" s="30">
        <v>178975</v>
      </c>
      <c r="H982" s="30">
        <v>178650</v>
      </c>
      <c r="I982" s="30">
        <v>178567</v>
      </c>
      <c r="J982" s="30">
        <v>178689</v>
      </c>
      <c r="K982" s="30">
        <v>178350</v>
      </c>
      <c r="L982" s="30">
        <v>178056</v>
      </c>
      <c r="M982" s="30">
        <v>177290</v>
      </c>
      <c r="N982" s="30">
        <v>176875</v>
      </c>
      <c r="O982" s="24" t="str">
        <f t="shared" si="31"/>
        <v>Shawnee County, Kansas</v>
      </c>
    </row>
    <row r="983" spans="1:15" x14ac:dyDescent="0.25">
      <c r="A983" s="35" t="s">
        <v>1459</v>
      </c>
      <c r="B983" s="28" t="str">
        <f t="shared" si="30"/>
        <v>Sheridan</v>
      </c>
      <c r="C983" s="30">
        <v>2556</v>
      </c>
      <c r="D983" s="30">
        <v>2544</v>
      </c>
      <c r="E983" s="30">
        <v>2530</v>
      </c>
      <c r="F983" s="30">
        <v>2502</v>
      </c>
      <c r="G983" s="30">
        <v>2491</v>
      </c>
      <c r="H983" s="30">
        <v>2500</v>
      </c>
      <c r="I983" s="30">
        <v>2502</v>
      </c>
      <c r="J983" s="30">
        <v>2475</v>
      </c>
      <c r="K983" s="30">
        <v>2485</v>
      </c>
      <c r="L983" s="30">
        <v>2526</v>
      </c>
      <c r="M983" s="30">
        <v>2522</v>
      </c>
      <c r="N983" s="30">
        <v>2521</v>
      </c>
      <c r="O983" s="24" t="str">
        <f t="shared" si="31"/>
        <v>Sheridan County, Kansas</v>
      </c>
    </row>
    <row r="984" spans="1:15" x14ac:dyDescent="0.25">
      <c r="A984" s="35" t="s">
        <v>1460</v>
      </c>
      <c r="B984" s="28" t="str">
        <f t="shared" si="30"/>
        <v>Sherman</v>
      </c>
      <c r="C984" s="30">
        <v>6010</v>
      </c>
      <c r="D984" s="30">
        <v>6010</v>
      </c>
      <c r="E984" s="30">
        <v>6018</v>
      </c>
      <c r="F984" s="30">
        <v>6053</v>
      </c>
      <c r="G984" s="30">
        <v>6120</v>
      </c>
      <c r="H984" s="30">
        <v>6090</v>
      </c>
      <c r="I984" s="30">
        <v>6067</v>
      </c>
      <c r="J984" s="30">
        <v>5964</v>
      </c>
      <c r="K984" s="30">
        <v>5955</v>
      </c>
      <c r="L984" s="30">
        <v>5936</v>
      </c>
      <c r="M984" s="30">
        <v>5917</v>
      </c>
      <c r="N984" s="30">
        <v>5917</v>
      </c>
      <c r="O984" s="24" t="str">
        <f t="shared" si="31"/>
        <v>Sherman County, Kansas</v>
      </c>
    </row>
    <row r="985" spans="1:15" x14ac:dyDescent="0.25">
      <c r="A985" s="35" t="s">
        <v>1461</v>
      </c>
      <c r="B985" s="28" t="str">
        <f t="shared" si="30"/>
        <v>Smith</v>
      </c>
      <c r="C985" s="30">
        <v>3853</v>
      </c>
      <c r="D985" s="30">
        <v>3853</v>
      </c>
      <c r="E985" s="30">
        <v>3860</v>
      </c>
      <c r="F985" s="30">
        <v>3791</v>
      </c>
      <c r="G985" s="30">
        <v>3753</v>
      </c>
      <c r="H985" s="30">
        <v>3699</v>
      </c>
      <c r="I985" s="30">
        <v>3729</v>
      </c>
      <c r="J985" s="30">
        <v>3689</v>
      </c>
      <c r="K985" s="30">
        <v>3656</v>
      </c>
      <c r="L985" s="30">
        <v>3615</v>
      </c>
      <c r="M985" s="30">
        <v>3590</v>
      </c>
      <c r="N985" s="30">
        <v>3583</v>
      </c>
      <c r="O985" s="24" t="str">
        <f t="shared" si="31"/>
        <v>Smith County, Kansas</v>
      </c>
    </row>
    <row r="986" spans="1:15" x14ac:dyDescent="0.25">
      <c r="A986" s="35" t="s">
        <v>1462</v>
      </c>
      <c r="B986" s="28" t="str">
        <f t="shared" si="30"/>
        <v>Stafford</v>
      </c>
      <c r="C986" s="30">
        <v>4437</v>
      </c>
      <c r="D986" s="30">
        <v>4439</v>
      </c>
      <c r="E986" s="30">
        <v>4429</v>
      </c>
      <c r="F986" s="30">
        <v>4380</v>
      </c>
      <c r="G986" s="30">
        <v>4350</v>
      </c>
      <c r="H986" s="30">
        <v>4339</v>
      </c>
      <c r="I986" s="30">
        <v>4281</v>
      </c>
      <c r="J986" s="30">
        <v>4215</v>
      </c>
      <c r="K986" s="30">
        <v>4186</v>
      </c>
      <c r="L986" s="30">
        <v>4186</v>
      </c>
      <c r="M986" s="30">
        <v>4162</v>
      </c>
      <c r="N986" s="30">
        <v>4156</v>
      </c>
      <c r="O986" s="24" t="str">
        <f t="shared" si="31"/>
        <v>Stafford County, Kansas</v>
      </c>
    </row>
    <row r="987" spans="1:15" x14ac:dyDescent="0.25">
      <c r="A987" s="35" t="s">
        <v>1463</v>
      </c>
      <c r="B987" s="28" t="str">
        <f t="shared" si="30"/>
        <v>Stanton</v>
      </c>
      <c r="C987" s="30">
        <v>2235</v>
      </c>
      <c r="D987" s="30">
        <v>2236</v>
      </c>
      <c r="E987" s="30">
        <v>2246</v>
      </c>
      <c r="F987" s="30">
        <v>2213</v>
      </c>
      <c r="G987" s="30">
        <v>2155</v>
      </c>
      <c r="H987" s="30">
        <v>2178</v>
      </c>
      <c r="I987" s="30">
        <v>2141</v>
      </c>
      <c r="J987" s="30">
        <v>2070</v>
      </c>
      <c r="K987" s="30">
        <v>2105</v>
      </c>
      <c r="L987" s="30">
        <v>2055</v>
      </c>
      <c r="M987" s="30">
        <v>2025</v>
      </c>
      <c r="N987" s="30">
        <v>2006</v>
      </c>
      <c r="O987" s="24" t="str">
        <f t="shared" si="31"/>
        <v>Stanton County, Kansas</v>
      </c>
    </row>
    <row r="988" spans="1:15" x14ac:dyDescent="0.25">
      <c r="A988" s="35" t="s">
        <v>1464</v>
      </c>
      <c r="B988" s="28" t="str">
        <f t="shared" si="30"/>
        <v>Stevens</v>
      </c>
      <c r="C988" s="30">
        <v>5724</v>
      </c>
      <c r="D988" s="30">
        <v>5726</v>
      </c>
      <c r="E988" s="30">
        <v>5752</v>
      </c>
      <c r="F988" s="30">
        <v>5631</v>
      </c>
      <c r="G988" s="30">
        <v>5738</v>
      </c>
      <c r="H988" s="30">
        <v>5808</v>
      </c>
      <c r="I988" s="30">
        <v>5840</v>
      </c>
      <c r="J988" s="30">
        <v>5789</v>
      </c>
      <c r="K988" s="30">
        <v>5653</v>
      </c>
      <c r="L988" s="30">
        <v>5551</v>
      </c>
      <c r="M988" s="30">
        <v>5536</v>
      </c>
      <c r="N988" s="30">
        <v>5485</v>
      </c>
      <c r="O988" s="24" t="str">
        <f t="shared" si="31"/>
        <v>Stevens County, Kansas</v>
      </c>
    </row>
    <row r="989" spans="1:15" x14ac:dyDescent="0.25">
      <c r="A989" s="35" t="s">
        <v>1465</v>
      </c>
      <c r="B989" s="28" t="str">
        <f t="shared" si="30"/>
        <v>Sumner</v>
      </c>
      <c r="C989" s="30">
        <v>24132</v>
      </c>
      <c r="D989" s="30">
        <v>24137</v>
      </c>
      <c r="E989" s="30">
        <v>24118</v>
      </c>
      <c r="F989" s="30">
        <v>23787</v>
      </c>
      <c r="G989" s="30">
        <v>23635</v>
      </c>
      <c r="H989" s="30">
        <v>23537</v>
      </c>
      <c r="I989" s="30">
        <v>23384</v>
      </c>
      <c r="J989" s="30">
        <v>23417</v>
      </c>
      <c r="K989" s="30">
        <v>23183</v>
      </c>
      <c r="L989" s="30">
        <v>23117</v>
      </c>
      <c r="M989" s="30">
        <v>23019</v>
      </c>
      <c r="N989" s="30">
        <v>22836</v>
      </c>
      <c r="O989" s="24" t="str">
        <f t="shared" si="31"/>
        <v>Sumner County, Kansas</v>
      </c>
    </row>
    <row r="990" spans="1:15" x14ac:dyDescent="0.25">
      <c r="A990" s="35" t="s">
        <v>1466</v>
      </c>
      <c r="B990" s="28" t="str">
        <f t="shared" si="30"/>
        <v>Thomas</v>
      </c>
      <c r="C990" s="30">
        <v>7900</v>
      </c>
      <c r="D990" s="30">
        <v>7902</v>
      </c>
      <c r="E990" s="30">
        <v>7930</v>
      </c>
      <c r="F990" s="30">
        <v>7941</v>
      </c>
      <c r="G990" s="30">
        <v>7933</v>
      </c>
      <c r="H990" s="30">
        <v>7933</v>
      </c>
      <c r="I990" s="30">
        <v>7836</v>
      </c>
      <c r="J990" s="30">
        <v>7895</v>
      </c>
      <c r="K990" s="30">
        <v>7847</v>
      </c>
      <c r="L990" s="30">
        <v>7821</v>
      </c>
      <c r="M990" s="30">
        <v>7710</v>
      </c>
      <c r="N990" s="30">
        <v>7777</v>
      </c>
      <c r="O990" s="24" t="str">
        <f t="shared" si="31"/>
        <v>Thomas County, Kansas</v>
      </c>
    </row>
    <row r="991" spans="1:15" x14ac:dyDescent="0.25">
      <c r="A991" s="35" t="s">
        <v>1467</v>
      </c>
      <c r="B991" s="28" t="str">
        <f t="shared" si="30"/>
        <v>Trego</v>
      </c>
      <c r="C991" s="30">
        <v>3001</v>
      </c>
      <c r="D991" s="30">
        <v>3006</v>
      </c>
      <c r="E991" s="30">
        <v>3006</v>
      </c>
      <c r="F991" s="30">
        <v>2954</v>
      </c>
      <c r="G991" s="30">
        <v>2941</v>
      </c>
      <c r="H991" s="30">
        <v>2945</v>
      </c>
      <c r="I991" s="30">
        <v>2895</v>
      </c>
      <c r="J991" s="30">
        <v>2907</v>
      </c>
      <c r="K991" s="30">
        <v>2852</v>
      </c>
      <c r="L991" s="30">
        <v>2843</v>
      </c>
      <c r="M991" s="30">
        <v>2797</v>
      </c>
      <c r="N991" s="30">
        <v>2803</v>
      </c>
      <c r="O991" s="24" t="str">
        <f t="shared" si="31"/>
        <v>Trego County, Kansas</v>
      </c>
    </row>
    <row r="992" spans="1:15" x14ac:dyDescent="0.25">
      <c r="A992" s="35" t="s">
        <v>1468</v>
      </c>
      <c r="B992" s="28" t="str">
        <f t="shared" si="30"/>
        <v>Wabaunsee</v>
      </c>
      <c r="C992" s="30">
        <v>7053</v>
      </c>
      <c r="D992" s="30">
        <v>7055</v>
      </c>
      <c r="E992" s="30">
        <v>7049</v>
      </c>
      <c r="F992" s="30">
        <v>7038</v>
      </c>
      <c r="G992" s="30">
        <v>6994</v>
      </c>
      <c r="H992" s="30">
        <v>7025</v>
      </c>
      <c r="I992" s="30">
        <v>6938</v>
      </c>
      <c r="J992" s="30">
        <v>6887</v>
      </c>
      <c r="K992" s="30">
        <v>6884</v>
      </c>
      <c r="L992" s="30">
        <v>6832</v>
      </c>
      <c r="M992" s="30">
        <v>6912</v>
      </c>
      <c r="N992" s="30">
        <v>6931</v>
      </c>
      <c r="O992" s="24" t="str">
        <f t="shared" si="31"/>
        <v>Wabaunsee County, Kansas</v>
      </c>
    </row>
    <row r="993" spans="1:15" x14ac:dyDescent="0.25">
      <c r="A993" s="35" t="s">
        <v>1469</v>
      </c>
      <c r="B993" s="28" t="str">
        <f t="shared" si="30"/>
        <v>Wallace</v>
      </c>
      <c r="C993" s="30">
        <v>1485</v>
      </c>
      <c r="D993" s="30">
        <v>1485</v>
      </c>
      <c r="E993" s="30">
        <v>1480</v>
      </c>
      <c r="F993" s="30">
        <v>1526</v>
      </c>
      <c r="G993" s="30">
        <v>1523</v>
      </c>
      <c r="H993" s="30">
        <v>1560</v>
      </c>
      <c r="I993" s="30">
        <v>1501</v>
      </c>
      <c r="J993" s="30">
        <v>1505</v>
      </c>
      <c r="K993" s="30">
        <v>1502</v>
      </c>
      <c r="L993" s="30">
        <v>1515</v>
      </c>
      <c r="M993" s="30">
        <v>1489</v>
      </c>
      <c r="N993" s="30">
        <v>1518</v>
      </c>
      <c r="O993" s="24" t="str">
        <f t="shared" si="31"/>
        <v>Wallace County, Kansas</v>
      </c>
    </row>
    <row r="994" spans="1:15" x14ac:dyDescent="0.25">
      <c r="A994" s="35" t="s">
        <v>1470</v>
      </c>
      <c r="B994" s="28" t="str">
        <f t="shared" si="30"/>
        <v>Washington</v>
      </c>
      <c r="C994" s="30">
        <v>5799</v>
      </c>
      <c r="D994" s="30">
        <v>5794</v>
      </c>
      <c r="E994" s="30">
        <v>5785</v>
      </c>
      <c r="F994" s="30">
        <v>5820</v>
      </c>
      <c r="G994" s="30">
        <v>5727</v>
      </c>
      <c r="H994" s="30">
        <v>5626</v>
      </c>
      <c r="I994" s="30">
        <v>5610</v>
      </c>
      <c r="J994" s="30">
        <v>5568</v>
      </c>
      <c r="K994" s="30">
        <v>5564</v>
      </c>
      <c r="L994" s="30">
        <v>5479</v>
      </c>
      <c r="M994" s="30">
        <v>5450</v>
      </c>
      <c r="N994" s="30">
        <v>5406</v>
      </c>
      <c r="O994" s="24" t="str">
        <f t="shared" si="31"/>
        <v>Washington County, Kansas</v>
      </c>
    </row>
    <row r="995" spans="1:15" x14ac:dyDescent="0.25">
      <c r="A995" s="35" t="s">
        <v>1471</v>
      </c>
      <c r="B995" s="28" t="str">
        <f t="shared" si="30"/>
        <v>Wichita</v>
      </c>
      <c r="C995" s="30">
        <v>2234</v>
      </c>
      <c r="D995" s="30">
        <v>2234</v>
      </c>
      <c r="E995" s="30">
        <v>2239</v>
      </c>
      <c r="F995" s="30">
        <v>2259</v>
      </c>
      <c r="G995" s="30">
        <v>2228</v>
      </c>
      <c r="H995" s="30">
        <v>2192</v>
      </c>
      <c r="I995" s="30">
        <v>2188</v>
      </c>
      <c r="J995" s="30">
        <v>2167</v>
      </c>
      <c r="K995" s="30">
        <v>2131</v>
      </c>
      <c r="L995" s="30">
        <v>2121</v>
      </c>
      <c r="M995" s="30">
        <v>2112</v>
      </c>
      <c r="N995" s="30">
        <v>2119</v>
      </c>
      <c r="O995" s="24" t="str">
        <f t="shared" si="31"/>
        <v>Wichita County, Kansas</v>
      </c>
    </row>
    <row r="996" spans="1:15" x14ac:dyDescent="0.25">
      <c r="A996" s="35" t="s">
        <v>1472</v>
      </c>
      <c r="B996" s="28" t="str">
        <f t="shared" si="30"/>
        <v>Wilson</v>
      </c>
      <c r="C996" s="30">
        <v>9409</v>
      </c>
      <c r="D996" s="30">
        <v>9406</v>
      </c>
      <c r="E996" s="30">
        <v>9389</v>
      </c>
      <c r="F996" s="30">
        <v>9238</v>
      </c>
      <c r="G996" s="30">
        <v>9120</v>
      </c>
      <c r="H996" s="30">
        <v>9091</v>
      </c>
      <c r="I996" s="30">
        <v>8970</v>
      </c>
      <c r="J996" s="30">
        <v>8845</v>
      </c>
      <c r="K996" s="30">
        <v>8698</v>
      </c>
      <c r="L996" s="30">
        <v>8707</v>
      </c>
      <c r="M996" s="30">
        <v>8666</v>
      </c>
      <c r="N996" s="30">
        <v>8525</v>
      </c>
      <c r="O996" s="24" t="str">
        <f t="shared" si="31"/>
        <v>Wilson County, Kansas</v>
      </c>
    </row>
    <row r="997" spans="1:15" x14ac:dyDescent="0.25">
      <c r="A997" s="35" t="s">
        <v>1473</v>
      </c>
      <c r="B997" s="28" t="str">
        <f t="shared" si="30"/>
        <v>Woodson</v>
      </c>
      <c r="C997" s="30">
        <v>3309</v>
      </c>
      <c r="D997" s="30">
        <v>3309</v>
      </c>
      <c r="E997" s="30">
        <v>3308</v>
      </c>
      <c r="F997" s="30">
        <v>3322</v>
      </c>
      <c r="G997" s="30">
        <v>3275</v>
      </c>
      <c r="H997" s="30">
        <v>3215</v>
      </c>
      <c r="I997" s="30">
        <v>3187</v>
      </c>
      <c r="J997" s="30">
        <v>3144</v>
      </c>
      <c r="K997" s="30">
        <v>3189</v>
      </c>
      <c r="L997" s="30">
        <v>3130</v>
      </c>
      <c r="M997" s="30">
        <v>3184</v>
      </c>
      <c r="N997" s="30">
        <v>3138</v>
      </c>
      <c r="O997" s="24" t="str">
        <f t="shared" si="31"/>
        <v>Woodson County, Kansas</v>
      </c>
    </row>
    <row r="998" spans="1:15" x14ac:dyDescent="0.25">
      <c r="A998" s="35" t="s">
        <v>1474</v>
      </c>
      <c r="B998" s="28" t="str">
        <f t="shared" si="30"/>
        <v>Wyandotte</v>
      </c>
      <c r="C998" s="30">
        <v>157505</v>
      </c>
      <c r="D998" s="30">
        <v>157523</v>
      </c>
      <c r="E998" s="30">
        <v>157633</v>
      </c>
      <c r="F998" s="30">
        <v>158011</v>
      </c>
      <c r="G998" s="30">
        <v>159379</v>
      </c>
      <c r="H998" s="30">
        <v>160933</v>
      </c>
      <c r="I998" s="30">
        <v>162246</v>
      </c>
      <c r="J998" s="30">
        <v>163682</v>
      </c>
      <c r="K998" s="30">
        <v>164785</v>
      </c>
      <c r="L998" s="30">
        <v>165087</v>
      </c>
      <c r="M998" s="30">
        <v>165321</v>
      </c>
      <c r="N998" s="30">
        <v>165429</v>
      </c>
      <c r="O998" s="24" t="str">
        <f t="shared" si="31"/>
        <v>Wyandotte County, Kansas</v>
      </c>
    </row>
    <row r="999" spans="1:15" x14ac:dyDescent="0.25">
      <c r="A999" s="35" t="s">
        <v>1475</v>
      </c>
      <c r="B999" s="28" t="str">
        <f t="shared" si="30"/>
        <v>Adair</v>
      </c>
      <c r="C999" s="30">
        <v>18656</v>
      </c>
      <c r="D999" s="30">
        <v>18659</v>
      </c>
      <c r="E999" s="30">
        <v>18757</v>
      </c>
      <c r="F999" s="30">
        <v>18987</v>
      </c>
      <c r="G999" s="30">
        <v>18934</v>
      </c>
      <c r="H999" s="30">
        <v>19124</v>
      </c>
      <c r="I999" s="30">
        <v>19262</v>
      </c>
      <c r="J999" s="30">
        <v>19162</v>
      </c>
      <c r="K999" s="30">
        <v>19259</v>
      </c>
      <c r="L999" s="30">
        <v>19287</v>
      </c>
      <c r="M999" s="30">
        <v>19199</v>
      </c>
      <c r="N999" s="30">
        <v>19202</v>
      </c>
      <c r="O999" s="24" t="str">
        <f t="shared" si="31"/>
        <v>Adair County, Kentucky</v>
      </c>
    </row>
    <row r="1000" spans="1:15" x14ac:dyDescent="0.25">
      <c r="A1000" s="35" t="s">
        <v>1476</v>
      </c>
      <c r="B1000" s="28" t="str">
        <f t="shared" si="30"/>
        <v>Allen</v>
      </c>
      <c r="C1000" s="30">
        <v>19956</v>
      </c>
      <c r="D1000" s="30">
        <v>19958</v>
      </c>
      <c r="E1000" s="30">
        <v>20037</v>
      </c>
      <c r="F1000" s="30">
        <v>20176</v>
      </c>
      <c r="G1000" s="30">
        <v>20232</v>
      </c>
      <c r="H1000" s="30">
        <v>20316</v>
      </c>
      <c r="I1000" s="30">
        <v>20493</v>
      </c>
      <c r="J1000" s="30">
        <v>20660</v>
      </c>
      <c r="K1000" s="30">
        <v>20721</v>
      </c>
      <c r="L1000" s="30">
        <v>20903</v>
      </c>
      <c r="M1000" s="30">
        <v>21122</v>
      </c>
      <c r="N1000" s="30">
        <v>21315</v>
      </c>
      <c r="O1000" s="24" t="str">
        <f t="shared" si="31"/>
        <v>Allen County, Kentucky</v>
      </c>
    </row>
    <row r="1001" spans="1:15" x14ac:dyDescent="0.25">
      <c r="A1001" s="35" t="s">
        <v>1477</v>
      </c>
      <c r="B1001" s="28" t="str">
        <f t="shared" si="30"/>
        <v>Anderson</v>
      </c>
      <c r="C1001" s="30">
        <v>21421</v>
      </c>
      <c r="D1001" s="30">
        <v>21462</v>
      </c>
      <c r="E1001" s="30">
        <v>21470</v>
      </c>
      <c r="F1001" s="30">
        <v>21564</v>
      </c>
      <c r="G1001" s="30">
        <v>21694</v>
      </c>
      <c r="H1001" s="30">
        <v>21747</v>
      </c>
      <c r="I1001" s="30">
        <v>21868</v>
      </c>
      <c r="J1001" s="30">
        <v>21920</v>
      </c>
      <c r="K1001" s="30">
        <v>22191</v>
      </c>
      <c r="L1001" s="30">
        <v>22545</v>
      </c>
      <c r="M1001" s="30">
        <v>22641</v>
      </c>
      <c r="N1001" s="30">
        <v>22747</v>
      </c>
      <c r="O1001" s="24" t="str">
        <f t="shared" si="31"/>
        <v>Anderson County, Kentucky</v>
      </c>
    </row>
    <row r="1002" spans="1:15" x14ac:dyDescent="0.25">
      <c r="A1002" s="35" t="s">
        <v>1478</v>
      </c>
      <c r="B1002" s="28" t="str">
        <f t="shared" si="30"/>
        <v>Ballard</v>
      </c>
      <c r="C1002" s="30">
        <v>8249</v>
      </c>
      <c r="D1002" s="30">
        <v>8246</v>
      </c>
      <c r="E1002" s="30">
        <v>8260</v>
      </c>
      <c r="F1002" s="30">
        <v>8269</v>
      </c>
      <c r="G1002" s="30">
        <v>8285</v>
      </c>
      <c r="H1002" s="30">
        <v>8252</v>
      </c>
      <c r="I1002" s="30">
        <v>8188</v>
      </c>
      <c r="J1002" s="30">
        <v>8216</v>
      </c>
      <c r="K1002" s="30">
        <v>8046</v>
      </c>
      <c r="L1002" s="30">
        <v>8018</v>
      </c>
      <c r="M1002" s="30">
        <v>7992</v>
      </c>
      <c r="N1002" s="30">
        <v>7888</v>
      </c>
      <c r="O1002" s="24" t="str">
        <f t="shared" si="31"/>
        <v>Ballard County, Kentucky</v>
      </c>
    </row>
    <row r="1003" spans="1:15" x14ac:dyDescent="0.25">
      <c r="A1003" s="35" t="s">
        <v>1479</v>
      </c>
      <c r="B1003" s="28" t="str">
        <f t="shared" si="30"/>
        <v>Barren</v>
      </c>
      <c r="C1003" s="30">
        <v>42173</v>
      </c>
      <c r="D1003" s="30">
        <v>42161</v>
      </c>
      <c r="E1003" s="30">
        <v>42116</v>
      </c>
      <c r="F1003" s="30">
        <v>42321</v>
      </c>
      <c r="G1003" s="30">
        <v>42607</v>
      </c>
      <c r="H1003" s="30">
        <v>42937</v>
      </c>
      <c r="I1003" s="30">
        <v>43034</v>
      </c>
      <c r="J1003" s="30">
        <v>43546</v>
      </c>
      <c r="K1003" s="30">
        <v>43763</v>
      </c>
      <c r="L1003" s="30">
        <v>43746</v>
      </c>
      <c r="M1003" s="30">
        <v>44115</v>
      </c>
      <c r="N1003" s="30">
        <v>44249</v>
      </c>
      <c r="O1003" s="24" t="str">
        <f t="shared" si="31"/>
        <v>Barren County, Kentucky</v>
      </c>
    </row>
    <row r="1004" spans="1:15" x14ac:dyDescent="0.25">
      <c r="A1004" s="35" t="s">
        <v>1480</v>
      </c>
      <c r="B1004" s="28" t="str">
        <f t="shared" si="30"/>
        <v>Bath</v>
      </c>
      <c r="C1004" s="30">
        <v>11591</v>
      </c>
      <c r="D1004" s="30">
        <v>11587</v>
      </c>
      <c r="E1004" s="30">
        <v>11618</v>
      </c>
      <c r="F1004" s="30">
        <v>11715</v>
      </c>
      <c r="G1004" s="30">
        <v>11780</v>
      </c>
      <c r="H1004" s="30">
        <v>11975</v>
      </c>
      <c r="I1004" s="30">
        <v>12130</v>
      </c>
      <c r="J1004" s="30">
        <v>12203</v>
      </c>
      <c r="K1004" s="30">
        <v>12246</v>
      </c>
      <c r="L1004" s="30">
        <v>12381</v>
      </c>
      <c r="M1004" s="30">
        <v>12444</v>
      </c>
      <c r="N1004" s="30">
        <v>12500</v>
      </c>
      <c r="O1004" s="24" t="str">
        <f t="shared" si="31"/>
        <v>Bath County, Kentucky</v>
      </c>
    </row>
    <row r="1005" spans="1:15" x14ac:dyDescent="0.25">
      <c r="A1005" s="35" t="s">
        <v>1481</v>
      </c>
      <c r="B1005" s="28" t="str">
        <f t="shared" si="30"/>
        <v>Bell</v>
      </c>
      <c r="C1005" s="30">
        <v>28691</v>
      </c>
      <c r="D1005" s="30">
        <v>28691</v>
      </c>
      <c r="E1005" s="30">
        <v>28709</v>
      </c>
      <c r="F1005" s="30">
        <v>28658</v>
      </c>
      <c r="G1005" s="30">
        <v>28284</v>
      </c>
      <c r="H1005" s="30">
        <v>28031</v>
      </c>
      <c r="I1005" s="30">
        <v>27826</v>
      </c>
      <c r="J1005" s="30">
        <v>27370</v>
      </c>
      <c r="K1005" s="30">
        <v>27204</v>
      </c>
      <c r="L1005" s="30">
        <v>26863</v>
      </c>
      <c r="M1005" s="30">
        <v>26487</v>
      </c>
      <c r="N1005" s="30">
        <v>26032</v>
      </c>
      <c r="O1005" s="24" t="str">
        <f t="shared" si="31"/>
        <v>Bell County, Kentucky</v>
      </c>
    </row>
    <row r="1006" spans="1:15" x14ac:dyDescent="0.25">
      <c r="A1006" s="35" t="s">
        <v>1482</v>
      </c>
      <c r="B1006" s="28" t="str">
        <f t="shared" si="30"/>
        <v>Boone</v>
      </c>
      <c r="C1006" s="30">
        <v>118811</v>
      </c>
      <c r="D1006" s="30">
        <v>118810</v>
      </c>
      <c r="E1006" s="30">
        <v>119373</v>
      </c>
      <c r="F1006" s="30">
        <v>121710</v>
      </c>
      <c r="G1006" s="30">
        <v>123412</v>
      </c>
      <c r="H1006" s="30">
        <v>125022</v>
      </c>
      <c r="I1006" s="30">
        <v>126677</v>
      </c>
      <c r="J1006" s="30">
        <v>128161</v>
      </c>
      <c r="K1006" s="30">
        <v>129503</v>
      </c>
      <c r="L1006" s="30">
        <v>130952</v>
      </c>
      <c r="M1006" s="30">
        <v>131901</v>
      </c>
      <c r="N1006" s="30">
        <v>133581</v>
      </c>
      <c r="O1006" s="24" t="str">
        <f t="shared" si="31"/>
        <v>Boone County, Kentucky</v>
      </c>
    </row>
    <row r="1007" spans="1:15" x14ac:dyDescent="0.25">
      <c r="A1007" s="35" t="s">
        <v>1483</v>
      </c>
      <c r="B1007" s="28" t="str">
        <f t="shared" si="30"/>
        <v>Bourbon</v>
      </c>
      <c r="C1007" s="30">
        <v>19985</v>
      </c>
      <c r="D1007" s="30">
        <v>20008</v>
      </c>
      <c r="E1007" s="30">
        <v>19965</v>
      </c>
      <c r="F1007" s="30">
        <v>20051</v>
      </c>
      <c r="G1007" s="30">
        <v>20050</v>
      </c>
      <c r="H1007" s="30">
        <v>20026</v>
      </c>
      <c r="I1007" s="30">
        <v>20055</v>
      </c>
      <c r="J1007" s="30">
        <v>20166</v>
      </c>
      <c r="K1007" s="30">
        <v>20130</v>
      </c>
      <c r="L1007" s="30">
        <v>20092</v>
      </c>
      <c r="M1007" s="30">
        <v>20116</v>
      </c>
      <c r="N1007" s="30">
        <v>19788</v>
      </c>
      <c r="O1007" s="24" t="str">
        <f t="shared" si="31"/>
        <v>Bourbon County, Kentucky</v>
      </c>
    </row>
    <row r="1008" spans="1:15" x14ac:dyDescent="0.25">
      <c r="A1008" s="35" t="s">
        <v>1484</v>
      </c>
      <c r="B1008" s="28" t="str">
        <f t="shared" si="30"/>
        <v>Boyd</v>
      </c>
      <c r="C1008" s="30">
        <v>49542</v>
      </c>
      <c r="D1008" s="30">
        <v>49534</v>
      </c>
      <c r="E1008" s="30">
        <v>49602</v>
      </c>
      <c r="F1008" s="30">
        <v>49407</v>
      </c>
      <c r="G1008" s="30">
        <v>49224</v>
      </c>
      <c r="H1008" s="30">
        <v>48880</v>
      </c>
      <c r="I1008" s="30">
        <v>48798</v>
      </c>
      <c r="J1008" s="30">
        <v>48471</v>
      </c>
      <c r="K1008" s="30">
        <v>48121</v>
      </c>
      <c r="L1008" s="30">
        <v>47808</v>
      </c>
      <c r="M1008" s="30">
        <v>47292</v>
      </c>
      <c r="N1008" s="30">
        <v>46718</v>
      </c>
      <c r="O1008" s="24" t="str">
        <f t="shared" si="31"/>
        <v>Boyd County, Kentucky</v>
      </c>
    </row>
    <row r="1009" spans="1:15" x14ac:dyDescent="0.25">
      <c r="A1009" s="35" t="s">
        <v>1485</v>
      </c>
      <c r="B1009" s="28" t="str">
        <f t="shared" si="30"/>
        <v>Boyle</v>
      </c>
      <c r="C1009" s="30">
        <v>28432</v>
      </c>
      <c r="D1009" s="30">
        <v>28443</v>
      </c>
      <c r="E1009" s="30">
        <v>28674</v>
      </c>
      <c r="F1009" s="30">
        <v>28800</v>
      </c>
      <c r="G1009" s="30">
        <v>29020</v>
      </c>
      <c r="H1009" s="30">
        <v>29632</v>
      </c>
      <c r="I1009" s="30">
        <v>29810</v>
      </c>
      <c r="J1009" s="30">
        <v>29782</v>
      </c>
      <c r="K1009" s="30">
        <v>29965</v>
      </c>
      <c r="L1009" s="30">
        <v>29972</v>
      </c>
      <c r="M1009" s="30">
        <v>30082</v>
      </c>
      <c r="N1009" s="30">
        <v>30060</v>
      </c>
      <c r="O1009" s="24" t="str">
        <f t="shared" si="31"/>
        <v>Boyle County, Kentucky</v>
      </c>
    </row>
    <row r="1010" spans="1:15" x14ac:dyDescent="0.25">
      <c r="A1010" s="35" t="s">
        <v>1486</v>
      </c>
      <c r="B1010" s="28" t="str">
        <f t="shared" si="30"/>
        <v>Bracken</v>
      </c>
      <c r="C1010" s="30">
        <v>8488</v>
      </c>
      <c r="D1010" s="30">
        <v>8486</v>
      </c>
      <c r="E1010" s="30">
        <v>8513</v>
      </c>
      <c r="F1010" s="30">
        <v>8510</v>
      </c>
      <c r="G1010" s="30">
        <v>8462</v>
      </c>
      <c r="H1010" s="30">
        <v>8423</v>
      </c>
      <c r="I1010" s="30">
        <v>8359</v>
      </c>
      <c r="J1010" s="30">
        <v>8290</v>
      </c>
      <c r="K1010" s="30">
        <v>8368</v>
      </c>
      <c r="L1010" s="30">
        <v>8285</v>
      </c>
      <c r="M1010" s="30">
        <v>8278</v>
      </c>
      <c r="N1010" s="30">
        <v>8303</v>
      </c>
      <c r="O1010" s="24" t="str">
        <f t="shared" si="31"/>
        <v>Bracken County, Kentucky</v>
      </c>
    </row>
    <row r="1011" spans="1:15" x14ac:dyDescent="0.25">
      <c r="A1011" s="35" t="s">
        <v>1487</v>
      </c>
      <c r="B1011" s="28" t="str">
        <f t="shared" si="30"/>
        <v>Breathitt</v>
      </c>
      <c r="C1011" s="30">
        <v>13878</v>
      </c>
      <c r="D1011" s="30">
        <v>13876</v>
      </c>
      <c r="E1011" s="30">
        <v>13857</v>
      </c>
      <c r="F1011" s="30">
        <v>13789</v>
      </c>
      <c r="G1011" s="30">
        <v>13612</v>
      </c>
      <c r="H1011" s="30">
        <v>13527</v>
      </c>
      <c r="I1011" s="30">
        <v>13366</v>
      </c>
      <c r="J1011" s="30">
        <v>13363</v>
      </c>
      <c r="K1011" s="30">
        <v>13177</v>
      </c>
      <c r="L1011" s="30">
        <v>12929</v>
      </c>
      <c r="M1011" s="30">
        <v>12787</v>
      </c>
      <c r="N1011" s="30">
        <v>12630</v>
      </c>
      <c r="O1011" s="24" t="str">
        <f t="shared" si="31"/>
        <v>Breathitt County, Kentucky</v>
      </c>
    </row>
    <row r="1012" spans="1:15" x14ac:dyDescent="0.25">
      <c r="A1012" s="35" t="s">
        <v>1488</v>
      </c>
      <c r="B1012" s="28" t="str">
        <f t="shared" si="30"/>
        <v>Breckinridge</v>
      </c>
      <c r="C1012" s="30">
        <v>20059</v>
      </c>
      <c r="D1012" s="30">
        <v>20053</v>
      </c>
      <c r="E1012" s="30">
        <v>20043</v>
      </c>
      <c r="F1012" s="30">
        <v>20272</v>
      </c>
      <c r="G1012" s="30">
        <v>20074</v>
      </c>
      <c r="H1012" s="30">
        <v>20042</v>
      </c>
      <c r="I1012" s="30">
        <v>19883</v>
      </c>
      <c r="J1012" s="30">
        <v>19979</v>
      </c>
      <c r="K1012" s="30">
        <v>19982</v>
      </c>
      <c r="L1012" s="30">
        <v>20131</v>
      </c>
      <c r="M1012" s="30">
        <v>20309</v>
      </c>
      <c r="N1012" s="30">
        <v>20477</v>
      </c>
      <c r="O1012" s="24" t="str">
        <f t="shared" si="31"/>
        <v>Breckinridge County, Kentucky</v>
      </c>
    </row>
    <row r="1013" spans="1:15" x14ac:dyDescent="0.25">
      <c r="A1013" s="35" t="s">
        <v>1489</v>
      </c>
      <c r="B1013" s="28" t="str">
        <f t="shared" si="30"/>
        <v>Bullitt</v>
      </c>
      <c r="C1013" s="30">
        <v>74319</v>
      </c>
      <c r="D1013" s="30">
        <v>74308</v>
      </c>
      <c r="E1013" s="30">
        <v>74500</v>
      </c>
      <c r="F1013" s="30">
        <v>75195</v>
      </c>
      <c r="G1013" s="30">
        <v>75902</v>
      </c>
      <c r="H1013" s="30">
        <v>76878</v>
      </c>
      <c r="I1013" s="30">
        <v>78023</v>
      </c>
      <c r="J1013" s="30">
        <v>78677</v>
      </c>
      <c r="K1013" s="30">
        <v>79222</v>
      </c>
      <c r="L1013" s="30">
        <v>80269</v>
      </c>
      <c r="M1013" s="30">
        <v>81009</v>
      </c>
      <c r="N1013" s="30">
        <v>81676</v>
      </c>
      <c r="O1013" s="24" t="str">
        <f t="shared" si="31"/>
        <v>Bullitt County, Kentucky</v>
      </c>
    </row>
    <row r="1014" spans="1:15" x14ac:dyDescent="0.25">
      <c r="A1014" s="35" t="s">
        <v>1490</v>
      </c>
      <c r="B1014" s="28" t="str">
        <f t="shared" si="30"/>
        <v>Butler</v>
      </c>
      <c r="C1014" s="30">
        <v>12690</v>
      </c>
      <c r="D1014" s="30">
        <v>12697</v>
      </c>
      <c r="E1014" s="30">
        <v>12735</v>
      </c>
      <c r="F1014" s="30">
        <v>12718</v>
      </c>
      <c r="G1014" s="30">
        <v>12738</v>
      </c>
      <c r="H1014" s="30">
        <v>12704</v>
      </c>
      <c r="I1014" s="30">
        <v>12736</v>
      </c>
      <c r="J1014" s="30">
        <v>12734</v>
      </c>
      <c r="K1014" s="30">
        <v>12686</v>
      </c>
      <c r="L1014" s="30">
        <v>12778</v>
      </c>
      <c r="M1014" s="30">
        <v>12743</v>
      </c>
      <c r="N1014" s="30">
        <v>12879</v>
      </c>
      <c r="O1014" s="24" t="str">
        <f t="shared" si="31"/>
        <v>Butler County, Kentucky</v>
      </c>
    </row>
    <row r="1015" spans="1:15" x14ac:dyDescent="0.25">
      <c r="A1015" s="35" t="s">
        <v>1491</v>
      </c>
      <c r="B1015" s="28" t="str">
        <f t="shared" si="30"/>
        <v>Caldwell</v>
      </c>
      <c r="C1015" s="30">
        <v>12984</v>
      </c>
      <c r="D1015" s="30">
        <v>12989</v>
      </c>
      <c r="E1015" s="30">
        <v>13010</v>
      </c>
      <c r="F1015" s="30">
        <v>13027</v>
      </c>
      <c r="G1015" s="30">
        <v>12992</v>
      </c>
      <c r="H1015" s="30">
        <v>12887</v>
      </c>
      <c r="I1015" s="30">
        <v>12848</v>
      </c>
      <c r="J1015" s="30">
        <v>12748</v>
      </c>
      <c r="K1015" s="30">
        <v>12634</v>
      </c>
      <c r="L1015" s="30">
        <v>12666</v>
      </c>
      <c r="M1015" s="30">
        <v>12716</v>
      </c>
      <c r="N1015" s="30">
        <v>12747</v>
      </c>
      <c r="O1015" s="24" t="str">
        <f t="shared" si="31"/>
        <v>Caldwell County, Kentucky</v>
      </c>
    </row>
    <row r="1016" spans="1:15" x14ac:dyDescent="0.25">
      <c r="A1016" s="35" t="s">
        <v>1492</v>
      </c>
      <c r="B1016" s="28" t="str">
        <f t="shared" si="30"/>
        <v>Calloway</v>
      </c>
      <c r="C1016" s="30">
        <v>37191</v>
      </c>
      <c r="D1016" s="30">
        <v>37190</v>
      </c>
      <c r="E1016" s="30">
        <v>37348</v>
      </c>
      <c r="F1016" s="30">
        <v>37667</v>
      </c>
      <c r="G1016" s="30">
        <v>38046</v>
      </c>
      <c r="H1016" s="30">
        <v>38425</v>
      </c>
      <c r="I1016" s="30">
        <v>38452</v>
      </c>
      <c r="J1016" s="30">
        <v>38656</v>
      </c>
      <c r="K1016" s="30">
        <v>38733</v>
      </c>
      <c r="L1016" s="30">
        <v>38832</v>
      </c>
      <c r="M1016" s="30">
        <v>38964</v>
      </c>
      <c r="N1016" s="30">
        <v>39001</v>
      </c>
      <c r="O1016" s="24" t="str">
        <f t="shared" si="31"/>
        <v>Calloway County, Kentucky</v>
      </c>
    </row>
    <row r="1017" spans="1:15" x14ac:dyDescent="0.25">
      <c r="A1017" s="35" t="s">
        <v>1493</v>
      </c>
      <c r="B1017" s="28" t="str">
        <f t="shared" si="30"/>
        <v>Campbell</v>
      </c>
      <c r="C1017" s="30">
        <v>90336</v>
      </c>
      <c r="D1017" s="30">
        <v>90338</v>
      </c>
      <c r="E1017" s="30">
        <v>90623</v>
      </c>
      <c r="F1017" s="30">
        <v>91241</v>
      </c>
      <c r="G1017" s="30">
        <v>91246</v>
      </c>
      <c r="H1017" s="30">
        <v>91423</v>
      </c>
      <c r="I1017" s="30">
        <v>91971</v>
      </c>
      <c r="J1017" s="30">
        <v>92124</v>
      </c>
      <c r="K1017" s="30">
        <v>92257</v>
      </c>
      <c r="L1017" s="30">
        <v>92878</v>
      </c>
      <c r="M1017" s="30">
        <v>93464</v>
      </c>
      <c r="N1017" s="30">
        <v>93584</v>
      </c>
      <c r="O1017" s="24" t="str">
        <f t="shared" si="31"/>
        <v>Campbell County, Kentucky</v>
      </c>
    </row>
    <row r="1018" spans="1:15" x14ac:dyDescent="0.25">
      <c r="A1018" s="35" t="s">
        <v>1494</v>
      </c>
      <c r="B1018" s="28" t="str">
        <f t="shared" si="30"/>
        <v>Carlisle</v>
      </c>
      <c r="C1018" s="30">
        <v>5104</v>
      </c>
      <c r="D1018" s="30">
        <v>5097</v>
      </c>
      <c r="E1018" s="30">
        <v>5083</v>
      </c>
      <c r="F1018" s="30">
        <v>5034</v>
      </c>
      <c r="G1018" s="30">
        <v>5027</v>
      </c>
      <c r="H1018" s="30">
        <v>4959</v>
      </c>
      <c r="I1018" s="30">
        <v>4961</v>
      </c>
      <c r="J1018" s="30">
        <v>4852</v>
      </c>
      <c r="K1018" s="30">
        <v>4783</v>
      </c>
      <c r="L1018" s="30">
        <v>4788</v>
      </c>
      <c r="M1018" s="30">
        <v>4739</v>
      </c>
      <c r="N1018" s="30">
        <v>4760</v>
      </c>
      <c r="O1018" s="24" t="str">
        <f t="shared" si="31"/>
        <v>Carlisle County, Kentucky</v>
      </c>
    </row>
    <row r="1019" spans="1:15" x14ac:dyDescent="0.25">
      <c r="A1019" s="35" t="s">
        <v>1495</v>
      </c>
      <c r="B1019" s="28" t="str">
        <f t="shared" si="30"/>
        <v>Carroll</v>
      </c>
      <c r="C1019" s="30">
        <v>10811</v>
      </c>
      <c r="D1019" s="30">
        <v>10807</v>
      </c>
      <c r="E1019" s="30">
        <v>10806</v>
      </c>
      <c r="F1019" s="30">
        <v>10994</v>
      </c>
      <c r="G1019" s="30">
        <v>10874</v>
      </c>
      <c r="H1019" s="30">
        <v>10838</v>
      </c>
      <c r="I1019" s="30">
        <v>10738</v>
      </c>
      <c r="J1019" s="30">
        <v>10682</v>
      </c>
      <c r="K1019" s="30">
        <v>10614</v>
      </c>
      <c r="L1019" s="30">
        <v>10714</v>
      </c>
      <c r="M1019" s="30">
        <v>10712</v>
      </c>
      <c r="N1019" s="30">
        <v>10631</v>
      </c>
      <c r="O1019" s="24" t="str">
        <f t="shared" si="31"/>
        <v>Carroll County, Kentucky</v>
      </c>
    </row>
    <row r="1020" spans="1:15" x14ac:dyDescent="0.25">
      <c r="A1020" s="35" t="s">
        <v>1496</v>
      </c>
      <c r="B1020" s="28" t="str">
        <f t="shared" si="30"/>
        <v>Carter</v>
      </c>
      <c r="C1020" s="30">
        <v>27720</v>
      </c>
      <c r="D1020" s="30">
        <v>27721</v>
      </c>
      <c r="E1020" s="30">
        <v>27746</v>
      </c>
      <c r="F1020" s="30">
        <v>27627</v>
      </c>
      <c r="G1020" s="30">
        <v>27637</v>
      </c>
      <c r="H1020" s="30">
        <v>27600</v>
      </c>
      <c r="I1020" s="30">
        <v>27517</v>
      </c>
      <c r="J1020" s="30">
        <v>27439</v>
      </c>
      <c r="K1020" s="30">
        <v>27304</v>
      </c>
      <c r="L1020" s="30">
        <v>27214</v>
      </c>
      <c r="M1020" s="30">
        <v>27040</v>
      </c>
      <c r="N1020" s="30">
        <v>26797</v>
      </c>
      <c r="O1020" s="24" t="str">
        <f t="shared" si="31"/>
        <v>Carter County, Kentucky</v>
      </c>
    </row>
    <row r="1021" spans="1:15" x14ac:dyDescent="0.25">
      <c r="A1021" s="35" t="s">
        <v>1497</v>
      </c>
      <c r="B1021" s="28" t="str">
        <f t="shared" si="30"/>
        <v>Casey</v>
      </c>
      <c r="C1021" s="30">
        <v>15955</v>
      </c>
      <c r="D1021" s="30">
        <v>15960</v>
      </c>
      <c r="E1021" s="30">
        <v>15984</v>
      </c>
      <c r="F1021" s="30">
        <v>15911</v>
      </c>
      <c r="G1021" s="30">
        <v>16024</v>
      </c>
      <c r="H1021" s="30">
        <v>16011</v>
      </c>
      <c r="I1021" s="30">
        <v>15782</v>
      </c>
      <c r="J1021" s="30">
        <v>15749</v>
      </c>
      <c r="K1021" s="30">
        <v>15775</v>
      </c>
      <c r="L1021" s="30">
        <v>15818</v>
      </c>
      <c r="M1021" s="30">
        <v>15926</v>
      </c>
      <c r="N1021" s="30">
        <v>16159</v>
      </c>
      <c r="O1021" s="24" t="str">
        <f t="shared" si="31"/>
        <v>Casey County, Kentucky</v>
      </c>
    </row>
    <row r="1022" spans="1:15" x14ac:dyDescent="0.25">
      <c r="A1022" s="35" t="s">
        <v>1498</v>
      </c>
      <c r="B1022" s="28" t="str">
        <f t="shared" si="30"/>
        <v>Christian</v>
      </c>
      <c r="C1022" s="30">
        <v>73955</v>
      </c>
      <c r="D1022" s="30">
        <v>73940</v>
      </c>
      <c r="E1022" s="30">
        <v>74130</v>
      </c>
      <c r="F1022" s="30">
        <v>73464</v>
      </c>
      <c r="G1022" s="30">
        <v>74892</v>
      </c>
      <c r="H1022" s="30">
        <v>73612</v>
      </c>
      <c r="I1022" s="30">
        <v>73282</v>
      </c>
      <c r="J1022" s="30">
        <v>73075</v>
      </c>
      <c r="K1022" s="30">
        <v>71796</v>
      </c>
      <c r="L1022" s="30">
        <v>71024</v>
      </c>
      <c r="M1022" s="30">
        <v>70712</v>
      </c>
      <c r="N1022" s="30">
        <v>70461</v>
      </c>
      <c r="O1022" s="24" t="str">
        <f t="shared" si="31"/>
        <v>Christian County, Kentucky</v>
      </c>
    </row>
    <row r="1023" spans="1:15" x14ac:dyDescent="0.25">
      <c r="A1023" s="35" t="s">
        <v>1499</v>
      </c>
      <c r="B1023" s="28" t="str">
        <f t="shared" si="30"/>
        <v>Clark</v>
      </c>
      <c r="C1023" s="30">
        <v>35613</v>
      </c>
      <c r="D1023" s="30">
        <v>35603</v>
      </c>
      <c r="E1023" s="30">
        <v>35603</v>
      </c>
      <c r="F1023" s="30">
        <v>35434</v>
      </c>
      <c r="G1023" s="30">
        <v>35685</v>
      </c>
      <c r="H1023" s="30">
        <v>35550</v>
      </c>
      <c r="I1023" s="30">
        <v>35622</v>
      </c>
      <c r="J1023" s="30">
        <v>35660</v>
      </c>
      <c r="K1023" s="30">
        <v>35851</v>
      </c>
      <c r="L1023" s="30">
        <v>35899</v>
      </c>
      <c r="M1023" s="30">
        <v>36180</v>
      </c>
      <c r="N1023" s="30">
        <v>36263</v>
      </c>
      <c r="O1023" s="24" t="str">
        <f t="shared" si="31"/>
        <v>Clark County, Kentucky</v>
      </c>
    </row>
    <row r="1024" spans="1:15" x14ac:dyDescent="0.25">
      <c r="A1024" s="35" t="s">
        <v>1500</v>
      </c>
      <c r="B1024" s="28" t="str">
        <f t="shared" si="30"/>
        <v>Clay</v>
      </c>
      <c r="C1024" s="30">
        <v>21730</v>
      </c>
      <c r="D1024" s="30">
        <v>21729</v>
      </c>
      <c r="E1024" s="30">
        <v>21660</v>
      </c>
      <c r="F1024" s="30">
        <v>21591</v>
      </c>
      <c r="G1024" s="30">
        <v>21518</v>
      </c>
      <c r="H1024" s="30">
        <v>21186</v>
      </c>
      <c r="I1024" s="30">
        <v>21081</v>
      </c>
      <c r="J1024" s="30">
        <v>20974</v>
      </c>
      <c r="K1024" s="30">
        <v>20626</v>
      </c>
      <c r="L1024" s="30">
        <v>20251</v>
      </c>
      <c r="M1024" s="30">
        <v>20088</v>
      </c>
      <c r="N1024" s="30">
        <v>19901</v>
      </c>
      <c r="O1024" s="24" t="str">
        <f t="shared" si="31"/>
        <v>Clay County, Kentucky</v>
      </c>
    </row>
    <row r="1025" spans="1:15" x14ac:dyDescent="0.25">
      <c r="A1025" s="35" t="s">
        <v>1501</v>
      </c>
      <c r="B1025" s="28" t="str">
        <f t="shared" si="30"/>
        <v>Clinton</v>
      </c>
      <c r="C1025" s="30">
        <v>10272</v>
      </c>
      <c r="D1025" s="30">
        <v>10267</v>
      </c>
      <c r="E1025" s="30">
        <v>10244</v>
      </c>
      <c r="F1025" s="30">
        <v>10158</v>
      </c>
      <c r="G1025" s="30">
        <v>10270</v>
      </c>
      <c r="H1025" s="30">
        <v>10175</v>
      </c>
      <c r="I1025" s="30">
        <v>10203</v>
      </c>
      <c r="J1025" s="30">
        <v>10183</v>
      </c>
      <c r="K1025" s="30">
        <v>10200</v>
      </c>
      <c r="L1025" s="30">
        <v>10212</v>
      </c>
      <c r="M1025" s="30">
        <v>10152</v>
      </c>
      <c r="N1025" s="30">
        <v>10218</v>
      </c>
      <c r="O1025" s="24" t="str">
        <f t="shared" si="31"/>
        <v>Clinton County, Kentucky</v>
      </c>
    </row>
    <row r="1026" spans="1:15" x14ac:dyDescent="0.25">
      <c r="A1026" s="35" t="s">
        <v>1502</v>
      </c>
      <c r="B1026" s="28" t="str">
        <f t="shared" si="30"/>
        <v>Crittenden</v>
      </c>
      <c r="C1026" s="30">
        <v>9315</v>
      </c>
      <c r="D1026" s="30">
        <v>9315</v>
      </c>
      <c r="E1026" s="30">
        <v>9297</v>
      </c>
      <c r="F1026" s="30">
        <v>9249</v>
      </c>
      <c r="G1026" s="30">
        <v>9220</v>
      </c>
      <c r="H1026" s="30">
        <v>9178</v>
      </c>
      <c r="I1026" s="30">
        <v>9175</v>
      </c>
      <c r="J1026" s="30">
        <v>9168</v>
      </c>
      <c r="K1026" s="30">
        <v>9131</v>
      </c>
      <c r="L1026" s="30">
        <v>8999</v>
      </c>
      <c r="M1026" s="30">
        <v>8896</v>
      </c>
      <c r="N1026" s="30">
        <v>8806</v>
      </c>
      <c r="O1026" s="24" t="str">
        <f t="shared" si="31"/>
        <v>Crittenden County, Kentucky</v>
      </c>
    </row>
    <row r="1027" spans="1:15" x14ac:dyDescent="0.25">
      <c r="A1027" s="35" t="s">
        <v>1503</v>
      </c>
      <c r="B1027" s="28" t="str">
        <f t="shared" si="30"/>
        <v>Cumberland</v>
      </c>
      <c r="C1027" s="30">
        <v>6856</v>
      </c>
      <c r="D1027" s="30">
        <v>6849</v>
      </c>
      <c r="E1027" s="30">
        <v>6864</v>
      </c>
      <c r="F1027" s="30">
        <v>6870</v>
      </c>
      <c r="G1027" s="30">
        <v>6855</v>
      </c>
      <c r="H1027" s="30">
        <v>6790</v>
      </c>
      <c r="I1027" s="30">
        <v>6722</v>
      </c>
      <c r="J1027" s="30">
        <v>6737</v>
      </c>
      <c r="K1027" s="30">
        <v>6731</v>
      </c>
      <c r="L1027" s="30">
        <v>6710</v>
      </c>
      <c r="M1027" s="30">
        <v>6693</v>
      </c>
      <c r="N1027" s="30">
        <v>6614</v>
      </c>
      <c r="O1027" s="24" t="str">
        <f t="shared" si="31"/>
        <v>Cumberland County, Kentucky</v>
      </c>
    </row>
    <row r="1028" spans="1:15" x14ac:dyDescent="0.25">
      <c r="A1028" s="35" t="s">
        <v>1504</v>
      </c>
      <c r="B1028" s="28" t="str">
        <f t="shared" si="30"/>
        <v>Daviess</v>
      </c>
      <c r="C1028" s="30">
        <v>96656</v>
      </c>
      <c r="D1028" s="30">
        <v>96641</v>
      </c>
      <c r="E1028" s="30">
        <v>96704</v>
      </c>
      <c r="F1028" s="30">
        <v>97159</v>
      </c>
      <c r="G1028" s="30">
        <v>97840</v>
      </c>
      <c r="H1028" s="30">
        <v>98294</v>
      </c>
      <c r="I1028" s="30">
        <v>98441</v>
      </c>
      <c r="J1028" s="30">
        <v>99485</v>
      </c>
      <c r="K1028" s="30">
        <v>100032</v>
      </c>
      <c r="L1028" s="30">
        <v>100461</v>
      </c>
      <c r="M1028" s="30">
        <v>100883</v>
      </c>
      <c r="N1028" s="30">
        <v>101511</v>
      </c>
      <c r="O1028" s="24" t="str">
        <f t="shared" si="31"/>
        <v>Daviess County, Kentucky</v>
      </c>
    </row>
    <row r="1029" spans="1:15" x14ac:dyDescent="0.25">
      <c r="A1029" s="35" t="s">
        <v>1505</v>
      </c>
      <c r="B1029" s="28" t="str">
        <f t="shared" si="30"/>
        <v>Edmonson</v>
      </c>
      <c r="C1029" s="30">
        <v>12161</v>
      </c>
      <c r="D1029" s="30">
        <v>12177</v>
      </c>
      <c r="E1029" s="30">
        <v>12228</v>
      </c>
      <c r="F1029" s="30">
        <v>12229</v>
      </c>
      <c r="G1029" s="30">
        <v>12091</v>
      </c>
      <c r="H1029" s="30">
        <v>12058</v>
      </c>
      <c r="I1029" s="30">
        <v>12007</v>
      </c>
      <c r="J1029" s="30">
        <v>11991</v>
      </c>
      <c r="K1029" s="30">
        <v>12076</v>
      </c>
      <c r="L1029" s="30">
        <v>12226</v>
      </c>
      <c r="M1029" s="30">
        <v>12249</v>
      </c>
      <c r="N1029" s="30">
        <v>12150</v>
      </c>
      <c r="O1029" s="24" t="str">
        <f t="shared" si="31"/>
        <v>Edmonson County, Kentucky</v>
      </c>
    </row>
    <row r="1030" spans="1:15" x14ac:dyDescent="0.25">
      <c r="A1030" s="35" t="s">
        <v>1506</v>
      </c>
      <c r="B1030" s="28" t="str">
        <f t="shared" si="30"/>
        <v>Elliott</v>
      </c>
      <c r="C1030" s="30">
        <v>7852</v>
      </c>
      <c r="D1030" s="30">
        <v>7850</v>
      </c>
      <c r="E1030" s="30">
        <v>7843</v>
      </c>
      <c r="F1030" s="30">
        <v>7782</v>
      </c>
      <c r="G1030" s="30">
        <v>7633</v>
      </c>
      <c r="H1030" s="30">
        <v>7551</v>
      </c>
      <c r="I1030" s="30">
        <v>7532</v>
      </c>
      <c r="J1030" s="30">
        <v>7548</v>
      </c>
      <c r="K1030" s="30">
        <v>7491</v>
      </c>
      <c r="L1030" s="30">
        <v>7493</v>
      </c>
      <c r="M1030" s="30">
        <v>7499</v>
      </c>
      <c r="N1030" s="30">
        <v>7517</v>
      </c>
      <c r="O1030" s="24" t="str">
        <f t="shared" si="31"/>
        <v>Elliott County, Kentucky</v>
      </c>
    </row>
    <row r="1031" spans="1:15" x14ac:dyDescent="0.25">
      <c r="A1031" s="35" t="s">
        <v>1507</v>
      </c>
      <c r="B1031" s="28" t="str">
        <f t="shared" ref="B1031:B1094" si="32">LEFT(A1031,FIND("County",A1031,1)-2)</f>
        <v>Estill</v>
      </c>
      <c r="C1031" s="30">
        <v>14672</v>
      </c>
      <c r="D1031" s="30">
        <v>14679</v>
      </c>
      <c r="E1031" s="30">
        <v>14713</v>
      </c>
      <c r="F1031" s="30">
        <v>14654</v>
      </c>
      <c r="G1031" s="30">
        <v>14503</v>
      </c>
      <c r="H1031" s="30">
        <v>14482</v>
      </c>
      <c r="I1031" s="30">
        <v>14441</v>
      </c>
      <c r="J1031" s="30">
        <v>14373</v>
      </c>
      <c r="K1031" s="30">
        <v>14315</v>
      </c>
      <c r="L1031" s="30">
        <v>14178</v>
      </c>
      <c r="M1031" s="30">
        <v>14150</v>
      </c>
      <c r="N1031" s="30">
        <v>14106</v>
      </c>
      <c r="O1031" s="24" t="str">
        <f t="shared" ref="O1031:O1094" si="33">A1031</f>
        <v>Estill County, Kentucky</v>
      </c>
    </row>
    <row r="1032" spans="1:15" x14ac:dyDescent="0.25">
      <c r="A1032" s="35" t="s">
        <v>1508</v>
      </c>
      <c r="B1032" s="28" t="str">
        <f t="shared" si="32"/>
        <v>Fayette</v>
      </c>
      <c r="C1032" s="30">
        <v>295803</v>
      </c>
      <c r="D1032" s="30">
        <v>295870</v>
      </c>
      <c r="E1032" s="30">
        <v>296848</v>
      </c>
      <c r="F1032" s="30">
        <v>301696</v>
      </c>
      <c r="G1032" s="30">
        <v>305947</v>
      </c>
      <c r="H1032" s="30">
        <v>309865</v>
      </c>
      <c r="I1032" s="30">
        <v>311784</v>
      </c>
      <c r="J1032" s="30">
        <v>315819</v>
      </c>
      <c r="K1032" s="30">
        <v>319644</v>
      </c>
      <c r="L1032" s="30">
        <v>321964</v>
      </c>
      <c r="M1032" s="30">
        <v>322426</v>
      </c>
      <c r="N1032" s="30">
        <v>323152</v>
      </c>
      <c r="O1032" s="24" t="str">
        <f t="shared" si="33"/>
        <v>Fayette County, Kentucky</v>
      </c>
    </row>
    <row r="1033" spans="1:15" x14ac:dyDescent="0.25">
      <c r="A1033" s="35" t="s">
        <v>1509</v>
      </c>
      <c r="B1033" s="28" t="str">
        <f t="shared" si="32"/>
        <v>Fleming</v>
      </c>
      <c r="C1033" s="30">
        <v>14348</v>
      </c>
      <c r="D1033" s="30">
        <v>14346</v>
      </c>
      <c r="E1033" s="30">
        <v>14400</v>
      </c>
      <c r="F1033" s="30">
        <v>14483</v>
      </c>
      <c r="G1033" s="30">
        <v>14525</v>
      </c>
      <c r="H1033" s="30">
        <v>14536</v>
      </c>
      <c r="I1033" s="30">
        <v>14476</v>
      </c>
      <c r="J1033" s="30">
        <v>14578</v>
      </c>
      <c r="K1033" s="30">
        <v>14481</v>
      </c>
      <c r="L1033" s="30">
        <v>14439</v>
      </c>
      <c r="M1033" s="30">
        <v>14485</v>
      </c>
      <c r="N1033" s="30">
        <v>14581</v>
      </c>
      <c r="O1033" s="24" t="str">
        <f t="shared" si="33"/>
        <v>Fleming County, Kentucky</v>
      </c>
    </row>
    <row r="1034" spans="1:15" x14ac:dyDescent="0.25">
      <c r="A1034" s="35" t="s">
        <v>1510</v>
      </c>
      <c r="B1034" s="28" t="str">
        <f t="shared" si="32"/>
        <v>Floyd</v>
      </c>
      <c r="C1034" s="30">
        <v>39451</v>
      </c>
      <c r="D1034" s="30">
        <v>39450</v>
      </c>
      <c r="E1034" s="30">
        <v>39930</v>
      </c>
      <c r="F1034" s="30">
        <v>39752</v>
      </c>
      <c r="G1034" s="30">
        <v>39126</v>
      </c>
      <c r="H1034" s="30">
        <v>38474</v>
      </c>
      <c r="I1034" s="30">
        <v>37998</v>
      </c>
      <c r="J1034" s="30">
        <v>37531</v>
      </c>
      <c r="K1034" s="30">
        <v>36968</v>
      </c>
      <c r="L1034" s="30">
        <v>36296</v>
      </c>
      <c r="M1034" s="30">
        <v>35896</v>
      </c>
      <c r="N1034" s="30">
        <v>35589</v>
      </c>
      <c r="O1034" s="24" t="str">
        <f t="shared" si="33"/>
        <v>Floyd County, Kentucky</v>
      </c>
    </row>
    <row r="1035" spans="1:15" x14ac:dyDescent="0.25">
      <c r="A1035" s="35" t="s">
        <v>1511</v>
      </c>
      <c r="B1035" s="28" t="str">
        <f t="shared" si="32"/>
        <v>Franklin</v>
      </c>
      <c r="C1035" s="30">
        <v>49285</v>
      </c>
      <c r="D1035" s="30">
        <v>49268</v>
      </c>
      <c r="E1035" s="30">
        <v>49253</v>
      </c>
      <c r="F1035" s="30">
        <v>49313</v>
      </c>
      <c r="G1035" s="30">
        <v>49453</v>
      </c>
      <c r="H1035" s="30">
        <v>49478</v>
      </c>
      <c r="I1035" s="30">
        <v>49725</v>
      </c>
      <c r="J1035" s="30">
        <v>50070</v>
      </c>
      <c r="K1035" s="30">
        <v>50292</v>
      </c>
      <c r="L1035" s="30">
        <v>50492</v>
      </c>
      <c r="M1035" s="30">
        <v>50801</v>
      </c>
      <c r="N1035" s="30">
        <v>50991</v>
      </c>
      <c r="O1035" s="24" t="str">
        <f t="shared" si="33"/>
        <v>Franklin County, Kentucky</v>
      </c>
    </row>
    <row r="1036" spans="1:15" x14ac:dyDescent="0.25">
      <c r="A1036" s="35" t="s">
        <v>1512</v>
      </c>
      <c r="B1036" s="28" t="str">
        <f t="shared" si="32"/>
        <v>Fulton</v>
      </c>
      <c r="C1036" s="30">
        <v>6813</v>
      </c>
      <c r="D1036" s="30">
        <v>6813</v>
      </c>
      <c r="E1036" s="30">
        <v>6807</v>
      </c>
      <c r="F1036" s="30">
        <v>6747</v>
      </c>
      <c r="G1036" s="30">
        <v>6564</v>
      </c>
      <c r="H1036" s="30">
        <v>6389</v>
      </c>
      <c r="I1036" s="30">
        <v>6266</v>
      </c>
      <c r="J1036" s="30">
        <v>6266</v>
      </c>
      <c r="K1036" s="30">
        <v>6185</v>
      </c>
      <c r="L1036" s="30">
        <v>6163</v>
      </c>
      <c r="M1036" s="30">
        <v>6066</v>
      </c>
      <c r="N1036" s="30">
        <v>5969</v>
      </c>
      <c r="O1036" s="24" t="str">
        <f t="shared" si="33"/>
        <v>Fulton County, Kentucky</v>
      </c>
    </row>
    <row r="1037" spans="1:15" x14ac:dyDescent="0.25">
      <c r="A1037" s="35" t="s">
        <v>1513</v>
      </c>
      <c r="B1037" s="28" t="str">
        <f t="shared" si="32"/>
        <v>Gallatin</v>
      </c>
      <c r="C1037" s="30">
        <v>8589</v>
      </c>
      <c r="D1037" s="30">
        <v>8586</v>
      </c>
      <c r="E1037" s="30">
        <v>8612</v>
      </c>
      <c r="F1037" s="30">
        <v>8619</v>
      </c>
      <c r="G1037" s="30">
        <v>8552</v>
      </c>
      <c r="H1037" s="30">
        <v>8578</v>
      </c>
      <c r="I1037" s="30">
        <v>8636</v>
      </c>
      <c r="J1037" s="30">
        <v>8613</v>
      </c>
      <c r="K1037" s="30">
        <v>8719</v>
      </c>
      <c r="L1037" s="30">
        <v>8720</v>
      </c>
      <c r="M1037" s="30">
        <v>8766</v>
      </c>
      <c r="N1037" s="30">
        <v>8869</v>
      </c>
      <c r="O1037" s="24" t="str">
        <f t="shared" si="33"/>
        <v>Gallatin County, Kentucky</v>
      </c>
    </row>
    <row r="1038" spans="1:15" x14ac:dyDescent="0.25">
      <c r="A1038" s="35" t="s">
        <v>1514</v>
      </c>
      <c r="B1038" s="28" t="str">
        <f t="shared" si="32"/>
        <v>Garrard</v>
      </c>
      <c r="C1038" s="30">
        <v>16912</v>
      </c>
      <c r="D1038" s="30">
        <v>16905</v>
      </c>
      <c r="E1038" s="30">
        <v>16941</v>
      </c>
      <c r="F1038" s="30">
        <v>16868</v>
      </c>
      <c r="G1038" s="30">
        <v>17006</v>
      </c>
      <c r="H1038" s="30">
        <v>16992</v>
      </c>
      <c r="I1038" s="30">
        <v>16972</v>
      </c>
      <c r="J1038" s="30">
        <v>17207</v>
      </c>
      <c r="K1038" s="30">
        <v>17382</v>
      </c>
      <c r="L1038" s="30">
        <v>17449</v>
      </c>
      <c r="M1038" s="30">
        <v>17519</v>
      </c>
      <c r="N1038" s="30">
        <v>17666</v>
      </c>
      <c r="O1038" s="24" t="str">
        <f t="shared" si="33"/>
        <v>Garrard County, Kentucky</v>
      </c>
    </row>
    <row r="1039" spans="1:15" x14ac:dyDescent="0.25">
      <c r="A1039" s="35" t="s">
        <v>1515</v>
      </c>
      <c r="B1039" s="28" t="str">
        <f t="shared" si="32"/>
        <v>Grant</v>
      </c>
      <c r="C1039" s="30">
        <v>24662</v>
      </c>
      <c r="D1039" s="30">
        <v>24655</v>
      </c>
      <c r="E1039" s="30">
        <v>24677</v>
      </c>
      <c r="F1039" s="30">
        <v>24765</v>
      </c>
      <c r="G1039" s="30">
        <v>24521</v>
      </c>
      <c r="H1039" s="30">
        <v>24565</v>
      </c>
      <c r="I1039" s="30">
        <v>24829</v>
      </c>
      <c r="J1039" s="30">
        <v>24736</v>
      </c>
      <c r="K1039" s="30">
        <v>24910</v>
      </c>
      <c r="L1039" s="30">
        <v>24973</v>
      </c>
      <c r="M1039" s="30">
        <v>25065</v>
      </c>
      <c r="N1039" s="30">
        <v>25069</v>
      </c>
      <c r="O1039" s="24" t="str">
        <f t="shared" si="33"/>
        <v>Grant County, Kentucky</v>
      </c>
    </row>
    <row r="1040" spans="1:15" x14ac:dyDescent="0.25">
      <c r="A1040" s="35" t="s">
        <v>1516</v>
      </c>
      <c r="B1040" s="28" t="str">
        <f t="shared" si="32"/>
        <v>Graves</v>
      </c>
      <c r="C1040" s="30">
        <v>37121</v>
      </c>
      <c r="D1040" s="30">
        <v>37151</v>
      </c>
      <c r="E1040" s="30">
        <v>37262</v>
      </c>
      <c r="F1040" s="30">
        <v>37613</v>
      </c>
      <c r="G1040" s="30">
        <v>37566</v>
      </c>
      <c r="H1040" s="30">
        <v>37406</v>
      </c>
      <c r="I1040" s="30">
        <v>37583</v>
      </c>
      <c r="J1040" s="30">
        <v>37248</v>
      </c>
      <c r="K1040" s="30">
        <v>37217</v>
      </c>
      <c r="L1040" s="30">
        <v>37190</v>
      </c>
      <c r="M1040" s="30">
        <v>37319</v>
      </c>
      <c r="N1040" s="30">
        <v>37266</v>
      </c>
      <c r="O1040" s="24" t="str">
        <f t="shared" si="33"/>
        <v>Graves County, Kentucky</v>
      </c>
    </row>
    <row r="1041" spans="1:15" x14ac:dyDescent="0.25">
      <c r="A1041" s="35" t="s">
        <v>1517</v>
      </c>
      <c r="B1041" s="28" t="str">
        <f t="shared" si="32"/>
        <v>Grayson</v>
      </c>
      <c r="C1041" s="30">
        <v>25746</v>
      </c>
      <c r="D1041" s="30">
        <v>25749</v>
      </c>
      <c r="E1041" s="30">
        <v>25786</v>
      </c>
      <c r="F1041" s="30">
        <v>25752</v>
      </c>
      <c r="G1041" s="30">
        <v>25792</v>
      </c>
      <c r="H1041" s="30">
        <v>25948</v>
      </c>
      <c r="I1041" s="30">
        <v>26066</v>
      </c>
      <c r="J1041" s="30">
        <v>26138</v>
      </c>
      <c r="K1041" s="30">
        <v>26093</v>
      </c>
      <c r="L1041" s="30">
        <v>26286</v>
      </c>
      <c r="M1041" s="30">
        <v>26293</v>
      </c>
      <c r="N1041" s="30">
        <v>26427</v>
      </c>
      <c r="O1041" s="24" t="str">
        <f t="shared" si="33"/>
        <v>Grayson County, Kentucky</v>
      </c>
    </row>
    <row r="1042" spans="1:15" x14ac:dyDescent="0.25">
      <c r="A1042" s="35" t="s">
        <v>1518</v>
      </c>
      <c r="B1042" s="28" t="str">
        <f t="shared" si="32"/>
        <v>Green</v>
      </c>
      <c r="C1042" s="30">
        <v>11258</v>
      </c>
      <c r="D1042" s="30">
        <v>11255</v>
      </c>
      <c r="E1042" s="30">
        <v>11230</v>
      </c>
      <c r="F1042" s="30">
        <v>11191</v>
      </c>
      <c r="G1042" s="30">
        <v>11277</v>
      </c>
      <c r="H1042" s="30">
        <v>11154</v>
      </c>
      <c r="I1042" s="30">
        <v>11017</v>
      </c>
      <c r="J1042" s="30">
        <v>10951</v>
      </c>
      <c r="K1042" s="30">
        <v>10969</v>
      </c>
      <c r="L1042" s="30">
        <v>11036</v>
      </c>
      <c r="M1042" s="30">
        <v>10998</v>
      </c>
      <c r="N1042" s="30">
        <v>10941</v>
      </c>
      <c r="O1042" s="24" t="str">
        <f t="shared" si="33"/>
        <v>Green County, Kentucky</v>
      </c>
    </row>
    <row r="1043" spans="1:15" x14ac:dyDescent="0.25">
      <c r="A1043" s="35" t="s">
        <v>1519</v>
      </c>
      <c r="B1043" s="28" t="str">
        <f t="shared" si="32"/>
        <v>Greenup</v>
      </c>
      <c r="C1043" s="30">
        <v>36910</v>
      </c>
      <c r="D1043" s="30">
        <v>36906</v>
      </c>
      <c r="E1043" s="30">
        <v>36885</v>
      </c>
      <c r="F1043" s="30">
        <v>36841</v>
      </c>
      <c r="G1043" s="30">
        <v>36686</v>
      </c>
      <c r="H1043" s="30">
        <v>36483</v>
      </c>
      <c r="I1043" s="30">
        <v>36303</v>
      </c>
      <c r="J1043" s="30">
        <v>36006</v>
      </c>
      <c r="K1043" s="30">
        <v>35824</v>
      </c>
      <c r="L1043" s="30">
        <v>35514</v>
      </c>
      <c r="M1043" s="30">
        <v>35332</v>
      </c>
      <c r="N1043" s="30">
        <v>35098</v>
      </c>
      <c r="O1043" s="24" t="str">
        <f t="shared" si="33"/>
        <v>Greenup County, Kentucky</v>
      </c>
    </row>
    <row r="1044" spans="1:15" x14ac:dyDescent="0.25">
      <c r="A1044" s="35" t="s">
        <v>1520</v>
      </c>
      <c r="B1044" s="28" t="str">
        <f t="shared" si="32"/>
        <v>Hancock</v>
      </c>
      <c r="C1044" s="30">
        <v>8565</v>
      </c>
      <c r="D1044" s="30">
        <v>8565</v>
      </c>
      <c r="E1044" s="30">
        <v>8551</v>
      </c>
      <c r="F1044" s="30">
        <v>8588</v>
      </c>
      <c r="G1044" s="30">
        <v>8642</v>
      </c>
      <c r="H1044" s="30">
        <v>8626</v>
      </c>
      <c r="I1044" s="30">
        <v>8681</v>
      </c>
      <c r="J1044" s="30">
        <v>8641</v>
      </c>
      <c r="K1044" s="30">
        <v>8723</v>
      </c>
      <c r="L1044" s="30">
        <v>8778</v>
      </c>
      <c r="M1044" s="30">
        <v>8738</v>
      </c>
      <c r="N1044" s="30">
        <v>8722</v>
      </c>
      <c r="O1044" s="24" t="str">
        <f t="shared" si="33"/>
        <v>Hancock County, Kentucky</v>
      </c>
    </row>
    <row r="1045" spans="1:15" x14ac:dyDescent="0.25">
      <c r="A1045" s="35" t="s">
        <v>1521</v>
      </c>
      <c r="B1045" s="28" t="str">
        <f t="shared" si="32"/>
        <v>Hardin</v>
      </c>
      <c r="C1045" s="30">
        <v>105543</v>
      </c>
      <c r="D1045" s="30">
        <v>105537</v>
      </c>
      <c r="E1045" s="30">
        <v>106950</v>
      </c>
      <c r="F1045" s="30">
        <v>107497</v>
      </c>
      <c r="G1045" s="30">
        <v>108198</v>
      </c>
      <c r="H1045" s="30">
        <v>108969</v>
      </c>
      <c r="I1045" s="30">
        <v>108483</v>
      </c>
      <c r="J1045" s="30">
        <v>106272</v>
      </c>
      <c r="K1045" s="30">
        <v>106964</v>
      </c>
      <c r="L1045" s="30">
        <v>108161</v>
      </c>
      <c r="M1045" s="30">
        <v>110279</v>
      </c>
      <c r="N1045" s="30">
        <v>110958</v>
      </c>
      <c r="O1045" s="24" t="str">
        <f t="shared" si="33"/>
        <v>Hardin County, Kentucky</v>
      </c>
    </row>
    <row r="1046" spans="1:15" x14ac:dyDescent="0.25">
      <c r="A1046" s="35" t="s">
        <v>1522</v>
      </c>
      <c r="B1046" s="28" t="str">
        <f t="shared" si="32"/>
        <v>Harlan</v>
      </c>
      <c r="C1046" s="30">
        <v>29278</v>
      </c>
      <c r="D1046" s="30">
        <v>29278</v>
      </c>
      <c r="E1046" s="30">
        <v>29222</v>
      </c>
      <c r="F1046" s="30">
        <v>29129</v>
      </c>
      <c r="G1046" s="30">
        <v>28681</v>
      </c>
      <c r="H1046" s="30">
        <v>28489</v>
      </c>
      <c r="I1046" s="30">
        <v>28014</v>
      </c>
      <c r="J1046" s="30">
        <v>27506</v>
      </c>
      <c r="K1046" s="30">
        <v>26996</v>
      </c>
      <c r="L1046" s="30">
        <v>26676</v>
      </c>
      <c r="M1046" s="30">
        <v>26309</v>
      </c>
      <c r="N1046" s="30">
        <v>26010</v>
      </c>
      <c r="O1046" s="24" t="str">
        <f t="shared" si="33"/>
        <v>Harlan County, Kentucky</v>
      </c>
    </row>
    <row r="1047" spans="1:15" x14ac:dyDescent="0.25">
      <c r="A1047" s="35" t="s">
        <v>1523</v>
      </c>
      <c r="B1047" s="28" t="str">
        <f t="shared" si="32"/>
        <v>Harrison</v>
      </c>
      <c r="C1047" s="30">
        <v>18846</v>
      </c>
      <c r="D1047" s="30">
        <v>18850</v>
      </c>
      <c r="E1047" s="30">
        <v>18810</v>
      </c>
      <c r="F1047" s="30">
        <v>18689</v>
      </c>
      <c r="G1047" s="30">
        <v>18622</v>
      </c>
      <c r="H1047" s="30">
        <v>18571</v>
      </c>
      <c r="I1047" s="30">
        <v>18636</v>
      </c>
      <c r="J1047" s="30">
        <v>18641</v>
      </c>
      <c r="K1047" s="30">
        <v>18569</v>
      </c>
      <c r="L1047" s="30">
        <v>18735</v>
      </c>
      <c r="M1047" s="30">
        <v>18780</v>
      </c>
      <c r="N1047" s="30">
        <v>18886</v>
      </c>
      <c r="O1047" s="24" t="str">
        <f t="shared" si="33"/>
        <v>Harrison County, Kentucky</v>
      </c>
    </row>
    <row r="1048" spans="1:15" x14ac:dyDescent="0.25">
      <c r="A1048" s="35" t="s">
        <v>1524</v>
      </c>
      <c r="B1048" s="28" t="str">
        <f t="shared" si="32"/>
        <v>Hart</v>
      </c>
      <c r="C1048" s="30">
        <v>18199</v>
      </c>
      <c r="D1048" s="30">
        <v>18194</v>
      </c>
      <c r="E1048" s="30">
        <v>18188</v>
      </c>
      <c r="F1048" s="30">
        <v>18289</v>
      </c>
      <c r="G1048" s="30">
        <v>18401</v>
      </c>
      <c r="H1048" s="30">
        <v>18464</v>
      </c>
      <c r="I1048" s="30">
        <v>18512</v>
      </c>
      <c r="J1048" s="30">
        <v>18421</v>
      </c>
      <c r="K1048" s="30">
        <v>18541</v>
      </c>
      <c r="L1048" s="30">
        <v>18745</v>
      </c>
      <c r="M1048" s="30">
        <v>18902</v>
      </c>
      <c r="N1048" s="30">
        <v>19035</v>
      </c>
      <c r="O1048" s="24" t="str">
        <f t="shared" si="33"/>
        <v>Hart County, Kentucky</v>
      </c>
    </row>
    <row r="1049" spans="1:15" x14ac:dyDescent="0.25">
      <c r="A1049" s="35" t="s">
        <v>1525</v>
      </c>
      <c r="B1049" s="28" t="str">
        <f t="shared" si="32"/>
        <v>Henderson</v>
      </c>
      <c r="C1049" s="30">
        <v>46250</v>
      </c>
      <c r="D1049" s="30">
        <v>46246</v>
      </c>
      <c r="E1049" s="30">
        <v>46260</v>
      </c>
      <c r="F1049" s="30">
        <v>46334</v>
      </c>
      <c r="G1049" s="30">
        <v>46419</v>
      </c>
      <c r="H1049" s="30">
        <v>46338</v>
      </c>
      <c r="I1049" s="30">
        <v>46366</v>
      </c>
      <c r="J1049" s="30">
        <v>46344</v>
      </c>
      <c r="K1049" s="30">
        <v>46212</v>
      </c>
      <c r="L1049" s="30">
        <v>45867</v>
      </c>
      <c r="M1049" s="30">
        <v>45512</v>
      </c>
      <c r="N1049" s="30">
        <v>45210</v>
      </c>
      <c r="O1049" s="24" t="str">
        <f t="shared" si="33"/>
        <v>Henderson County, Kentucky</v>
      </c>
    </row>
    <row r="1050" spans="1:15" x14ac:dyDescent="0.25">
      <c r="A1050" s="35" t="s">
        <v>1526</v>
      </c>
      <c r="B1050" s="28" t="str">
        <f t="shared" si="32"/>
        <v>Henry</v>
      </c>
      <c r="C1050" s="30">
        <v>15416</v>
      </c>
      <c r="D1050" s="30">
        <v>15413</v>
      </c>
      <c r="E1050" s="30">
        <v>15376</v>
      </c>
      <c r="F1050" s="30">
        <v>15375</v>
      </c>
      <c r="G1050" s="30">
        <v>15336</v>
      </c>
      <c r="H1050" s="30">
        <v>15432</v>
      </c>
      <c r="I1050" s="30">
        <v>15547</v>
      </c>
      <c r="J1050" s="30">
        <v>15563</v>
      </c>
      <c r="K1050" s="30">
        <v>15834</v>
      </c>
      <c r="L1050" s="30">
        <v>15972</v>
      </c>
      <c r="M1050" s="30">
        <v>16061</v>
      </c>
      <c r="N1050" s="30">
        <v>16126</v>
      </c>
      <c r="O1050" s="24" t="str">
        <f t="shared" si="33"/>
        <v>Henry County, Kentucky</v>
      </c>
    </row>
    <row r="1051" spans="1:15" x14ac:dyDescent="0.25">
      <c r="A1051" s="35" t="s">
        <v>1527</v>
      </c>
      <c r="B1051" s="28" t="str">
        <f t="shared" si="32"/>
        <v>Hickman</v>
      </c>
      <c r="C1051" s="30">
        <v>4902</v>
      </c>
      <c r="D1051" s="30">
        <v>4903</v>
      </c>
      <c r="E1051" s="30">
        <v>4860</v>
      </c>
      <c r="F1051" s="30">
        <v>4783</v>
      </c>
      <c r="G1051" s="30">
        <v>4737</v>
      </c>
      <c r="H1051" s="30">
        <v>4708</v>
      </c>
      <c r="I1051" s="30">
        <v>4679</v>
      </c>
      <c r="J1051" s="30">
        <v>4612</v>
      </c>
      <c r="K1051" s="30">
        <v>4607</v>
      </c>
      <c r="L1051" s="30">
        <v>4518</v>
      </c>
      <c r="M1051" s="30">
        <v>4431</v>
      </c>
      <c r="N1051" s="30">
        <v>4380</v>
      </c>
      <c r="O1051" s="24" t="str">
        <f t="shared" si="33"/>
        <v>Hickman County, Kentucky</v>
      </c>
    </row>
    <row r="1052" spans="1:15" x14ac:dyDescent="0.25">
      <c r="A1052" s="35" t="s">
        <v>1528</v>
      </c>
      <c r="B1052" s="28" t="str">
        <f t="shared" si="32"/>
        <v>Hopkins</v>
      </c>
      <c r="C1052" s="30">
        <v>46920</v>
      </c>
      <c r="D1052" s="30">
        <v>46918</v>
      </c>
      <c r="E1052" s="30">
        <v>46841</v>
      </c>
      <c r="F1052" s="30">
        <v>46844</v>
      </c>
      <c r="G1052" s="30">
        <v>46607</v>
      </c>
      <c r="H1052" s="30">
        <v>46424</v>
      </c>
      <c r="I1052" s="30">
        <v>46155</v>
      </c>
      <c r="J1052" s="30">
        <v>46055</v>
      </c>
      <c r="K1052" s="30">
        <v>45598</v>
      </c>
      <c r="L1052" s="30">
        <v>45293</v>
      </c>
      <c r="M1052" s="30">
        <v>45024</v>
      </c>
      <c r="N1052" s="30">
        <v>44686</v>
      </c>
      <c r="O1052" s="24" t="str">
        <f t="shared" si="33"/>
        <v>Hopkins County, Kentucky</v>
      </c>
    </row>
    <row r="1053" spans="1:15" x14ac:dyDescent="0.25">
      <c r="A1053" s="35" t="s">
        <v>1529</v>
      </c>
      <c r="B1053" s="28" t="str">
        <f t="shared" si="32"/>
        <v>Jackson</v>
      </c>
      <c r="C1053" s="30">
        <v>13494</v>
      </c>
      <c r="D1053" s="30">
        <v>13490</v>
      </c>
      <c r="E1053" s="30">
        <v>13480</v>
      </c>
      <c r="F1053" s="30">
        <v>13384</v>
      </c>
      <c r="G1053" s="30">
        <v>13307</v>
      </c>
      <c r="H1053" s="30">
        <v>13391</v>
      </c>
      <c r="I1053" s="30">
        <v>13307</v>
      </c>
      <c r="J1053" s="30">
        <v>13325</v>
      </c>
      <c r="K1053" s="30">
        <v>13364</v>
      </c>
      <c r="L1053" s="30">
        <v>13422</v>
      </c>
      <c r="M1053" s="30">
        <v>13403</v>
      </c>
      <c r="N1053" s="30">
        <v>13329</v>
      </c>
      <c r="O1053" s="24" t="str">
        <f t="shared" si="33"/>
        <v>Jackson County, Kentucky</v>
      </c>
    </row>
    <row r="1054" spans="1:15" x14ac:dyDescent="0.25">
      <c r="A1054" s="35" t="s">
        <v>1530</v>
      </c>
      <c r="B1054" s="28" t="str">
        <f t="shared" si="32"/>
        <v>Jefferson</v>
      </c>
      <c r="C1054" s="30">
        <v>741096</v>
      </c>
      <c r="D1054" s="30">
        <v>741075</v>
      </c>
      <c r="E1054" s="30">
        <v>742054</v>
      </c>
      <c r="F1054" s="30">
        <v>746361</v>
      </c>
      <c r="G1054" s="30">
        <v>751629</v>
      </c>
      <c r="H1054" s="30">
        <v>759183</v>
      </c>
      <c r="I1054" s="30">
        <v>761725</v>
      </c>
      <c r="J1054" s="30">
        <v>764946</v>
      </c>
      <c r="K1054" s="30">
        <v>767464</v>
      </c>
      <c r="L1054" s="30">
        <v>769828</v>
      </c>
      <c r="M1054" s="30">
        <v>768101</v>
      </c>
      <c r="N1054" s="30">
        <v>766757</v>
      </c>
      <c r="O1054" s="24" t="str">
        <f t="shared" si="33"/>
        <v>Jefferson County, Kentucky</v>
      </c>
    </row>
    <row r="1055" spans="1:15" x14ac:dyDescent="0.25">
      <c r="A1055" s="35" t="s">
        <v>1531</v>
      </c>
      <c r="B1055" s="28" t="str">
        <f t="shared" si="32"/>
        <v>Jessamine</v>
      </c>
      <c r="C1055" s="30">
        <v>48586</v>
      </c>
      <c r="D1055" s="30">
        <v>48580</v>
      </c>
      <c r="E1055" s="30">
        <v>48682</v>
      </c>
      <c r="F1055" s="30">
        <v>48892</v>
      </c>
      <c r="G1055" s="30">
        <v>49467</v>
      </c>
      <c r="H1055" s="30">
        <v>50120</v>
      </c>
      <c r="I1055" s="30">
        <v>50871</v>
      </c>
      <c r="J1055" s="30">
        <v>51809</v>
      </c>
      <c r="K1055" s="30">
        <v>52219</v>
      </c>
      <c r="L1055" s="30">
        <v>53259</v>
      </c>
      <c r="M1055" s="30">
        <v>53757</v>
      </c>
      <c r="N1055" s="30">
        <v>54115</v>
      </c>
      <c r="O1055" s="24" t="str">
        <f t="shared" si="33"/>
        <v>Jessamine County, Kentucky</v>
      </c>
    </row>
    <row r="1056" spans="1:15" x14ac:dyDescent="0.25">
      <c r="A1056" s="35" t="s">
        <v>1532</v>
      </c>
      <c r="B1056" s="28" t="str">
        <f t="shared" si="32"/>
        <v>Johnson</v>
      </c>
      <c r="C1056" s="30">
        <v>23356</v>
      </c>
      <c r="D1056" s="30">
        <v>23359</v>
      </c>
      <c r="E1056" s="30">
        <v>23385</v>
      </c>
      <c r="F1056" s="30">
        <v>23417</v>
      </c>
      <c r="G1056" s="30">
        <v>23403</v>
      </c>
      <c r="H1056" s="30">
        <v>23458</v>
      </c>
      <c r="I1056" s="30">
        <v>23252</v>
      </c>
      <c r="J1056" s="30">
        <v>23128</v>
      </c>
      <c r="K1056" s="30">
        <v>22858</v>
      </c>
      <c r="L1056" s="30">
        <v>22606</v>
      </c>
      <c r="M1056" s="30">
        <v>22391</v>
      </c>
      <c r="N1056" s="30">
        <v>22188</v>
      </c>
      <c r="O1056" s="24" t="str">
        <f t="shared" si="33"/>
        <v>Johnson County, Kentucky</v>
      </c>
    </row>
    <row r="1057" spans="1:15" x14ac:dyDescent="0.25">
      <c r="A1057" s="35" t="s">
        <v>1533</v>
      </c>
      <c r="B1057" s="28" t="str">
        <f t="shared" si="32"/>
        <v>Kenton</v>
      </c>
      <c r="C1057" s="30">
        <v>159720</v>
      </c>
      <c r="D1057" s="30">
        <v>159728</v>
      </c>
      <c r="E1057" s="30">
        <v>159961</v>
      </c>
      <c r="F1057" s="30">
        <v>160526</v>
      </c>
      <c r="G1057" s="30">
        <v>161704</v>
      </c>
      <c r="H1057" s="30">
        <v>163131</v>
      </c>
      <c r="I1057" s="30">
        <v>163623</v>
      </c>
      <c r="J1057" s="30">
        <v>164478</v>
      </c>
      <c r="K1057" s="30">
        <v>164962</v>
      </c>
      <c r="L1057" s="30">
        <v>165608</v>
      </c>
      <c r="M1057" s="30">
        <v>166292</v>
      </c>
      <c r="N1057" s="30">
        <v>166998</v>
      </c>
      <c r="O1057" s="24" t="str">
        <f t="shared" si="33"/>
        <v>Kenton County, Kentucky</v>
      </c>
    </row>
    <row r="1058" spans="1:15" x14ac:dyDescent="0.25">
      <c r="A1058" s="35" t="s">
        <v>1534</v>
      </c>
      <c r="B1058" s="28" t="str">
        <f t="shared" si="32"/>
        <v>Knott</v>
      </c>
      <c r="C1058" s="30">
        <v>16346</v>
      </c>
      <c r="D1058" s="30">
        <v>16364</v>
      </c>
      <c r="E1058" s="30">
        <v>16355</v>
      </c>
      <c r="F1058" s="30">
        <v>16312</v>
      </c>
      <c r="G1058" s="30">
        <v>16127</v>
      </c>
      <c r="H1058" s="30">
        <v>16092</v>
      </c>
      <c r="I1058" s="30">
        <v>15944</v>
      </c>
      <c r="J1058" s="30">
        <v>15680</v>
      </c>
      <c r="K1058" s="30">
        <v>15492</v>
      </c>
      <c r="L1058" s="30">
        <v>15244</v>
      </c>
      <c r="M1058" s="30">
        <v>15076</v>
      </c>
      <c r="N1058" s="30">
        <v>14806</v>
      </c>
      <c r="O1058" s="24" t="str">
        <f t="shared" si="33"/>
        <v>Knott County, Kentucky</v>
      </c>
    </row>
    <row r="1059" spans="1:15" x14ac:dyDescent="0.25">
      <c r="A1059" s="35" t="s">
        <v>1535</v>
      </c>
      <c r="B1059" s="28" t="str">
        <f t="shared" si="32"/>
        <v>Knox</v>
      </c>
      <c r="C1059" s="30">
        <v>31883</v>
      </c>
      <c r="D1059" s="30">
        <v>31888</v>
      </c>
      <c r="E1059" s="30">
        <v>31851</v>
      </c>
      <c r="F1059" s="30">
        <v>31878</v>
      </c>
      <c r="G1059" s="30">
        <v>31494</v>
      </c>
      <c r="H1059" s="30">
        <v>31638</v>
      </c>
      <c r="I1059" s="30">
        <v>31540</v>
      </c>
      <c r="J1059" s="30">
        <v>31465</v>
      </c>
      <c r="K1059" s="30">
        <v>31471</v>
      </c>
      <c r="L1059" s="30">
        <v>31444</v>
      </c>
      <c r="M1059" s="30">
        <v>31300</v>
      </c>
      <c r="N1059" s="30">
        <v>31145</v>
      </c>
      <c r="O1059" s="24" t="str">
        <f t="shared" si="33"/>
        <v>Knox County, Kentucky</v>
      </c>
    </row>
    <row r="1060" spans="1:15" x14ac:dyDescent="0.25">
      <c r="A1060" s="35" t="s">
        <v>1536</v>
      </c>
      <c r="B1060" s="28" t="str">
        <f t="shared" si="32"/>
        <v>Larue</v>
      </c>
      <c r="C1060" s="30">
        <v>14193</v>
      </c>
      <c r="D1060" s="30">
        <v>14181</v>
      </c>
      <c r="E1060" s="30">
        <v>14169</v>
      </c>
      <c r="F1060" s="30">
        <v>14179</v>
      </c>
      <c r="G1060" s="30">
        <v>14048</v>
      </c>
      <c r="H1060" s="30">
        <v>14019</v>
      </c>
      <c r="I1060" s="30">
        <v>14106</v>
      </c>
      <c r="J1060" s="30">
        <v>14110</v>
      </c>
      <c r="K1060" s="30">
        <v>14018</v>
      </c>
      <c r="L1060" s="30">
        <v>14196</v>
      </c>
      <c r="M1060" s="30">
        <v>14299</v>
      </c>
      <c r="N1060" s="30">
        <v>14398</v>
      </c>
      <c r="O1060" s="24" t="str">
        <f t="shared" si="33"/>
        <v>Larue County, Kentucky</v>
      </c>
    </row>
    <row r="1061" spans="1:15" x14ac:dyDescent="0.25">
      <c r="A1061" s="35" t="s">
        <v>1537</v>
      </c>
      <c r="B1061" s="28" t="str">
        <f t="shared" si="32"/>
        <v>Laurel</v>
      </c>
      <c r="C1061" s="30">
        <v>58849</v>
      </c>
      <c r="D1061" s="30">
        <v>58849</v>
      </c>
      <c r="E1061" s="30">
        <v>58998</v>
      </c>
      <c r="F1061" s="30">
        <v>59359</v>
      </c>
      <c r="G1061" s="30">
        <v>59534</v>
      </c>
      <c r="H1061" s="30">
        <v>59701</v>
      </c>
      <c r="I1061" s="30">
        <v>59897</v>
      </c>
      <c r="J1061" s="30">
        <v>59919</v>
      </c>
      <c r="K1061" s="30">
        <v>60078</v>
      </c>
      <c r="L1061" s="30">
        <v>60317</v>
      </c>
      <c r="M1061" s="30">
        <v>60660</v>
      </c>
      <c r="N1061" s="30">
        <v>60813</v>
      </c>
      <c r="O1061" s="24" t="str">
        <f t="shared" si="33"/>
        <v>Laurel County, Kentucky</v>
      </c>
    </row>
    <row r="1062" spans="1:15" x14ac:dyDescent="0.25">
      <c r="A1062" s="35" t="s">
        <v>1538</v>
      </c>
      <c r="B1062" s="28" t="str">
        <f t="shared" si="32"/>
        <v>Lawrence</v>
      </c>
      <c r="C1062" s="30">
        <v>15860</v>
      </c>
      <c r="D1062" s="30">
        <v>15859</v>
      </c>
      <c r="E1062" s="30">
        <v>15866</v>
      </c>
      <c r="F1062" s="30">
        <v>15941</v>
      </c>
      <c r="G1062" s="30">
        <v>15891</v>
      </c>
      <c r="H1062" s="30">
        <v>15901</v>
      </c>
      <c r="I1062" s="30">
        <v>15878</v>
      </c>
      <c r="J1062" s="30">
        <v>15861</v>
      </c>
      <c r="K1062" s="30">
        <v>15839</v>
      </c>
      <c r="L1062" s="30">
        <v>15756</v>
      </c>
      <c r="M1062" s="30">
        <v>15583</v>
      </c>
      <c r="N1062" s="30">
        <v>15317</v>
      </c>
      <c r="O1062" s="24" t="str">
        <f t="shared" si="33"/>
        <v>Lawrence County, Kentucky</v>
      </c>
    </row>
    <row r="1063" spans="1:15" x14ac:dyDescent="0.25">
      <c r="A1063" s="35" t="s">
        <v>1539</v>
      </c>
      <c r="B1063" s="28" t="str">
        <f t="shared" si="32"/>
        <v>Lee</v>
      </c>
      <c r="C1063" s="30">
        <v>7887</v>
      </c>
      <c r="D1063" s="30">
        <v>7887</v>
      </c>
      <c r="E1063" s="30">
        <v>7717</v>
      </c>
      <c r="F1063" s="30">
        <v>7707</v>
      </c>
      <c r="G1063" s="30">
        <v>7581</v>
      </c>
      <c r="H1063" s="30">
        <v>6876</v>
      </c>
      <c r="I1063" s="30">
        <v>6796</v>
      </c>
      <c r="J1063" s="30">
        <v>6746</v>
      </c>
      <c r="K1063" s="30">
        <v>6604</v>
      </c>
      <c r="L1063" s="30">
        <v>6602</v>
      </c>
      <c r="M1063" s="30">
        <v>7052</v>
      </c>
      <c r="N1063" s="30">
        <v>7403</v>
      </c>
      <c r="O1063" s="24" t="str">
        <f t="shared" si="33"/>
        <v>Lee County, Kentucky</v>
      </c>
    </row>
    <row r="1064" spans="1:15" x14ac:dyDescent="0.25">
      <c r="A1064" s="35" t="s">
        <v>1540</v>
      </c>
      <c r="B1064" s="28" t="str">
        <f t="shared" si="32"/>
        <v>Leslie</v>
      </c>
      <c r="C1064" s="30">
        <v>11310</v>
      </c>
      <c r="D1064" s="30">
        <v>11310</v>
      </c>
      <c r="E1064" s="30">
        <v>11278</v>
      </c>
      <c r="F1064" s="30">
        <v>11237</v>
      </c>
      <c r="G1064" s="30">
        <v>11140</v>
      </c>
      <c r="H1064" s="30">
        <v>10985</v>
      </c>
      <c r="I1064" s="30">
        <v>10830</v>
      </c>
      <c r="J1064" s="30">
        <v>10644</v>
      </c>
      <c r="K1064" s="30">
        <v>10431</v>
      </c>
      <c r="L1064" s="30">
        <v>10310</v>
      </c>
      <c r="M1064" s="30">
        <v>10151</v>
      </c>
      <c r="N1064" s="30">
        <v>9877</v>
      </c>
      <c r="O1064" s="24" t="str">
        <f t="shared" si="33"/>
        <v>Leslie County, Kentucky</v>
      </c>
    </row>
    <row r="1065" spans="1:15" x14ac:dyDescent="0.25">
      <c r="A1065" s="35" t="s">
        <v>1541</v>
      </c>
      <c r="B1065" s="28" t="str">
        <f t="shared" si="32"/>
        <v>Letcher</v>
      </c>
      <c r="C1065" s="30">
        <v>24519</v>
      </c>
      <c r="D1065" s="30">
        <v>24511</v>
      </c>
      <c r="E1065" s="30">
        <v>24534</v>
      </c>
      <c r="F1065" s="30">
        <v>24376</v>
      </c>
      <c r="G1065" s="30">
        <v>24011</v>
      </c>
      <c r="H1065" s="30">
        <v>23540</v>
      </c>
      <c r="I1065" s="30">
        <v>23357</v>
      </c>
      <c r="J1065" s="30">
        <v>23049</v>
      </c>
      <c r="K1065" s="30">
        <v>22759</v>
      </c>
      <c r="L1065" s="30">
        <v>22303</v>
      </c>
      <c r="M1065" s="30">
        <v>21813</v>
      </c>
      <c r="N1065" s="30">
        <v>21553</v>
      </c>
      <c r="O1065" s="24" t="str">
        <f t="shared" si="33"/>
        <v>Letcher County, Kentucky</v>
      </c>
    </row>
    <row r="1066" spans="1:15" x14ac:dyDescent="0.25">
      <c r="A1066" s="35" t="s">
        <v>1542</v>
      </c>
      <c r="B1066" s="28" t="str">
        <f t="shared" si="32"/>
        <v>Lewis</v>
      </c>
      <c r="C1066" s="30">
        <v>13870</v>
      </c>
      <c r="D1066" s="30">
        <v>13883</v>
      </c>
      <c r="E1066" s="30">
        <v>13837</v>
      </c>
      <c r="F1066" s="30">
        <v>13837</v>
      </c>
      <c r="G1066" s="30">
        <v>13839</v>
      </c>
      <c r="H1066" s="30">
        <v>13751</v>
      </c>
      <c r="I1066" s="30">
        <v>13830</v>
      </c>
      <c r="J1066" s="30">
        <v>13663</v>
      </c>
      <c r="K1066" s="30">
        <v>13516</v>
      </c>
      <c r="L1066" s="30">
        <v>13363</v>
      </c>
      <c r="M1066" s="30">
        <v>13268</v>
      </c>
      <c r="N1066" s="30">
        <v>13275</v>
      </c>
      <c r="O1066" s="24" t="str">
        <f t="shared" si="33"/>
        <v>Lewis County, Kentucky</v>
      </c>
    </row>
    <row r="1067" spans="1:15" x14ac:dyDescent="0.25">
      <c r="A1067" s="35" t="s">
        <v>1543</v>
      </c>
      <c r="B1067" s="28" t="str">
        <f t="shared" si="32"/>
        <v>Lincoln</v>
      </c>
      <c r="C1067" s="30">
        <v>24742</v>
      </c>
      <c r="D1067" s="30">
        <v>24736</v>
      </c>
      <c r="E1067" s="30">
        <v>24724</v>
      </c>
      <c r="F1067" s="30">
        <v>24721</v>
      </c>
      <c r="G1067" s="30">
        <v>24404</v>
      </c>
      <c r="H1067" s="30">
        <v>24438</v>
      </c>
      <c r="I1067" s="30">
        <v>24429</v>
      </c>
      <c r="J1067" s="30">
        <v>24342</v>
      </c>
      <c r="K1067" s="30">
        <v>24382</v>
      </c>
      <c r="L1067" s="30">
        <v>24495</v>
      </c>
      <c r="M1067" s="30">
        <v>24612</v>
      </c>
      <c r="N1067" s="30">
        <v>24549</v>
      </c>
      <c r="O1067" s="24" t="str">
        <f t="shared" si="33"/>
        <v>Lincoln County, Kentucky</v>
      </c>
    </row>
    <row r="1068" spans="1:15" x14ac:dyDescent="0.25">
      <c r="A1068" s="35" t="s">
        <v>1544</v>
      </c>
      <c r="B1068" s="28" t="str">
        <f t="shared" si="32"/>
        <v>Livingston</v>
      </c>
      <c r="C1068" s="30">
        <v>9519</v>
      </c>
      <c r="D1068" s="30">
        <v>9519</v>
      </c>
      <c r="E1068" s="30">
        <v>9520</v>
      </c>
      <c r="F1068" s="30">
        <v>9502</v>
      </c>
      <c r="G1068" s="30">
        <v>9435</v>
      </c>
      <c r="H1068" s="30">
        <v>9332</v>
      </c>
      <c r="I1068" s="30">
        <v>9329</v>
      </c>
      <c r="J1068" s="30">
        <v>9289</v>
      </c>
      <c r="K1068" s="30">
        <v>9198</v>
      </c>
      <c r="L1068" s="30">
        <v>9249</v>
      </c>
      <c r="M1068" s="30">
        <v>9244</v>
      </c>
      <c r="N1068" s="30">
        <v>9194</v>
      </c>
      <c r="O1068" s="24" t="str">
        <f t="shared" si="33"/>
        <v>Livingston County, Kentucky</v>
      </c>
    </row>
    <row r="1069" spans="1:15" x14ac:dyDescent="0.25">
      <c r="A1069" s="35" t="s">
        <v>1545</v>
      </c>
      <c r="B1069" s="28" t="str">
        <f t="shared" si="32"/>
        <v>Logan</v>
      </c>
      <c r="C1069" s="30">
        <v>26835</v>
      </c>
      <c r="D1069" s="30">
        <v>26832</v>
      </c>
      <c r="E1069" s="30">
        <v>26851</v>
      </c>
      <c r="F1069" s="30">
        <v>26847</v>
      </c>
      <c r="G1069" s="30">
        <v>26722</v>
      </c>
      <c r="H1069" s="30">
        <v>26976</v>
      </c>
      <c r="I1069" s="30">
        <v>26812</v>
      </c>
      <c r="J1069" s="30">
        <v>26746</v>
      </c>
      <c r="K1069" s="30">
        <v>26678</v>
      </c>
      <c r="L1069" s="30">
        <v>27003</v>
      </c>
      <c r="M1069" s="30">
        <v>26983</v>
      </c>
      <c r="N1069" s="30">
        <v>27102</v>
      </c>
      <c r="O1069" s="24" t="str">
        <f t="shared" si="33"/>
        <v>Logan County, Kentucky</v>
      </c>
    </row>
    <row r="1070" spans="1:15" x14ac:dyDescent="0.25">
      <c r="A1070" s="35" t="s">
        <v>1546</v>
      </c>
      <c r="B1070" s="28" t="str">
        <f t="shared" si="32"/>
        <v>Lyon</v>
      </c>
      <c r="C1070" s="30">
        <v>8314</v>
      </c>
      <c r="D1070" s="30">
        <v>8319</v>
      </c>
      <c r="E1070" s="30">
        <v>8329</v>
      </c>
      <c r="F1070" s="30">
        <v>8435</v>
      </c>
      <c r="G1070" s="30">
        <v>8446</v>
      </c>
      <c r="H1070" s="30">
        <v>8452</v>
      </c>
      <c r="I1070" s="30">
        <v>8411</v>
      </c>
      <c r="J1070" s="30">
        <v>8474</v>
      </c>
      <c r="K1070" s="30">
        <v>8238</v>
      </c>
      <c r="L1070" s="30">
        <v>8261</v>
      </c>
      <c r="M1070" s="30">
        <v>8171</v>
      </c>
      <c r="N1070" s="30">
        <v>8210</v>
      </c>
      <c r="O1070" s="24" t="str">
        <f t="shared" si="33"/>
        <v>Lyon County, Kentucky</v>
      </c>
    </row>
    <row r="1071" spans="1:15" x14ac:dyDescent="0.25">
      <c r="A1071" s="35" t="s">
        <v>1547</v>
      </c>
      <c r="B1071" s="28" t="str">
        <f t="shared" si="32"/>
        <v>McCracken</v>
      </c>
      <c r="C1071" s="30">
        <v>65565</v>
      </c>
      <c r="D1071" s="30">
        <v>65539</v>
      </c>
      <c r="E1071" s="30">
        <v>65515</v>
      </c>
      <c r="F1071" s="30">
        <v>65794</v>
      </c>
      <c r="G1071" s="30">
        <v>65584</v>
      </c>
      <c r="H1071" s="30">
        <v>65337</v>
      </c>
      <c r="I1071" s="30">
        <v>65318</v>
      </c>
      <c r="J1071" s="30">
        <v>64948</v>
      </c>
      <c r="K1071" s="30">
        <v>65304</v>
      </c>
      <c r="L1071" s="30">
        <v>65364</v>
      </c>
      <c r="M1071" s="30">
        <v>65307</v>
      </c>
      <c r="N1071" s="30">
        <v>65418</v>
      </c>
      <c r="O1071" s="24" t="str">
        <f t="shared" si="33"/>
        <v>McCracken County, Kentucky</v>
      </c>
    </row>
    <row r="1072" spans="1:15" x14ac:dyDescent="0.25">
      <c r="A1072" s="35" t="s">
        <v>1548</v>
      </c>
      <c r="B1072" s="28" t="str">
        <f t="shared" si="32"/>
        <v>McCreary</v>
      </c>
      <c r="C1072" s="30">
        <v>18306</v>
      </c>
      <c r="D1072" s="30">
        <v>18306</v>
      </c>
      <c r="E1072" s="30">
        <v>18328</v>
      </c>
      <c r="F1072" s="30">
        <v>18283</v>
      </c>
      <c r="G1072" s="30">
        <v>18051</v>
      </c>
      <c r="H1072" s="30">
        <v>17925</v>
      </c>
      <c r="I1072" s="30">
        <v>17922</v>
      </c>
      <c r="J1072" s="30">
        <v>17883</v>
      </c>
      <c r="K1072" s="30">
        <v>17548</v>
      </c>
      <c r="L1072" s="30">
        <v>17372</v>
      </c>
      <c r="M1072" s="30">
        <v>17290</v>
      </c>
      <c r="N1072" s="30">
        <v>17231</v>
      </c>
      <c r="O1072" s="24" t="str">
        <f t="shared" si="33"/>
        <v>McCreary County, Kentucky</v>
      </c>
    </row>
    <row r="1073" spans="1:15" x14ac:dyDescent="0.25">
      <c r="A1073" s="35" t="s">
        <v>1549</v>
      </c>
      <c r="B1073" s="28" t="str">
        <f t="shared" si="32"/>
        <v>McLean</v>
      </c>
      <c r="C1073" s="30">
        <v>9531</v>
      </c>
      <c r="D1073" s="30">
        <v>9540</v>
      </c>
      <c r="E1073" s="30">
        <v>9515</v>
      </c>
      <c r="F1073" s="30">
        <v>9508</v>
      </c>
      <c r="G1073" s="30">
        <v>9490</v>
      </c>
      <c r="H1073" s="30">
        <v>9453</v>
      </c>
      <c r="I1073" s="30">
        <v>9407</v>
      </c>
      <c r="J1073" s="30">
        <v>9395</v>
      </c>
      <c r="K1073" s="30">
        <v>9337</v>
      </c>
      <c r="L1073" s="30">
        <v>9216</v>
      </c>
      <c r="M1073" s="30">
        <v>9258</v>
      </c>
      <c r="N1073" s="30">
        <v>9207</v>
      </c>
      <c r="O1073" s="24" t="str">
        <f t="shared" si="33"/>
        <v>McLean County, Kentucky</v>
      </c>
    </row>
    <row r="1074" spans="1:15" x14ac:dyDescent="0.25">
      <c r="A1074" s="35" t="s">
        <v>1550</v>
      </c>
      <c r="B1074" s="28" t="str">
        <f t="shared" si="32"/>
        <v>Madison</v>
      </c>
      <c r="C1074" s="30">
        <v>82916</v>
      </c>
      <c r="D1074" s="30">
        <v>82913</v>
      </c>
      <c r="E1074" s="30">
        <v>83468</v>
      </c>
      <c r="F1074" s="30">
        <v>84775</v>
      </c>
      <c r="G1074" s="30">
        <v>85394</v>
      </c>
      <c r="H1074" s="30">
        <v>85934</v>
      </c>
      <c r="I1074" s="30">
        <v>87080</v>
      </c>
      <c r="J1074" s="30">
        <v>88212</v>
      </c>
      <c r="K1074" s="30">
        <v>89532</v>
      </c>
      <c r="L1074" s="30">
        <v>91170</v>
      </c>
      <c r="M1074" s="30">
        <v>92107</v>
      </c>
      <c r="N1074" s="30">
        <v>92987</v>
      </c>
      <c r="O1074" s="24" t="str">
        <f t="shared" si="33"/>
        <v>Madison County, Kentucky</v>
      </c>
    </row>
    <row r="1075" spans="1:15" x14ac:dyDescent="0.25">
      <c r="A1075" s="35" t="s">
        <v>1551</v>
      </c>
      <c r="B1075" s="28" t="str">
        <f t="shared" si="32"/>
        <v>Magoffin</v>
      </c>
      <c r="C1075" s="30">
        <v>13333</v>
      </c>
      <c r="D1075" s="30">
        <v>13333</v>
      </c>
      <c r="E1075" s="30">
        <v>13306</v>
      </c>
      <c r="F1075" s="30">
        <v>13220</v>
      </c>
      <c r="G1075" s="30">
        <v>13061</v>
      </c>
      <c r="H1075" s="30">
        <v>12941</v>
      </c>
      <c r="I1075" s="30">
        <v>12980</v>
      </c>
      <c r="J1075" s="30">
        <v>12784</v>
      </c>
      <c r="K1075" s="30">
        <v>12668</v>
      </c>
      <c r="L1075" s="30">
        <v>12519</v>
      </c>
      <c r="M1075" s="30">
        <v>12323</v>
      </c>
      <c r="N1075" s="30">
        <v>12161</v>
      </c>
      <c r="O1075" s="24" t="str">
        <f t="shared" si="33"/>
        <v>Magoffin County, Kentucky</v>
      </c>
    </row>
    <row r="1076" spans="1:15" x14ac:dyDescent="0.25">
      <c r="A1076" s="35" t="s">
        <v>1552</v>
      </c>
      <c r="B1076" s="28" t="str">
        <f t="shared" si="32"/>
        <v>Marion</v>
      </c>
      <c r="C1076" s="30">
        <v>19820</v>
      </c>
      <c r="D1076" s="30">
        <v>19835</v>
      </c>
      <c r="E1076" s="30">
        <v>19840</v>
      </c>
      <c r="F1076" s="30">
        <v>20001</v>
      </c>
      <c r="G1076" s="30">
        <v>19918</v>
      </c>
      <c r="H1076" s="30">
        <v>19928</v>
      </c>
      <c r="I1076" s="30">
        <v>19079</v>
      </c>
      <c r="J1076" s="30">
        <v>19212</v>
      </c>
      <c r="K1076" s="30">
        <v>19135</v>
      </c>
      <c r="L1076" s="30">
        <v>19276</v>
      </c>
      <c r="M1076" s="30">
        <v>19326</v>
      </c>
      <c r="N1076" s="30">
        <v>19273</v>
      </c>
      <c r="O1076" s="24" t="str">
        <f t="shared" si="33"/>
        <v>Marion County, Kentucky</v>
      </c>
    </row>
    <row r="1077" spans="1:15" x14ac:dyDescent="0.25">
      <c r="A1077" s="35" t="s">
        <v>1553</v>
      </c>
      <c r="B1077" s="28" t="str">
        <f t="shared" si="32"/>
        <v>Marshall</v>
      </c>
      <c r="C1077" s="30">
        <v>31448</v>
      </c>
      <c r="D1077" s="30">
        <v>31448</v>
      </c>
      <c r="E1077" s="30">
        <v>31451</v>
      </c>
      <c r="F1077" s="30">
        <v>31261</v>
      </c>
      <c r="G1077" s="30">
        <v>31261</v>
      </c>
      <c r="H1077" s="30">
        <v>31215</v>
      </c>
      <c r="I1077" s="30">
        <v>30993</v>
      </c>
      <c r="J1077" s="30">
        <v>31059</v>
      </c>
      <c r="K1077" s="30">
        <v>31280</v>
      </c>
      <c r="L1077" s="30">
        <v>31318</v>
      </c>
      <c r="M1077" s="30">
        <v>31202</v>
      </c>
      <c r="N1077" s="30">
        <v>31100</v>
      </c>
      <c r="O1077" s="24" t="str">
        <f t="shared" si="33"/>
        <v>Marshall County, Kentucky</v>
      </c>
    </row>
    <row r="1078" spans="1:15" x14ac:dyDescent="0.25">
      <c r="A1078" s="35" t="s">
        <v>1554</v>
      </c>
      <c r="B1078" s="28" t="str">
        <f t="shared" si="32"/>
        <v>Martin</v>
      </c>
      <c r="C1078" s="30">
        <v>12929</v>
      </c>
      <c r="D1078" s="30">
        <v>12929</v>
      </c>
      <c r="E1078" s="30">
        <v>12895</v>
      </c>
      <c r="F1078" s="30">
        <v>12829</v>
      </c>
      <c r="G1078" s="30">
        <v>12725</v>
      </c>
      <c r="H1078" s="30">
        <v>12651</v>
      </c>
      <c r="I1078" s="30">
        <v>12494</v>
      </c>
      <c r="J1078" s="30">
        <v>12285</v>
      </c>
      <c r="K1078" s="30">
        <v>11945</v>
      </c>
      <c r="L1078" s="30">
        <v>11492</v>
      </c>
      <c r="M1078" s="30">
        <v>11325</v>
      </c>
      <c r="N1078" s="30">
        <v>11195</v>
      </c>
      <c r="O1078" s="24" t="str">
        <f t="shared" si="33"/>
        <v>Martin County, Kentucky</v>
      </c>
    </row>
    <row r="1079" spans="1:15" x14ac:dyDescent="0.25">
      <c r="A1079" s="35" t="s">
        <v>1555</v>
      </c>
      <c r="B1079" s="28" t="str">
        <f t="shared" si="32"/>
        <v>Mason</v>
      </c>
      <c r="C1079" s="30">
        <v>17490</v>
      </c>
      <c r="D1079" s="30">
        <v>17490</v>
      </c>
      <c r="E1079" s="30">
        <v>17505</v>
      </c>
      <c r="F1079" s="30">
        <v>17546</v>
      </c>
      <c r="G1079" s="30">
        <v>17460</v>
      </c>
      <c r="H1079" s="30">
        <v>17323</v>
      </c>
      <c r="I1079" s="30">
        <v>17133</v>
      </c>
      <c r="J1079" s="30">
        <v>17050</v>
      </c>
      <c r="K1079" s="30">
        <v>17167</v>
      </c>
      <c r="L1079" s="30">
        <v>17192</v>
      </c>
      <c r="M1079" s="30">
        <v>17080</v>
      </c>
      <c r="N1079" s="30">
        <v>17070</v>
      </c>
      <c r="O1079" s="24" t="str">
        <f t="shared" si="33"/>
        <v>Mason County, Kentucky</v>
      </c>
    </row>
    <row r="1080" spans="1:15" x14ac:dyDescent="0.25">
      <c r="A1080" s="35" t="s">
        <v>1556</v>
      </c>
      <c r="B1080" s="28" t="str">
        <f t="shared" si="32"/>
        <v>Meade</v>
      </c>
      <c r="C1080" s="30">
        <v>28602</v>
      </c>
      <c r="D1080" s="30">
        <v>28613</v>
      </c>
      <c r="E1080" s="30">
        <v>28714</v>
      </c>
      <c r="F1080" s="30">
        <v>29643</v>
      </c>
      <c r="G1080" s="30">
        <v>29255</v>
      </c>
      <c r="H1080" s="30">
        <v>29240</v>
      </c>
      <c r="I1080" s="30">
        <v>29086</v>
      </c>
      <c r="J1080" s="30">
        <v>27725</v>
      </c>
      <c r="K1080" s="30">
        <v>27959</v>
      </c>
      <c r="L1080" s="30">
        <v>28033</v>
      </c>
      <c r="M1080" s="30">
        <v>28623</v>
      </c>
      <c r="N1080" s="30">
        <v>28572</v>
      </c>
      <c r="O1080" s="24" t="str">
        <f t="shared" si="33"/>
        <v>Meade County, Kentucky</v>
      </c>
    </row>
    <row r="1081" spans="1:15" x14ac:dyDescent="0.25">
      <c r="A1081" s="35" t="s">
        <v>1557</v>
      </c>
      <c r="B1081" s="28" t="str">
        <f t="shared" si="32"/>
        <v>Menifee</v>
      </c>
      <c r="C1081" s="30">
        <v>6306</v>
      </c>
      <c r="D1081" s="30">
        <v>6309</v>
      </c>
      <c r="E1081" s="30">
        <v>6371</v>
      </c>
      <c r="F1081" s="30">
        <v>6419</v>
      </c>
      <c r="G1081" s="30">
        <v>6338</v>
      </c>
      <c r="H1081" s="30">
        <v>6341</v>
      </c>
      <c r="I1081" s="30">
        <v>6304</v>
      </c>
      <c r="J1081" s="30">
        <v>6373</v>
      </c>
      <c r="K1081" s="30">
        <v>6449</v>
      </c>
      <c r="L1081" s="30">
        <v>6465</v>
      </c>
      <c r="M1081" s="30">
        <v>6437</v>
      </c>
      <c r="N1081" s="30">
        <v>6489</v>
      </c>
      <c r="O1081" s="24" t="str">
        <f t="shared" si="33"/>
        <v>Menifee County, Kentucky</v>
      </c>
    </row>
    <row r="1082" spans="1:15" x14ac:dyDescent="0.25">
      <c r="A1082" s="35" t="s">
        <v>1558</v>
      </c>
      <c r="B1082" s="28" t="str">
        <f t="shared" si="32"/>
        <v>Mercer</v>
      </c>
      <c r="C1082" s="30">
        <v>21331</v>
      </c>
      <c r="D1082" s="30">
        <v>21311</v>
      </c>
      <c r="E1082" s="30">
        <v>21308</v>
      </c>
      <c r="F1082" s="30">
        <v>21275</v>
      </c>
      <c r="G1082" s="30">
        <v>21323</v>
      </c>
      <c r="H1082" s="30">
        <v>21291</v>
      </c>
      <c r="I1082" s="30">
        <v>21360</v>
      </c>
      <c r="J1082" s="30">
        <v>21377</v>
      </c>
      <c r="K1082" s="30">
        <v>21405</v>
      </c>
      <c r="L1082" s="30">
        <v>21542</v>
      </c>
      <c r="M1082" s="30">
        <v>21702</v>
      </c>
      <c r="N1082" s="30">
        <v>21933</v>
      </c>
      <c r="O1082" s="24" t="str">
        <f t="shared" si="33"/>
        <v>Mercer County, Kentucky</v>
      </c>
    </row>
    <row r="1083" spans="1:15" x14ac:dyDescent="0.25">
      <c r="A1083" s="35" t="s">
        <v>1559</v>
      </c>
      <c r="B1083" s="28" t="str">
        <f t="shared" si="32"/>
        <v>Metcalfe</v>
      </c>
      <c r="C1083" s="30">
        <v>10099</v>
      </c>
      <c r="D1083" s="30">
        <v>10116</v>
      </c>
      <c r="E1083" s="30">
        <v>10147</v>
      </c>
      <c r="F1083" s="30">
        <v>10070</v>
      </c>
      <c r="G1083" s="30">
        <v>9983</v>
      </c>
      <c r="H1083" s="30">
        <v>9960</v>
      </c>
      <c r="I1083" s="30">
        <v>9997</v>
      </c>
      <c r="J1083" s="30">
        <v>9925</v>
      </c>
      <c r="K1083" s="30">
        <v>10020</v>
      </c>
      <c r="L1083" s="30">
        <v>10093</v>
      </c>
      <c r="M1083" s="30">
        <v>10070</v>
      </c>
      <c r="N1083" s="30">
        <v>10071</v>
      </c>
      <c r="O1083" s="24" t="str">
        <f t="shared" si="33"/>
        <v>Metcalfe County, Kentucky</v>
      </c>
    </row>
    <row r="1084" spans="1:15" x14ac:dyDescent="0.25">
      <c r="A1084" s="35" t="s">
        <v>1560</v>
      </c>
      <c r="B1084" s="28" t="str">
        <f t="shared" si="32"/>
        <v>Monroe</v>
      </c>
      <c r="C1084" s="30">
        <v>10963</v>
      </c>
      <c r="D1084" s="30">
        <v>10963</v>
      </c>
      <c r="E1084" s="30">
        <v>10970</v>
      </c>
      <c r="F1084" s="30">
        <v>10918</v>
      </c>
      <c r="G1084" s="30">
        <v>10848</v>
      </c>
      <c r="H1084" s="30">
        <v>10715</v>
      </c>
      <c r="I1084" s="30">
        <v>10674</v>
      </c>
      <c r="J1084" s="30">
        <v>10618</v>
      </c>
      <c r="K1084" s="30">
        <v>10539</v>
      </c>
      <c r="L1084" s="30">
        <v>10597</v>
      </c>
      <c r="M1084" s="30">
        <v>10732</v>
      </c>
      <c r="N1084" s="30">
        <v>10650</v>
      </c>
      <c r="O1084" s="24" t="str">
        <f t="shared" si="33"/>
        <v>Monroe County, Kentucky</v>
      </c>
    </row>
    <row r="1085" spans="1:15" x14ac:dyDescent="0.25">
      <c r="A1085" s="35" t="s">
        <v>1561</v>
      </c>
      <c r="B1085" s="28" t="str">
        <f t="shared" si="32"/>
        <v>Montgomery</v>
      </c>
      <c r="C1085" s="30">
        <v>26499</v>
      </c>
      <c r="D1085" s="30">
        <v>26507</v>
      </c>
      <c r="E1085" s="30">
        <v>26549</v>
      </c>
      <c r="F1085" s="30">
        <v>26751</v>
      </c>
      <c r="G1085" s="30">
        <v>26860</v>
      </c>
      <c r="H1085" s="30">
        <v>27229</v>
      </c>
      <c r="I1085" s="30">
        <v>27365</v>
      </c>
      <c r="J1085" s="30">
        <v>27576</v>
      </c>
      <c r="K1085" s="30">
        <v>27666</v>
      </c>
      <c r="L1085" s="30">
        <v>27913</v>
      </c>
      <c r="M1085" s="30">
        <v>28109</v>
      </c>
      <c r="N1085" s="30">
        <v>28157</v>
      </c>
      <c r="O1085" s="24" t="str">
        <f t="shared" si="33"/>
        <v>Montgomery County, Kentucky</v>
      </c>
    </row>
    <row r="1086" spans="1:15" x14ac:dyDescent="0.25">
      <c r="A1086" s="35" t="s">
        <v>1562</v>
      </c>
      <c r="B1086" s="28" t="str">
        <f t="shared" si="32"/>
        <v>Morgan</v>
      </c>
      <c r="C1086" s="30">
        <v>13923</v>
      </c>
      <c r="D1086" s="30">
        <v>13921</v>
      </c>
      <c r="E1086" s="30">
        <v>13726</v>
      </c>
      <c r="F1086" s="30">
        <v>13719</v>
      </c>
      <c r="G1086" s="30">
        <v>13531</v>
      </c>
      <c r="H1086" s="30">
        <v>13362</v>
      </c>
      <c r="I1086" s="30">
        <v>13343</v>
      </c>
      <c r="J1086" s="30">
        <v>13267</v>
      </c>
      <c r="K1086" s="30">
        <v>13260</v>
      </c>
      <c r="L1086" s="30">
        <v>13230</v>
      </c>
      <c r="M1086" s="30">
        <v>13372</v>
      </c>
      <c r="N1086" s="30">
        <v>13309</v>
      </c>
      <c r="O1086" s="24" t="str">
        <f t="shared" si="33"/>
        <v>Morgan County, Kentucky</v>
      </c>
    </row>
    <row r="1087" spans="1:15" x14ac:dyDescent="0.25">
      <c r="A1087" s="35" t="s">
        <v>1563</v>
      </c>
      <c r="B1087" s="28" t="str">
        <f t="shared" si="32"/>
        <v>Muhlenberg</v>
      </c>
      <c r="C1087" s="30">
        <v>31499</v>
      </c>
      <c r="D1087" s="30">
        <v>31499</v>
      </c>
      <c r="E1087" s="30">
        <v>31657</v>
      </c>
      <c r="F1087" s="30">
        <v>31528</v>
      </c>
      <c r="G1087" s="30">
        <v>31382</v>
      </c>
      <c r="H1087" s="30">
        <v>31323</v>
      </c>
      <c r="I1087" s="30">
        <v>31302</v>
      </c>
      <c r="J1087" s="30">
        <v>31245</v>
      </c>
      <c r="K1087" s="30">
        <v>31150</v>
      </c>
      <c r="L1087" s="30">
        <v>30925</v>
      </c>
      <c r="M1087" s="30">
        <v>30811</v>
      </c>
      <c r="N1087" s="30">
        <v>30622</v>
      </c>
      <c r="O1087" s="24" t="str">
        <f t="shared" si="33"/>
        <v>Muhlenberg County, Kentucky</v>
      </c>
    </row>
    <row r="1088" spans="1:15" x14ac:dyDescent="0.25">
      <c r="A1088" s="35" t="s">
        <v>1564</v>
      </c>
      <c r="B1088" s="28" t="str">
        <f t="shared" si="32"/>
        <v>Nelson</v>
      </c>
      <c r="C1088" s="30">
        <v>43437</v>
      </c>
      <c r="D1088" s="30">
        <v>43441</v>
      </c>
      <c r="E1088" s="30">
        <v>43629</v>
      </c>
      <c r="F1088" s="30">
        <v>44062</v>
      </c>
      <c r="G1088" s="30">
        <v>44401</v>
      </c>
      <c r="H1088" s="30">
        <v>44540</v>
      </c>
      <c r="I1088" s="30">
        <v>44858</v>
      </c>
      <c r="J1088" s="30">
        <v>45114</v>
      </c>
      <c r="K1088" s="30">
        <v>45497</v>
      </c>
      <c r="L1088" s="30">
        <v>45591</v>
      </c>
      <c r="M1088" s="30">
        <v>45813</v>
      </c>
      <c r="N1088" s="30">
        <v>46233</v>
      </c>
      <c r="O1088" s="24" t="str">
        <f t="shared" si="33"/>
        <v>Nelson County, Kentucky</v>
      </c>
    </row>
    <row r="1089" spans="1:15" x14ac:dyDescent="0.25">
      <c r="A1089" s="35" t="s">
        <v>1565</v>
      </c>
      <c r="B1089" s="28" t="str">
        <f t="shared" si="32"/>
        <v>Nicholas</v>
      </c>
      <c r="C1089" s="30">
        <v>7135</v>
      </c>
      <c r="D1089" s="30">
        <v>7129</v>
      </c>
      <c r="E1089" s="30">
        <v>7128</v>
      </c>
      <c r="F1089" s="30">
        <v>7088</v>
      </c>
      <c r="G1089" s="30">
        <v>7008</v>
      </c>
      <c r="H1089" s="30">
        <v>7008</v>
      </c>
      <c r="I1089" s="30">
        <v>7050</v>
      </c>
      <c r="J1089" s="30">
        <v>7059</v>
      </c>
      <c r="K1089" s="30">
        <v>7083</v>
      </c>
      <c r="L1089" s="30">
        <v>7160</v>
      </c>
      <c r="M1089" s="30">
        <v>7195</v>
      </c>
      <c r="N1089" s="30">
        <v>7269</v>
      </c>
      <c r="O1089" s="24" t="str">
        <f t="shared" si="33"/>
        <v>Nicholas County, Kentucky</v>
      </c>
    </row>
    <row r="1090" spans="1:15" x14ac:dyDescent="0.25">
      <c r="A1090" s="35" t="s">
        <v>1566</v>
      </c>
      <c r="B1090" s="28" t="str">
        <f t="shared" si="32"/>
        <v>Ohio</v>
      </c>
      <c r="C1090" s="30">
        <v>23842</v>
      </c>
      <c r="D1090" s="30">
        <v>23854</v>
      </c>
      <c r="E1090" s="30">
        <v>23834</v>
      </c>
      <c r="F1090" s="30">
        <v>23985</v>
      </c>
      <c r="G1090" s="30">
        <v>24021</v>
      </c>
      <c r="H1090" s="30">
        <v>23975</v>
      </c>
      <c r="I1090" s="30">
        <v>23948</v>
      </c>
      <c r="J1090" s="30">
        <v>24021</v>
      </c>
      <c r="K1090" s="30">
        <v>24158</v>
      </c>
      <c r="L1090" s="30">
        <v>24116</v>
      </c>
      <c r="M1090" s="30">
        <v>24064</v>
      </c>
      <c r="N1090" s="30">
        <v>23994</v>
      </c>
      <c r="O1090" s="24" t="str">
        <f t="shared" si="33"/>
        <v>Ohio County, Kentucky</v>
      </c>
    </row>
    <row r="1091" spans="1:15" x14ac:dyDescent="0.25">
      <c r="A1091" s="35" t="s">
        <v>1567</v>
      </c>
      <c r="B1091" s="28" t="str">
        <f t="shared" si="32"/>
        <v>Oldham</v>
      </c>
      <c r="C1091" s="30">
        <v>60316</v>
      </c>
      <c r="D1091" s="30">
        <v>60356</v>
      </c>
      <c r="E1091" s="30">
        <v>60437</v>
      </c>
      <c r="F1091" s="30">
        <v>60772</v>
      </c>
      <c r="G1091" s="30">
        <v>62105</v>
      </c>
      <c r="H1091" s="30">
        <v>63062</v>
      </c>
      <c r="I1091" s="30">
        <v>63969</v>
      </c>
      <c r="J1091" s="30">
        <v>64556</v>
      </c>
      <c r="K1091" s="30">
        <v>65410</v>
      </c>
      <c r="L1091" s="30">
        <v>66557</v>
      </c>
      <c r="M1091" s="30">
        <v>66512</v>
      </c>
      <c r="N1091" s="30">
        <v>66799</v>
      </c>
      <c r="O1091" s="24" t="str">
        <f t="shared" si="33"/>
        <v>Oldham County, Kentucky</v>
      </c>
    </row>
    <row r="1092" spans="1:15" x14ac:dyDescent="0.25">
      <c r="A1092" s="35" t="s">
        <v>1568</v>
      </c>
      <c r="B1092" s="28" t="str">
        <f t="shared" si="32"/>
        <v>Owen</v>
      </c>
      <c r="C1092" s="30">
        <v>10841</v>
      </c>
      <c r="D1092" s="30">
        <v>10837</v>
      </c>
      <c r="E1092" s="30">
        <v>10850</v>
      </c>
      <c r="F1092" s="30">
        <v>10825</v>
      </c>
      <c r="G1092" s="30">
        <v>10762</v>
      </c>
      <c r="H1092" s="30">
        <v>10645</v>
      </c>
      <c r="I1092" s="30">
        <v>10657</v>
      </c>
      <c r="J1092" s="30">
        <v>10736</v>
      </c>
      <c r="K1092" s="30">
        <v>10668</v>
      </c>
      <c r="L1092" s="30">
        <v>10794</v>
      </c>
      <c r="M1092" s="30">
        <v>10881</v>
      </c>
      <c r="N1092" s="30">
        <v>10901</v>
      </c>
      <c r="O1092" s="24" t="str">
        <f t="shared" si="33"/>
        <v>Owen County, Kentucky</v>
      </c>
    </row>
    <row r="1093" spans="1:15" x14ac:dyDescent="0.25">
      <c r="A1093" s="35" t="s">
        <v>1569</v>
      </c>
      <c r="B1093" s="28" t="str">
        <f t="shared" si="32"/>
        <v>Owsley</v>
      </c>
      <c r="C1093" s="30">
        <v>4755</v>
      </c>
      <c r="D1093" s="30">
        <v>4755</v>
      </c>
      <c r="E1093" s="30">
        <v>4748</v>
      </c>
      <c r="F1093" s="30">
        <v>4806</v>
      </c>
      <c r="G1093" s="30">
        <v>4681</v>
      </c>
      <c r="H1093" s="30">
        <v>4599</v>
      </c>
      <c r="I1093" s="30">
        <v>4502</v>
      </c>
      <c r="J1093" s="30">
        <v>4445</v>
      </c>
      <c r="K1093" s="30">
        <v>4472</v>
      </c>
      <c r="L1093" s="30">
        <v>4402</v>
      </c>
      <c r="M1093" s="30">
        <v>4474</v>
      </c>
      <c r="N1093" s="30">
        <v>4415</v>
      </c>
      <c r="O1093" s="24" t="str">
        <f t="shared" si="33"/>
        <v>Owsley County, Kentucky</v>
      </c>
    </row>
    <row r="1094" spans="1:15" x14ac:dyDescent="0.25">
      <c r="A1094" s="35" t="s">
        <v>1570</v>
      </c>
      <c r="B1094" s="28" t="str">
        <f t="shared" si="32"/>
        <v>Pendleton</v>
      </c>
      <c r="C1094" s="30">
        <v>14877</v>
      </c>
      <c r="D1094" s="30">
        <v>14874</v>
      </c>
      <c r="E1094" s="30">
        <v>14915</v>
      </c>
      <c r="F1094" s="30">
        <v>14662</v>
      </c>
      <c r="G1094" s="30">
        <v>14552</v>
      </c>
      <c r="H1094" s="30">
        <v>14565</v>
      </c>
      <c r="I1094" s="30">
        <v>14476</v>
      </c>
      <c r="J1094" s="30">
        <v>14487</v>
      </c>
      <c r="K1094" s="30">
        <v>14595</v>
      </c>
      <c r="L1094" s="30">
        <v>14602</v>
      </c>
      <c r="M1094" s="30">
        <v>14588</v>
      </c>
      <c r="N1094" s="30">
        <v>14590</v>
      </c>
      <c r="O1094" s="24" t="str">
        <f t="shared" si="33"/>
        <v>Pendleton County, Kentucky</v>
      </c>
    </row>
    <row r="1095" spans="1:15" x14ac:dyDescent="0.25">
      <c r="A1095" s="35" t="s">
        <v>1571</v>
      </c>
      <c r="B1095" s="28" t="str">
        <f t="shared" ref="B1095:B1158" si="34">LEFT(A1095,FIND("County",A1095,1)-2)</f>
        <v>Perry</v>
      </c>
      <c r="C1095" s="30">
        <v>28712</v>
      </c>
      <c r="D1095" s="30">
        <v>28697</v>
      </c>
      <c r="E1095" s="30">
        <v>28669</v>
      </c>
      <c r="F1095" s="30">
        <v>28698</v>
      </c>
      <c r="G1095" s="30">
        <v>28295</v>
      </c>
      <c r="H1095" s="30">
        <v>27982</v>
      </c>
      <c r="I1095" s="30">
        <v>27554</v>
      </c>
      <c r="J1095" s="30">
        <v>27373</v>
      </c>
      <c r="K1095" s="30">
        <v>27197</v>
      </c>
      <c r="L1095" s="30">
        <v>26586</v>
      </c>
      <c r="M1095" s="30">
        <v>26208</v>
      </c>
      <c r="N1095" s="30">
        <v>25758</v>
      </c>
      <c r="O1095" s="24" t="str">
        <f t="shared" ref="O1095:O1158" si="35">A1095</f>
        <v>Perry County, Kentucky</v>
      </c>
    </row>
    <row r="1096" spans="1:15" x14ac:dyDescent="0.25">
      <c r="A1096" s="35" t="s">
        <v>1572</v>
      </c>
      <c r="B1096" s="28" t="str">
        <f t="shared" si="34"/>
        <v>Pike</v>
      </c>
      <c r="C1096" s="30">
        <v>65024</v>
      </c>
      <c r="D1096" s="30">
        <v>65029</v>
      </c>
      <c r="E1096" s="30">
        <v>65074</v>
      </c>
      <c r="F1096" s="30">
        <v>64908</v>
      </c>
      <c r="G1096" s="30">
        <v>64582</v>
      </c>
      <c r="H1096" s="30">
        <v>63853</v>
      </c>
      <c r="I1096" s="30">
        <v>62931</v>
      </c>
      <c r="J1096" s="30">
        <v>61781</v>
      </c>
      <c r="K1096" s="30">
        <v>60431</v>
      </c>
      <c r="L1096" s="30">
        <v>58905</v>
      </c>
      <c r="M1096" s="30">
        <v>58492</v>
      </c>
      <c r="N1096" s="30">
        <v>57876</v>
      </c>
      <c r="O1096" s="24" t="str">
        <f t="shared" si="35"/>
        <v>Pike County, Kentucky</v>
      </c>
    </row>
    <row r="1097" spans="1:15" x14ac:dyDescent="0.25">
      <c r="A1097" s="35" t="s">
        <v>1573</v>
      </c>
      <c r="B1097" s="28" t="str">
        <f t="shared" si="34"/>
        <v>Powell</v>
      </c>
      <c r="C1097" s="30">
        <v>12613</v>
      </c>
      <c r="D1097" s="30">
        <v>12613</v>
      </c>
      <c r="E1097" s="30">
        <v>12643</v>
      </c>
      <c r="F1097" s="30">
        <v>12618</v>
      </c>
      <c r="G1097" s="30">
        <v>12471</v>
      </c>
      <c r="H1097" s="30">
        <v>12470</v>
      </c>
      <c r="I1097" s="30">
        <v>12349</v>
      </c>
      <c r="J1097" s="30">
        <v>12226</v>
      </c>
      <c r="K1097" s="30">
        <v>12266</v>
      </c>
      <c r="L1097" s="30">
        <v>12297</v>
      </c>
      <c r="M1097" s="30">
        <v>12371</v>
      </c>
      <c r="N1097" s="30">
        <v>12359</v>
      </c>
      <c r="O1097" s="24" t="str">
        <f t="shared" si="35"/>
        <v>Powell County, Kentucky</v>
      </c>
    </row>
    <row r="1098" spans="1:15" x14ac:dyDescent="0.25">
      <c r="A1098" s="35" t="s">
        <v>1574</v>
      </c>
      <c r="B1098" s="28" t="str">
        <f t="shared" si="34"/>
        <v>Pulaski</v>
      </c>
      <c r="C1098" s="30">
        <v>63063</v>
      </c>
      <c r="D1098" s="30">
        <v>63061</v>
      </c>
      <c r="E1098" s="30">
        <v>63190</v>
      </c>
      <c r="F1098" s="30">
        <v>63510</v>
      </c>
      <c r="G1098" s="30">
        <v>63514</v>
      </c>
      <c r="H1098" s="30">
        <v>63793</v>
      </c>
      <c r="I1098" s="30">
        <v>63866</v>
      </c>
      <c r="J1098" s="30">
        <v>63862</v>
      </c>
      <c r="K1098" s="30">
        <v>64013</v>
      </c>
      <c r="L1098" s="30">
        <v>64314</v>
      </c>
      <c r="M1098" s="30">
        <v>64584</v>
      </c>
      <c r="N1098" s="30">
        <v>64979</v>
      </c>
      <c r="O1098" s="24" t="str">
        <f t="shared" si="35"/>
        <v>Pulaski County, Kentucky</v>
      </c>
    </row>
    <row r="1099" spans="1:15" x14ac:dyDescent="0.25">
      <c r="A1099" s="35" t="s">
        <v>1575</v>
      </c>
      <c r="B1099" s="28" t="str">
        <f t="shared" si="34"/>
        <v>Robertson</v>
      </c>
      <c r="C1099" s="30">
        <v>2282</v>
      </c>
      <c r="D1099" s="30">
        <v>2282</v>
      </c>
      <c r="E1099" s="30">
        <v>2275</v>
      </c>
      <c r="F1099" s="30">
        <v>2290</v>
      </c>
      <c r="G1099" s="30">
        <v>2214</v>
      </c>
      <c r="H1099" s="30">
        <v>2214</v>
      </c>
      <c r="I1099" s="30">
        <v>2185</v>
      </c>
      <c r="J1099" s="30">
        <v>2134</v>
      </c>
      <c r="K1099" s="30">
        <v>2125</v>
      </c>
      <c r="L1099" s="30">
        <v>2120</v>
      </c>
      <c r="M1099" s="30">
        <v>2130</v>
      </c>
      <c r="N1099" s="30">
        <v>2108</v>
      </c>
      <c r="O1099" s="24" t="str">
        <f t="shared" si="35"/>
        <v>Robertson County, Kentucky</v>
      </c>
    </row>
    <row r="1100" spans="1:15" x14ac:dyDescent="0.25">
      <c r="A1100" s="35" t="s">
        <v>1576</v>
      </c>
      <c r="B1100" s="28" t="str">
        <f t="shared" si="34"/>
        <v>Rockcastle</v>
      </c>
      <c r="C1100" s="30">
        <v>17056</v>
      </c>
      <c r="D1100" s="30">
        <v>17056</v>
      </c>
      <c r="E1100" s="30">
        <v>17081</v>
      </c>
      <c r="F1100" s="30">
        <v>17108</v>
      </c>
      <c r="G1100" s="30">
        <v>17057</v>
      </c>
      <c r="H1100" s="30">
        <v>16742</v>
      </c>
      <c r="I1100" s="30">
        <v>16826</v>
      </c>
      <c r="J1100" s="30">
        <v>16932</v>
      </c>
      <c r="K1100" s="30">
        <v>16872</v>
      </c>
      <c r="L1100" s="30">
        <v>16778</v>
      </c>
      <c r="M1100" s="30">
        <v>16823</v>
      </c>
      <c r="N1100" s="30">
        <v>16695</v>
      </c>
      <c r="O1100" s="24" t="str">
        <f t="shared" si="35"/>
        <v>Rockcastle County, Kentucky</v>
      </c>
    </row>
    <row r="1101" spans="1:15" x14ac:dyDescent="0.25">
      <c r="A1101" s="35" t="s">
        <v>1577</v>
      </c>
      <c r="B1101" s="28" t="str">
        <f t="shared" si="34"/>
        <v>Rowan</v>
      </c>
      <c r="C1101" s="30">
        <v>23333</v>
      </c>
      <c r="D1101" s="30">
        <v>23336</v>
      </c>
      <c r="E1101" s="30">
        <v>23376</v>
      </c>
      <c r="F1101" s="30">
        <v>23558</v>
      </c>
      <c r="G1101" s="30">
        <v>23796</v>
      </c>
      <c r="H1101" s="30">
        <v>24210</v>
      </c>
      <c r="I1101" s="30">
        <v>24250</v>
      </c>
      <c r="J1101" s="30">
        <v>24642</v>
      </c>
      <c r="K1101" s="30">
        <v>24416</v>
      </c>
      <c r="L1101" s="30">
        <v>24514</v>
      </c>
      <c r="M1101" s="30">
        <v>24503</v>
      </c>
      <c r="N1101" s="30">
        <v>24460</v>
      </c>
      <c r="O1101" s="24" t="str">
        <f t="shared" si="35"/>
        <v>Rowan County, Kentucky</v>
      </c>
    </row>
    <row r="1102" spans="1:15" x14ac:dyDescent="0.25">
      <c r="A1102" s="35" t="s">
        <v>1578</v>
      </c>
      <c r="B1102" s="28" t="str">
        <f t="shared" si="34"/>
        <v>Russell</v>
      </c>
      <c r="C1102" s="30">
        <v>17565</v>
      </c>
      <c r="D1102" s="30">
        <v>17565</v>
      </c>
      <c r="E1102" s="30">
        <v>17573</v>
      </c>
      <c r="F1102" s="30">
        <v>17700</v>
      </c>
      <c r="G1102" s="30">
        <v>17637</v>
      </c>
      <c r="H1102" s="30">
        <v>17749</v>
      </c>
      <c r="I1102" s="30">
        <v>17787</v>
      </c>
      <c r="J1102" s="30">
        <v>17685</v>
      </c>
      <c r="K1102" s="30">
        <v>17769</v>
      </c>
      <c r="L1102" s="30">
        <v>17723</v>
      </c>
      <c r="M1102" s="30">
        <v>17790</v>
      </c>
      <c r="N1102" s="30">
        <v>17923</v>
      </c>
      <c r="O1102" s="24" t="str">
        <f t="shared" si="35"/>
        <v>Russell County, Kentucky</v>
      </c>
    </row>
    <row r="1103" spans="1:15" x14ac:dyDescent="0.25">
      <c r="A1103" s="35" t="s">
        <v>1579</v>
      </c>
      <c r="B1103" s="28" t="str">
        <f t="shared" si="34"/>
        <v>Scott</v>
      </c>
      <c r="C1103" s="30">
        <v>47173</v>
      </c>
      <c r="D1103" s="30">
        <v>47096</v>
      </c>
      <c r="E1103" s="30">
        <v>47274</v>
      </c>
      <c r="F1103" s="30">
        <v>47913</v>
      </c>
      <c r="G1103" s="30">
        <v>48970</v>
      </c>
      <c r="H1103" s="30">
        <v>50000</v>
      </c>
      <c r="I1103" s="30">
        <v>51219</v>
      </c>
      <c r="J1103" s="30">
        <v>52155</v>
      </c>
      <c r="K1103" s="30">
        <v>53425</v>
      </c>
      <c r="L1103" s="30">
        <v>54782</v>
      </c>
      <c r="M1103" s="30">
        <v>55968</v>
      </c>
      <c r="N1103" s="30">
        <v>57004</v>
      </c>
      <c r="O1103" s="24" t="str">
        <f t="shared" si="35"/>
        <v>Scott County, Kentucky</v>
      </c>
    </row>
    <row r="1104" spans="1:15" x14ac:dyDescent="0.25">
      <c r="A1104" s="35" t="s">
        <v>1580</v>
      </c>
      <c r="B1104" s="28" t="str">
        <f t="shared" si="34"/>
        <v>Shelby</v>
      </c>
      <c r="C1104" s="30">
        <v>42074</v>
      </c>
      <c r="D1104" s="30">
        <v>41971</v>
      </c>
      <c r="E1104" s="30">
        <v>42189</v>
      </c>
      <c r="F1104" s="30">
        <v>42848</v>
      </c>
      <c r="G1104" s="30">
        <v>43656</v>
      </c>
      <c r="H1104" s="30">
        <v>44460</v>
      </c>
      <c r="I1104" s="30">
        <v>45089</v>
      </c>
      <c r="J1104" s="30">
        <v>45787</v>
      </c>
      <c r="K1104" s="30">
        <v>46548</v>
      </c>
      <c r="L1104" s="30">
        <v>47209</v>
      </c>
      <c r="M1104" s="30">
        <v>48059</v>
      </c>
      <c r="N1104" s="30">
        <v>49024</v>
      </c>
      <c r="O1104" s="24" t="str">
        <f t="shared" si="35"/>
        <v>Shelby County, Kentucky</v>
      </c>
    </row>
    <row r="1105" spans="1:15" x14ac:dyDescent="0.25">
      <c r="A1105" s="35" t="s">
        <v>1581</v>
      </c>
      <c r="B1105" s="28" t="str">
        <f t="shared" si="34"/>
        <v>Simpson</v>
      </c>
      <c r="C1105" s="30">
        <v>17327</v>
      </c>
      <c r="D1105" s="30">
        <v>17329</v>
      </c>
      <c r="E1105" s="30">
        <v>17336</v>
      </c>
      <c r="F1105" s="30">
        <v>17302</v>
      </c>
      <c r="G1105" s="30">
        <v>17543</v>
      </c>
      <c r="H1105" s="30">
        <v>17681</v>
      </c>
      <c r="I1105" s="30">
        <v>17753</v>
      </c>
      <c r="J1105" s="30">
        <v>17901</v>
      </c>
      <c r="K1105" s="30">
        <v>17992</v>
      </c>
      <c r="L1105" s="30">
        <v>18046</v>
      </c>
      <c r="M1105" s="30">
        <v>18403</v>
      </c>
      <c r="N1105" s="30">
        <v>18572</v>
      </c>
      <c r="O1105" s="24" t="str">
        <f t="shared" si="35"/>
        <v>Simpson County, Kentucky</v>
      </c>
    </row>
    <row r="1106" spans="1:15" x14ac:dyDescent="0.25">
      <c r="A1106" s="35" t="s">
        <v>1582</v>
      </c>
      <c r="B1106" s="28" t="str">
        <f t="shared" si="34"/>
        <v>Spencer</v>
      </c>
      <c r="C1106" s="30">
        <v>17061</v>
      </c>
      <c r="D1106" s="30">
        <v>17142</v>
      </c>
      <c r="E1106" s="30">
        <v>17201</v>
      </c>
      <c r="F1106" s="30">
        <v>17466</v>
      </c>
      <c r="G1106" s="30">
        <v>17518</v>
      </c>
      <c r="H1106" s="30">
        <v>17678</v>
      </c>
      <c r="I1106" s="30">
        <v>17813</v>
      </c>
      <c r="J1106" s="30">
        <v>18072</v>
      </c>
      <c r="K1106" s="30">
        <v>18336</v>
      </c>
      <c r="L1106" s="30">
        <v>18619</v>
      </c>
      <c r="M1106" s="30">
        <v>19021</v>
      </c>
      <c r="N1106" s="30">
        <v>19351</v>
      </c>
      <c r="O1106" s="24" t="str">
        <f t="shared" si="35"/>
        <v>Spencer County, Kentucky</v>
      </c>
    </row>
    <row r="1107" spans="1:15" x14ac:dyDescent="0.25">
      <c r="A1107" s="35" t="s">
        <v>1583</v>
      </c>
      <c r="B1107" s="28" t="str">
        <f t="shared" si="34"/>
        <v>Taylor</v>
      </c>
      <c r="C1107" s="30">
        <v>24512</v>
      </c>
      <c r="D1107" s="30">
        <v>24511</v>
      </c>
      <c r="E1107" s="30">
        <v>24673</v>
      </c>
      <c r="F1107" s="30">
        <v>24991</v>
      </c>
      <c r="G1107" s="30">
        <v>25069</v>
      </c>
      <c r="H1107" s="30">
        <v>25159</v>
      </c>
      <c r="I1107" s="30">
        <v>25360</v>
      </c>
      <c r="J1107" s="30">
        <v>25586</v>
      </c>
      <c r="K1107" s="30">
        <v>25441</v>
      </c>
      <c r="L1107" s="30">
        <v>25544</v>
      </c>
      <c r="M1107" s="30">
        <v>25514</v>
      </c>
      <c r="N1107" s="30">
        <v>25769</v>
      </c>
      <c r="O1107" s="24" t="str">
        <f t="shared" si="35"/>
        <v>Taylor County, Kentucky</v>
      </c>
    </row>
    <row r="1108" spans="1:15" x14ac:dyDescent="0.25">
      <c r="A1108" s="35" t="s">
        <v>1584</v>
      </c>
      <c r="B1108" s="28" t="str">
        <f t="shared" si="34"/>
        <v>Todd</v>
      </c>
      <c r="C1108" s="30">
        <v>12460</v>
      </c>
      <c r="D1108" s="30">
        <v>12463</v>
      </c>
      <c r="E1108" s="30">
        <v>12432</v>
      </c>
      <c r="F1108" s="30">
        <v>12428</v>
      </c>
      <c r="G1108" s="30">
        <v>12618</v>
      </c>
      <c r="H1108" s="30">
        <v>12475</v>
      </c>
      <c r="I1108" s="30">
        <v>12429</v>
      </c>
      <c r="J1108" s="30">
        <v>12447</v>
      </c>
      <c r="K1108" s="30">
        <v>12357</v>
      </c>
      <c r="L1108" s="30">
        <v>12177</v>
      </c>
      <c r="M1108" s="30">
        <v>12306</v>
      </c>
      <c r="N1108" s="30">
        <v>12294</v>
      </c>
      <c r="O1108" s="24" t="str">
        <f t="shared" si="35"/>
        <v>Todd County, Kentucky</v>
      </c>
    </row>
    <row r="1109" spans="1:15" x14ac:dyDescent="0.25">
      <c r="A1109" s="35" t="s">
        <v>1585</v>
      </c>
      <c r="B1109" s="28" t="str">
        <f t="shared" si="34"/>
        <v>Trigg</v>
      </c>
      <c r="C1109" s="30">
        <v>14339</v>
      </c>
      <c r="D1109" s="30">
        <v>14327</v>
      </c>
      <c r="E1109" s="30">
        <v>14322</v>
      </c>
      <c r="F1109" s="30">
        <v>14214</v>
      </c>
      <c r="G1109" s="30">
        <v>14410</v>
      </c>
      <c r="H1109" s="30">
        <v>14300</v>
      </c>
      <c r="I1109" s="30">
        <v>14131</v>
      </c>
      <c r="J1109" s="30">
        <v>14218</v>
      </c>
      <c r="K1109" s="30">
        <v>14302</v>
      </c>
      <c r="L1109" s="30">
        <v>14418</v>
      </c>
      <c r="M1109" s="30">
        <v>14658</v>
      </c>
      <c r="N1109" s="30">
        <v>14651</v>
      </c>
      <c r="O1109" s="24" t="str">
        <f t="shared" si="35"/>
        <v>Trigg County, Kentucky</v>
      </c>
    </row>
    <row r="1110" spans="1:15" x14ac:dyDescent="0.25">
      <c r="A1110" s="35" t="s">
        <v>1586</v>
      </c>
      <c r="B1110" s="28" t="str">
        <f t="shared" si="34"/>
        <v>Trimble</v>
      </c>
      <c r="C1110" s="30">
        <v>8809</v>
      </c>
      <c r="D1110" s="30">
        <v>8809</v>
      </c>
      <c r="E1110" s="30">
        <v>8812</v>
      </c>
      <c r="F1110" s="30">
        <v>8814</v>
      </c>
      <c r="G1110" s="30">
        <v>8844</v>
      </c>
      <c r="H1110" s="30">
        <v>8805</v>
      </c>
      <c r="I1110" s="30">
        <v>8722</v>
      </c>
      <c r="J1110" s="30">
        <v>8733</v>
      </c>
      <c r="K1110" s="30">
        <v>8596</v>
      </c>
      <c r="L1110" s="30">
        <v>8521</v>
      </c>
      <c r="M1110" s="30">
        <v>8468</v>
      </c>
      <c r="N1110" s="30">
        <v>8471</v>
      </c>
      <c r="O1110" s="24" t="str">
        <f t="shared" si="35"/>
        <v>Trimble County, Kentucky</v>
      </c>
    </row>
    <row r="1111" spans="1:15" x14ac:dyDescent="0.25">
      <c r="A1111" s="35" t="s">
        <v>1587</v>
      </c>
      <c r="B1111" s="28" t="str">
        <f t="shared" si="34"/>
        <v>Union</v>
      </c>
      <c r="C1111" s="30">
        <v>15007</v>
      </c>
      <c r="D1111" s="30">
        <v>15007</v>
      </c>
      <c r="E1111" s="30">
        <v>15276</v>
      </c>
      <c r="F1111" s="30">
        <v>15262</v>
      </c>
      <c r="G1111" s="30">
        <v>15082</v>
      </c>
      <c r="H1111" s="30">
        <v>15061</v>
      </c>
      <c r="I1111" s="30">
        <v>15072</v>
      </c>
      <c r="J1111" s="30">
        <v>14951</v>
      </c>
      <c r="K1111" s="30">
        <v>14765</v>
      </c>
      <c r="L1111" s="30">
        <v>14620</v>
      </c>
      <c r="M1111" s="30">
        <v>14471</v>
      </c>
      <c r="N1111" s="30">
        <v>14381</v>
      </c>
      <c r="O1111" s="24" t="str">
        <f t="shared" si="35"/>
        <v>Union County, Kentucky</v>
      </c>
    </row>
    <row r="1112" spans="1:15" x14ac:dyDescent="0.25">
      <c r="A1112" s="35" t="s">
        <v>1588</v>
      </c>
      <c r="B1112" s="28" t="str">
        <f t="shared" si="34"/>
        <v>Warren</v>
      </c>
      <c r="C1112" s="30">
        <v>113792</v>
      </c>
      <c r="D1112" s="30">
        <v>113781</v>
      </c>
      <c r="E1112" s="30">
        <v>114341</v>
      </c>
      <c r="F1112" s="30">
        <v>115862</v>
      </c>
      <c r="G1112" s="30">
        <v>117389</v>
      </c>
      <c r="H1112" s="30">
        <v>119575</v>
      </c>
      <c r="I1112" s="30">
        <v>121394</v>
      </c>
      <c r="J1112" s="30">
        <v>124122</v>
      </c>
      <c r="K1112" s="30">
        <v>126419</v>
      </c>
      <c r="L1112" s="30">
        <v>129074</v>
      </c>
      <c r="M1112" s="30">
        <v>130750</v>
      </c>
      <c r="N1112" s="30">
        <v>132896</v>
      </c>
      <c r="O1112" s="24" t="str">
        <f t="shared" si="35"/>
        <v>Warren County, Kentucky</v>
      </c>
    </row>
    <row r="1113" spans="1:15" x14ac:dyDescent="0.25">
      <c r="A1113" s="35" t="s">
        <v>1589</v>
      </c>
      <c r="B1113" s="28" t="str">
        <f t="shared" si="34"/>
        <v>Washington</v>
      </c>
      <c r="C1113" s="30">
        <v>11717</v>
      </c>
      <c r="D1113" s="30">
        <v>11713</v>
      </c>
      <c r="E1113" s="30">
        <v>11695</v>
      </c>
      <c r="F1113" s="30">
        <v>11690</v>
      </c>
      <c r="G1113" s="30">
        <v>11821</v>
      </c>
      <c r="H1113" s="30">
        <v>11849</v>
      </c>
      <c r="I1113" s="30">
        <v>11901</v>
      </c>
      <c r="J1113" s="30">
        <v>12007</v>
      </c>
      <c r="K1113" s="30">
        <v>12109</v>
      </c>
      <c r="L1113" s="30">
        <v>11880</v>
      </c>
      <c r="M1113" s="30">
        <v>12023</v>
      </c>
      <c r="N1113" s="30">
        <v>12095</v>
      </c>
      <c r="O1113" s="24" t="str">
        <f t="shared" si="35"/>
        <v>Washington County, Kentucky</v>
      </c>
    </row>
    <row r="1114" spans="1:15" x14ac:dyDescent="0.25">
      <c r="A1114" s="35" t="s">
        <v>1590</v>
      </c>
      <c r="B1114" s="28" t="str">
        <f t="shared" si="34"/>
        <v>Wayne</v>
      </c>
      <c r="C1114" s="30">
        <v>20813</v>
      </c>
      <c r="D1114" s="30">
        <v>20813</v>
      </c>
      <c r="E1114" s="30">
        <v>20850</v>
      </c>
      <c r="F1114" s="30">
        <v>20901</v>
      </c>
      <c r="G1114" s="30">
        <v>20824</v>
      </c>
      <c r="H1114" s="30">
        <v>20782</v>
      </c>
      <c r="I1114" s="30">
        <v>20618</v>
      </c>
      <c r="J1114" s="30">
        <v>20609</v>
      </c>
      <c r="K1114" s="30">
        <v>20728</v>
      </c>
      <c r="L1114" s="30">
        <v>20628</v>
      </c>
      <c r="M1114" s="30">
        <v>20430</v>
      </c>
      <c r="N1114" s="30">
        <v>20333</v>
      </c>
      <c r="O1114" s="24" t="str">
        <f t="shared" si="35"/>
        <v>Wayne County, Kentucky</v>
      </c>
    </row>
    <row r="1115" spans="1:15" x14ac:dyDescent="0.25">
      <c r="A1115" s="35" t="s">
        <v>1591</v>
      </c>
      <c r="B1115" s="28" t="str">
        <f t="shared" si="34"/>
        <v>Webster</v>
      </c>
      <c r="C1115" s="30">
        <v>13621</v>
      </c>
      <c r="D1115" s="30">
        <v>13621</v>
      </c>
      <c r="E1115" s="30">
        <v>13579</v>
      </c>
      <c r="F1115" s="30">
        <v>13528</v>
      </c>
      <c r="G1115" s="30">
        <v>13460</v>
      </c>
      <c r="H1115" s="30">
        <v>13357</v>
      </c>
      <c r="I1115" s="30">
        <v>13184</v>
      </c>
      <c r="J1115" s="30">
        <v>13155</v>
      </c>
      <c r="K1115" s="30">
        <v>13181</v>
      </c>
      <c r="L1115" s="30">
        <v>13012</v>
      </c>
      <c r="M1115" s="30">
        <v>13051</v>
      </c>
      <c r="N1115" s="30">
        <v>12942</v>
      </c>
      <c r="O1115" s="24" t="str">
        <f t="shared" si="35"/>
        <v>Webster County, Kentucky</v>
      </c>
    </row>
    <row r="1116" spans="1:15" x14ac:dyDescent="0.25">
      <c r="A1116" s="35" t="s">
        <v>1592</v>
      </c>
      <c r="B1116" s="28" t="str">
        <f t="shared" si="34"/>
        <v>Whitley</v>
      </c>
      <c r="C1116" s="30">
        <v>35637</v>
      </c>
      <c r="D1116" s="30">
        <v>35633</v>
      </c>
      <c r="E1116" s="30">
        <v>35718</v>
      </c>
      <c r="F1116" s="30">
        <v>35854</v>
      </c>
      <c r="G1116" s="30">
        <v>35768</v>
      </c>
      <c r="H1116" s="30">
        <v>35870</v>
      </c>
      <c r="I1116" s="30">
        <v>35833</v>
      </c>
      <c r="J1116" s="30">
        <v>36109</v>
      </c>
      <c r="K1116" s="30">
        <v>36108</v>
      </c>
      <c r="L1116" s="30">
        <v>36074</v>
      </c>
      <c r="M1116" s="30">
        <v>36101</v>
      </c>
      <c r="N1116" s="30">
        <v>36264</v>
      </c>
      <c r="O1116" s="24" t="str">
        <f t="shared" si="35"/>
        <v>Whitley County, Kentucky</v>
      </c>
    </row>
    <row r="1117" spans="1:15" x14ac:dyDescent="0.25">
      <c r="A1117" s="35" t="s">
        <v>1593</v>
      </c>
      <c r="B1117" s="28" t="str">
        <f t="shared" si="34"/>
        <v>Wolfe</v>
      </c>
      <c r="C1117" s="30">
        <v>7355</v>
      </c>
      <c r="D1117" s="30">
        <v>7355</v>
      </c>
      <c r="E1117" s="30">
        <v>7361</v>
      </c>
      <c r="F1117" s="30">
        <v>7362</v>
      </c>
      <c r="G1117" s="30">
        <v>7194</v>
      </c>
      <c r="H1117" s="30">
        <v>7279</v>
      </c>
      <c r="I1117" s="30">
        <v>7252</v>
      </c>
      <c r="J1117" s="30">
        <v>7241</v>
      </c>
      <c r="K1117" s="30">
        <v>7189</v>
      </c>
      <c r="L1117" s="30">
        <v>7248</v>
      </c>
      <c r="M1117" s="30">
        <v>7199</v>
      </c>
      <c r="N1117" s="30">
        <v>7157</v>
      </c>
      <c r="O1117" s="24" t="str">
        <f t="shared" si="35"/>
        <v>Wolfe County, Kentucky</v>
      </c>
    </row>
    <row r="1118" spans="1:15" x14ac:dyDescent="0.25">
      <c r="A1118" s="35" t="s">
        <v>1594</v>
      </c>
      <c r="B1118" s="28" t="str">
        <f t="shared" si="34"/>
        <v>Woodford</v>
      </c>
      <c r="C1118" s="30">
        <v>24939</v>
      </c>
      <c r="D1118" s="30">
        <v>24946</v>
      </c>
      <c r="E1118" s="30">
        <v>25040</v>
      </c>
      <c r="F1118" s="30">
        <v>24944</v>
      </c>
      <c r="G1118" s="30">
        <v>25117</v>
      </c>
      <c r="H1118" s="30">
        <v>25345</v>
      </c>
      <c r="I1118" s="30">
        <v>25586</v>
      </c>
      <c r="J1118" s="30">
        <v>25860</v>
      </c>
      <c r="K1118" s="30">
        <v>26118</v>
      </c>
      <c r="L1118" s="30">
        <v>26385</v>
      </c>
      <c r="M1118" s="30">
        <v>26491</v>
      </c>
      <c r="N1118" s="30">
        <v>26734</v>
      </c>
      <c r="O1118" s="24" t="str">
        <f t="shared" si="35"/>
        <v>Woodford County, Kentucky</v>
      </c>
    </row>
    <row r="1119" spans="1:15" x14ac:dyDescent="0.25">
      <c r="A1119" s="35" t="s">
        <v>1595</v>
      </c>
      <c r="B1119" s="28" t="e">
        <f t="shared" si="34"/>
        <v>#VALUE!</v>
      </c>
      <c r="C1119" s="30">
        <v>61773</v>
      </c>
      <c r="D1119" s="30">
        <v>61787</v>
      </c>
      <c r="E1119" s="30">
        <v>61877</v>
      </c>
      <c r="F1119" s="30">
        <v>61865</v>
      </c>
      <c r="G1119" s="30">
        <v>61997</v>
      </c>
      <c r="H1119" s="30">
        <v>62299</v>
      </c>
      <c r="I1119" s="30">
        <v>62667</v>
      </c>
      <c r="J1119" s="30">
        <v>62679</v>
      </c>
      <c r="K1119" s="30">
        <v>62786</v>
      </c>
      <c r="L1119" s="30">
        <v>62559</v>
      </c>
      <c r="M1119" s="30">
        <v>62214</v>
      </c>
      <c r="N1119" s="30">
        <v>62045</v>
      </c>
      <c r="O1119" s="24" t="str">
        <f t="shared" si="35"/>
        <v>Acadia Parish, Louisiana</v>
      </c>
    </row>
    <row r="1120" spans="1:15" x14ac:dyDescent="0.25">
      <c r="A1120" s="35" t="s">
        <v>1596</v>
      </c>
      <c r="B1120" s="28" t="e">
        <f t="shared" si="34"/>
        <v>#VALUE!</v>
      </c>
      <c r="C1120" s="30">
        <v>25764</v>
      </c>
      <c r="D1120" s="30">
        <v>25747</v>
      </c>
      <c r="E1120" s="30">
        <v>25702</v>
      </c>
      <c r="F1120" s="30">
        <v>25740</v>
      </c>
      <c r="G1120" s="30">
        <v>25622</v>
      </c>
      <c r="H1120" s="30">
        <v>25664</v>
      </c>
      <c r="I1120" s="30">
        <v>25714</v>
      </c>
      <c r="J1120" s="30">
        <v>25631</v>
      </c>
      <c r="K1120" s="30">
        <v>25680</v>
      </c>
      <c r="L1120" s="30">
        <v>25583</v>
      </c>
      <c r="M1120" s="30">
        <v>25567</v>
      </c>
      <c r="N1120" s="30">
        <v>25627</v>
      </c>
      <c r="O1120" s="24" t="str">
        <f t="shared" si="35"/>
        <v>Allen Parish, Louisiana</v>
      </c>
    </row>
    <row r="1121" spans="1:15" x14ac:dyDescent="0.25">
      <c r="A1121" s="35" t="s">
        <v>1597</v>
      </c>
      <c r="B1121" s="28" t="e">
        <f t="shared" si="34"/>
        <v>#VALUE!</v>
      </c>
      <c r="C1121" s="30">
        <v>107215</v>
      </c>
      <c r="D1121" s="30">
        <v>107215</v>
      </c>
      <c r="E1121" s="30">
        <v>107890</v>
      </c>
      <c r="F1121" s="30">
        <v>110075</v>
      </c>
      <c r="G1121" s="30">
        <v>112218</v>
      </c>
      <c r="H1121" s="30">
        <v>114636</v>
      </c>
      <c r="I1121" s="30">
        <v>117282</v>
      </c>
      <c r="J1121" s="30">
        <v>119374</v>
      </c>
      <c r="K1121" s="30">
        <v>121558</v>
      </c>
      <c r="L1121" s="30">
        <v>123177</v>
      </c>
      <c r="M1121" s="30">
        <v>124858</v>
      </c>
      <c r="N1121" s="30">
        <v>126604</v>
      </c>
      <c r="O1121" s="24" t="str">
        <f t="shared" si="35"/>
        <v>Ascension Parish, Louisiana</v>
      </c>
    </row>
    <row r="1122" spans="1:15" x14ac:dyDescent="0.25">
      <c r="A1122" s="35" t="s">
        <v>1598</v>
      </c>
      <c r="B1122" s="28" t="e">
        <f t="shared" si="34"/>
        <v>#VALUE!</v>
      </c>
      <c r="C1122" s="30">
        <v>23421</v>
      </c>
      <c r="D1122" s="30">
        <v>23416</v>
      </c>
      <c r="E1122" s="30">
        <v>23333</v>
      </c>
      <c r="F1122" s="30">
        <v>23185</v>
      </c>
      <c r="G1122" s="30">
        <v>23072</v>
      </c>
      <c r="H1122" s="30">
        <v>23199</v>
      </c>
      <c r="I1122" s="30">
        <v>23047</v>
      </c>
      <c r="J1122" s="30">
        <v>22898</v>
      </c>
      <c r="K1122" s="30">
        <v>22756</v>
      </c>
      <c r="L1122" s="30">
        <v>22568</v>
      </c>
      <c r="M1122" s="30">
        <v>22279</v>
      </c>
      <c r="N1122" s="30">
        <v>21891</v>
      </c>
      <c r="O1122" s="24" t="str">
        <f t="shared" si="35"/>
        <v>Assumption Parish, Louisiana</v>
      </c>
    </row>
    <row r="1123" spans="1:15" x14ac:dyDescent="0.25">
      <c r="A1123" s="35" t="s">
        <v>1599</v>
      </c>
      <c r="B1123" s="28" t="e">
        <f t="shared" si="34"/>
        <v>#VALUE!</v>
      </c>
      <c r="C1123" s="30">
        <v>42073</v>
      </c>
      <c r="D1123" s="30">
        <v>42071</v>
      </c>
      <c r="E1123" s="30">
        <v>42106</v>
      </c>
      <c r="F1123" s="30">
        <v>41795</v>
      </c>
      <c r="G1123" s="30">
        <v>41572</v>
      </c>
      <c r="H1123" s="30">
        <v>41275</v>
      </c>
      <c r="I1123" s="30">
        <v>41088</v>
      </c>
      <c r="J1123" s="30">
        <v>40979</v>
      </c>
      <c r="K1123" s="30">
        <v>40983</v>
      </c>
      <c r="L1123" s="30">
        <v>40836</v>
      </c>
      <c r="M1123" s="30">
        <v>40402</v>
      </c>
      <c r="N1123" s="30">
        <v>40144</v>
      </c>
      <c r="O1123" s="24" t="str">
        <f t="shared" si="35"/>
        <v>Avoyelles Parish, Louisiana</v>
      </c>
    </row>
    <row r="1124" spans="1:15" x14ac:dyDescent="0.25">
      <c r="A1124" s="35" t="s">
        <v>1600</v>
      </c>
      <c r="B1124" s="28" t="e">
        <f t="shared" si="34"/>
        <v>#VALUE!</v>
      </c>
      <c r="C1124" s="30">
        <v>35654</v>
      </c>
      <c r="D1124" s="30">
        <v>35651</v>
      </c>
      <c r="E1124" s="30">
        <v>35831</v>
      </c>
      <c r="F1124" s="30">
        <v>36090</v>
      </c>
      <c r="G1124" s="30">
        <v>36333</v>
      </c>
      <c r="H1124" s="30">
        <v>36260</v>
      </c>
      <c r="I1124" s="30">
        <v>36239</v>
      </c>
      <c r="J1124" s="30">
        <v>36531</v>
      </c>
      <c r="K1124" s="30">
        <v>36973</v>
      </c>
      <c r="L1124" s="30">
        <v>36847</v>
      </c>
      <c r="M1124" s="30">
        <v>37369</v>
      </c>
      <c r="N1124" s="30">
        <v>37497</v>
      </c>
      <c r="O1124" s="24" t="str">
        <f t="shared" si="35"/>
        <v>Beauregard Parish, Louisiana</v>
      </c>
    </row>
    <row r="1125" spans="1:15" x14ac:dyDescent="0.25">
      <c r="A1125" s="35" t="s">
        <v>1601</v>
      </c>
      <c r="B1125" s="28" t="e">
        <f t="shared" si="34"/>
        <v>#VALUE!</v>
      </c>
      <c r="C1125" s="30">
        <v>14353</v>
      </c>
      <c r="D1125" s="30">
        <v>14353</v>
      </c>
      <c r="E1125" s="30">
        <v>14306</v>
      </c>
      <c r="F1125" s="30">
        <v>14261</v>
      </c>
      <c r="G1125" s="30">
        <v>14192</v>
      </c>
      <c r="H1125" s="30">
        <v>13961</v>
      </c>
      <c r="I1125" s="30">
        <v>13782</v>
      </c>
      <c r="J1125" s="30">
        <v>13823</v>
      </c>
      <c r="K1125" s="30">
        <v>13780</v>
      </c>
      <c r="L1125" s="30">
        <v>13631</v>
      </c>
      <c r="M1125" s="30">
        <v>13343</v>
      </c>
      <c r="N1125" s="30">
        <v>13241</v>
      </c>
      <c r="O1125" s="24" t="str">
        <f t="shared" si="35"/>
        <v>Bienville Parish, Louisiana</v>
      </c>
    </row>
    <row r="1126" spans="1:15" x14ac:dyDescent="0.25">
      <c r="A1126" s="35" t="s">
        <v>1602</v>
      </c>
      <c r="B1126" s="28" t="s">
        <v>3642</v>
      </c>
      <c r="C1126" s="30">
        <v>116979</v>
      </c>
      <c r="D1126" s="30">
        <v>117036</v>
      </c>
      <c r="E1126" s="30">
        <v>117675</v>
      </c>
      <c r="F1126" s="30">
        <v>120134</v>
      </c>
      <c r="G1126" s="30">
        <v>123160</v>
      </c>
      <c r="H1126" s="30">
        <v>124021</v>
      </c>
      <c r="I1126" s="30">
        <v>124868</v>
      </c>
      <c r="J1126" s="30">
        <v>125554</v>
      </c>
      <c r="K1126" s="30">
        <v>125920</v>
      </c>
      <c r="L1126" s="30">
        <v>126959</v>
      </c>
      <c r="M1126" s="30">
        <v>127022</v>
      </c>
      <c r="N1126" s="30">
        <v>127039</v>
      </c>
      <c r="O1126" s="24" t="str">
        <f t="shared" si="35"/>
        <v>Bossier Parish, Louisiana</v>
      </c>
    </row>
    <row r="1127" spans="1:15" x14ac:dyDescent="0.25">
      <c r="A1127" s="35" t="s">
        <v>1603</v>
      </c>
      <c r="B1127" s="28" t="e">
        <f t="shared" si="34"/>
        <v>#VALUE!</v>
      </c>
      <c r="C1127" s="30">
        <v>254969</v>
      </c>
      <c r="D1127" s="30">
        <v>254914</v>
      </c>
      <c r="E1127" s="30">
        <v>255590</v>
      </c>
      <c r="F1127" s="30">
        <v>256967</v>
      </c>
      <c r="G1127" s="30">
        <v>257252</v>
      </c>
      <c r="H1127" s="30">
        <v>255127</v>
      </c>
      <c r="I1127" s="30">
        <v>252605</v>
      </c>
      <c r="J1127" s="30">
        <v>251345</v>
      </c>
      <c r="K1127" s="30">
        <v>248837</v>
      </c>
      <c r="L1127" s="30">
        <v>245935</v>
      </c>
      <c r="M1127" s="30">
        <v>242833</v>
      </c>
      <c r="N1127" s="30">
        <v>240204</v>
      </c>
      <c r="O1127" s="24" t="str">
        <f t="shared" si="35"/>
        <v>Caddo Parish, Louisiana</v>
      </c>
    </row>
    <row r="1128" spans="1:15" x14ac:dyDescent="0.25">
      <c r="A1128" s="35" t="s">
        <v>1604</v>
      </c>
      <c r="B1128" s="28" t="e">
        <f t="shared" si="34"/>
        <v>#VALUE!</v>
      </c>
      <c r="C1128" s="30">
        <v>192768</v>
      </c>
      <c r="D1128" s="30">
        <v>192772</v>
      </c>
      <c r="E1128" s="30">
        <v>193026</v>
      </c>
      <c r="F1128" s="30">
        <v>193861</v>
      </c>
      <c r="G1128" s="30">
        <v>194479</v>
      </c>
      <c r="H1128" s="30">
        <v>195492</v>
      </c>
      <c r="I1128" s="30">
        <v>196570</v>
      </c>
      <c r="J1128" s="30">
        <v>198450</v>
      </c>
      <c r="K1128" s="30">
        <v>200568</v>
      </c>
      <c r="L1128" s="30">
        <v>202466</v>
      </c>
      <c r="M1128" s="30">
        <v>203177</v>
      </c>
      <c r="N1128" s="30">
        <v>203436</v>
      </c>
      <c r="O1128" s="24" t="str">
        <f t="shared" si="35"/>
        <v>Calcasieu Parish, Louisiana</v>
      </c>
    </row>
    <row r="1129" spans="1:15" x14ac:dyDescent="0.25">
      <c r="A1129" s="35" t="s">
        <v>1605</v>
      </c>
      <c r="B1129" s="28" t="e">
        <f t="shared" si="34"/>
        <v>#VALUE!</v>
      </c>
      <c r="C1129" s="30">
        <v>10132</v>
      </c>
      <c r="D1129" s="30">
        <v>10126</v>
      </c>
      <c r="E1129" s="30">
        <v>10148</v>
      </c>
      <c r="F1129" s="30">
        <v>10123</v>
      </c>
      <c r="G1129" s="30">
        <v>10042</v>
      </c>
      <c r="H1129" s="30">
        <v>9984</v>
      </c>
      <c r="I1129" s="30">
        <v>9950</v>
      </c>
      <c r="J1129" s="30">
        <v>10045</v>
      </c>
      <c r="K1129" s="30">
        <v>10074</v>
      </c>
      <c r="L1129" s="30">
        <v>9959</v>
      </c>
      <c r="M1129" s="30">
        <v>9964</v>
      </c>
      <c r="N1129" s="30">
        <v>9918</v>
      </c>
      <c r="O1129" s="24" t="str">
        <f t="shared" si="35"/>
        <v>Caldwell Parish, Louisiana</v>
      </c>
    </row>
    <row r="1130" spans="1:15" x14ac:dyDescent="0.25">
      <c r="A1130" s="35" t="s">
        <v>1606</v>
      </c>
      <c r="B1130" s="28" t="e">
        <f t="shared" si="34"/>
        <v>#VALUE!</v>
      </c>
      <c r="C1130" s="30">
        <v>6839</v>
      </c>
      <c r="D1130" s="30">
        <v>6868</v>
      </c>
      <c r="E1130" s="30">
        <v>6917</v>
      </c>
      <c r="F1130" s="30">
        <v>6673</v>
      </c>
      <c r="G1130" s="30">
        <v>6631</v>
      </c>
      <c r="H1130" s="30">
        <v>6713</v>
      </c>
      <c r="I1130" s="30">
        <v>6726</v>
      </c>
      <c r="J1130" s="30">
        <v>6825</v>
      </c>
      <c r="K1130" s="30">
        <v>6896</v>
      </c>
      <c r="L1130" s="30">
        <v>6944</v>
      </c>
      <c r="M1130" s="30">
        <v>7013</v>
      </c>
      <c r="N1130" s="30">
        <v>6973</v>
      </c>
      <c r="O1130" s="24" t="str">
        <f t="shared" si="35"/>
        <v>Cameron Parish, Louisiana</v>
      </c>
    </row>
    <row r="1131" spans="1:15" x14ac:dyDescent="0.25">
      <c r="A1131" s="35" t="s">
        <v>1607</v>
      </c>
      <c r="B1131" s="28" t="e">
        <f t="shared" si="34"/>
        <v>#VALUE!</v>
      </c>
      <c r="C1131" s="30">
        <v>10407</v>
      </c>
      <c r="D1131" s="30">
        <v>10407</v>
      </c>
      <c r="E1131" s="30">
        <v>10377</v>
      </c>
      <c r="F1131" s="30">
        <v>10286</v>
      </c>
      <c r="G1131" s="30">
        <v>10240</v>
      </c>
      <c r="H1131" s="30">
        <v>10251</v>
      </c>
      <c r="I1131" s="30">
        <v>10129</v>
      </c>
      <c r="J1131" s="30">
        <v>10029</v>
      </c>
      <c r="K1131" s="30">
        <v>9869</v>
      </c>
      <c r="L1131" s="30">
        <v>9830</v>
      </c>
      <c r="M1131" s="30">
        <v>9606</v>
      </c>
      <c r="N1131" s="30">
        <v>9494</v>
      </c>
      <c r="O1131" s="24" t="str">
        <f t="shared" si="35"/>
        <v>Catahoula Parish, Louisiana</v>
      </c>
    </row>
    <row r="1132" spans="1:15" x14ac:dyDescent="0.25">
      <c r="A1132" s="35" t="s">
        <v>1608</v>
      </c>
      <c r="B1132" s="28" t="e">
        <f t="shared" si="34"/>
        <v>#VALUE!</v>
      </c>
      <c r="C1132" s="30">
        <v>17195</v>
      </c>
      <c r="D1132" s="30">
        <v>17195</v>
      </c>
      <c r="E1132" s="30">
        <v>17175</v>
      </c>
      <c r="F1132" s="30">
        <v>16940</v>
      </c>
      <c r="G1132" s="30">
        <v>16868</v>
      </c>
      <c r="H1132" s="30">
        <v>16662</v>
      </c>
      <c r="I1132" s="30">
        <v>16402</v>
      </c>
      <c r="J1132" s="30">
        <v>16261</v>
      </c>
      <c r="K1132" s="30">
        <v>16146</v>
      </c>
      <c r="L1132" s="30">
        <v>15953</v>
      </c>
      <c r="M1132" s="30">
        <v>15895</v>
      </c>
      <c r="N1132" s="30">
        <v>15670</v>
      </c>
      <c r="O1132" s="24" t="str">
        <f t="shared" si="35"/>
        <v>Claiborne Parish, Louisiana</v>
      </c>
    </row>
    <row r="1133" spans="1:15" x14ac:dyDescent="0.25">
      <c r="A1133" s="35" t="s">
        <v>1609</v>
      </c>
      <c r="B1133" s="28" t="e">
        <f t="shared" si="34"/>
        <v>#VALUE!</v>
      </c>
      <c r="C1133" s="30">
        <v>20822</v>
      </c>
      <c r="D1133" s="30">
        <v>20822</v>
      </c>
      <c r="E1133" s="30">
        <v>20839</v>
      </c>
      <c r="F1133" s="30">
        <v>20842</v>
      </c>
      <c r="G1133" s="30">
        <v>20501</v>
      </c>
      <c r="H1133" s="30">
        <v>20500</v>
      </c>
      <c r="I1133" s="30">
        <v>20479</v>
      </c>
      <c r="J1133" s="30">
        <v>20228</v>
      </c>
      <c r="K1133" s="30">
        <v>19970</v>
      </c>
      <c r="L1133" s="30">
        <v>19846</v>
      </c>
      <c r="M1133" s="30">
        <v>19586</v>
      </c>
      <c r="N1133" s="30">
        <v>19259</v>
      </c>
      <c r="O1133" s="24" t="str">
        <f t="shared" si="35"/>
        <v>Concordia Parish, Louisiana</v>
      </c>
    </row>
    <row r="1134" spans="1:15" x14ac:dyDescent="0.25">
      <c r="A1134" s="35" t="s">
        <v>1610</v>
      </c>
      <c r="B1134" s="28" t="e">
        <f t="shared" si="34"/>
        <v>#VALUE!</v>
      </c>
      <c r="C1134" s="30">
        <v>26656</v>
      </c>
      <c r="D1134" s="30">
        <v>26656</v>
      </c>
      <c r="E1134" s="30">
        <v>26670</v>
      </c>
      <c r="F1134" s="30">
        <v>26779</v>
      </c>
      <c r="G1134" s="30">
        <v>27023</v>
      </c>
      <c r="H1134" s="30">
        <v>27089</v>
      </c>
      <c r="I1134" s="30">
        <v>27061</v>
      </c>
      <c r="J1134" s="30">
        <v>27101</v>
      </c>
      <c r="K1134" s="30">
        <v>27190</v>
      </c>
      <c r="L1134" s="30">
        <v>27267</v>
      </c>
      <c r="M1134" s="30">
        <v>27426</v>
      </c>
      <c r="N1134" s="30">
        <v>27463</v>
      </c>
      <c r="O1134" s="24" t="str">
        <f t="shared" si="35"/>
        <v>De Soto Parish, Louisiana</v>
      </c>
    </row>
    <row r="1135" spans="1:15" x14ac:dyDescent="0.25">
      <c r="A1135" s="35" t="s">
        <v>1611</v>
      </c>
      <c r="B1135" s="28" t="e">
        <f t="shared" si="34"/>
        <v>#VALUE!</v>
      </c>
      <c r="C1135" s="30">
        <v>440171</v>
      </c>
      <c r="D1135" s="30">
        <v>440525</v>
      </c>
      <c r="E1135" s="30">
        <v>440912</v>
      </c>
      <c r="F1135" s="30">
        <v>441564</v>
      </c>
      <c r="G1135" s="30">
        <v>442955</v>
      </c>
      <c r="H1135" s="30">
        <v>444181</v>
      </c>
      <c r="I1135" s="30">
        <v>445119</v>
      </c>
      <c r="J1135" s="30">
        <v>445512</v>
      </c>
      <c r="K1135" s="30">
        <v>446677</v>
      </c>
      <c r="L1135" s="30">
        <v>444511</v>
      </c>
      <c r="M1135" s="30">
        <v>442058</v>
      </c>
      <c r="N1135" s="30">
        <v>440059</v>
      </c>
      <c r="O1135" s="24" t="str">
        <f t="shared" si="35"/>
        <v>East Baton Rouge Parish, Louisiana</v>
      </c>
    </row>
    <row r="1136" spans="1:15" x14ac:dyDescent="0.25">
      <c r="A1136" s="35" t="s">
        <v>1612</v>
      </c>
      <c r="B1136" s="28" t="e">
        <f t="shared" si="34"/>
        <v>#VALUE!</v>
      </c>
      <c r="C1136" s="30">
        <v>7759</v>
      </c>
      <c r="D1136" s="30">
        <v>7759</v>
      </c>
      <c r="E1136" s="30">
        <v>7737</v>
      </c>
      <c r="F1136" s="30">
        <v>7658</v>
      </c>
      <c r="G1136" s="30">
        <v>7579</v>
      </c>
      <c r="H1136" s="30">
        <v>7500</v>
      </c>
      <c r="I1136" s="30">
        <v>7445</v>
      </c>
      <c r="J1136" s="30">
        <v>7277</v>
      </c>
      <c r="K1136" s="30">
        <v>7235</v>
      </c>
      <c r="L1136" s="30">
        <v>7111</v>
      </c>
      <c r="M1136" s="30">
        <v>6994</v>
      </c>
      <c r="N1136" s="30">
        <v>6861</v>
      </c>
      <c r="O1136" s="24" t="str">
        <f t="shared" si="35"/>
        <v>East Carroll Parish, Louisiana</v>
      </c>
    </row>
    <row r="1137" spans="1:15" x14ac:dyDescent="0.25">
      <c r="A1137" s="35" t="s">
        <v>1613</v>
      </c>
      <c r="B1137" s="28" t="e">
        <f t="shared" si="34"/>
        <v>#VALUE!</v>
      </c>
      <c r="C1137" s="30">
        <v>20267</v>
      </c>
      <c r="D1137" s="30">
        <v>20260</v>
      </c>
      <c r="E1137" s="30">
        <v>20157</v>
      </c>
      <c r="F1137" s="30">
        <v>20085</v>
      </c>
      <c r="G1137" s="30">
        <v>19860</v>
      </c>
      <c r="H1137" s="30">
        <v>19601</v>
      </c>
      <c r="I1137" s="30">
        <v>19677</v>
      </c>
      <c r="J1137" s="30">
        <v>19540</v>
      </c>
      <c r="K1137" s="30">
        <v>19513</v>
      </c>
      <c r="L1137" s="30">
        <v>19380</v>
      </c>
      <c r="M1137" s="30">
        <v>19286</v>
      </c>
      <c r="N1137" s="30">
        <v>19135</v>
      </c>
      <c r="O1137" s="24" t="str">
        <f t="shared" si="35"/>
        <v>East Feliciana Parish, Louisiana</v>
      </c>
    </row>
    <row r="1138" spans="1:15" x14ac:dyDescent="0.25">
      <c r="A1138" s="35" t="s">
        <v>1614</v>
      </c>
      <c r="B1138" s="28" t="e">
        <f t="shared" si="34"/>
        <v>#VALUE!</v>
      </c>
      <c r="C1138" s="30">
        <v>33984</v>
      </c>
      <c r="D1138" s="30">
        <v>33988</v>
      </c>
      <c r="E1138" s="30">
        <v>33956</v>
      </c>
      <c r="F1138" s="30">
        <v>33842</v>
      </c>
      <c r="G1138" s="30">
        <v>33748</v>
      </c>
      <c r="H1138" s="30">
        <v>33827</v>
      </c>
      <c r="I1138" s="30">
        <v>33758</v>
      </c>
      <c r="J1138" s="30">
        <v>33724</v>
      </c>
      <c r="K1138" s="30">
        <v>33667</v>
      </c>
      <c r="L1138" s="30">
        <v>33663</v>
      </c>
      <c r="M1138" s="30">
        <v>33496</v>
      </c>
      <c r="N1138" s="30">
        <v>33395</v>
      </c>
      <c r="O1138" s="24" t="str">
        <f t="shared" si="35"/>
        <v>Evangeline Parish, Louisiana</v>
      </c>
    </row>
    <row r="1139" spans="1:15" x14ac:dyDescent="0.25">
      <c r="A1139" s="35" t="s">
        <v>1615</v>
      </c>
      <c r="B1139" s="28" t="e">
        <f t="shared" si="34"/>
        <v>#VALUE!</v>
      </c>
      <c r="C1139" s="30">
        <v>20767</v>
      </c>
      <c r="D1139" s="30">
        <v>20767</v>
      </c>
      <c r="E1139" s="30">
        <v>20810</v>
      </c>
      <c r="F1139" s="30">
        <v>20771</v>
      </c>
      <c r="G1139" s="30">
        <v>20573</v>
      </c>
      <c r="H1139" s="30">
        <v>20508</v>
      </c>
      <c r="I1139" s="30">
        <v>20432</v>
      </c>
      <c r="J1139" s="30">
        <v>20386</v>
      </c>
      <c r="K1139" s="30">
        <v>20370</v>
      </c>
      <c r="L1139" s="30">
        <v>20256</v>
      </c>
      <c r="M1139" s="30">
        <v>20164</v>
      </c>
      <c r="N1139" s="30">
        <v>20015</v>
      </c>
      <c r="O1139" s="24" t="str">
        <f t="shared" si="35"/>
        <v>Franklin Parish, Louisiana</v>
      </c>
    </row>
    <row r="1140" spans="1:15" x14ac:dyDescent="0.25">
      <c r="A1140" s="35" t="s">
        <v>1616</v>
      </c>
      <c r="B1140" s="28" t="e">
        <f t="shared" si="34"/>
        <v>#VALUE!</v>
      </c>
      <c r="C1140" s="30">
        <v>22309</v>
      </c>
      <c r="D1140" s="30">
        <v>22309</v>
      </c>
      <c r="E1140" s="30">
        <v>22336</v>
      </c>
      <c r="F1140" s="30">
        <v>22382</v>
      </c>
      <c r="G1140" s="30">
        <v>22388</v>
      </c>
      <c r="H1140" s="30">
        <v>22301</v>
      </c>
      <c r="I1140" s="30">
        <v>22356</v>
      </c>
      <c r="J1140" s="30">
        <v>22302</v>
      </c>
      <c r="K1140" s="30">
        <v>22279</v>
      </c>
      <c r="L1140" s="30">
        <v>22296</v>
      </c>
      <c r="M1140" s="30">
        <v>22436</v>
      </c>
      <c r="N1140" s="30">
        <v>22389</v>
      </c>
      <c r="O1140" s="24" t="str">
        <f t="shared" si="35"/>
        <v>Grant Parish, Louisiana</v>
      </c>
    </row>
    <row r="1141" spans="1:15" x14ac:dyDescent="0.25">
      <c r="A1141" s="35" t="s">
        <v>1617</v>
      </c>
      <c r="B1141" s="28" t="e">
        <f t="shared" si="34"/>
        <v>#VALUE!</v>
      </c>
      <c r="C1141" s="30">
        <v>73240</v>
      </c>
      <c r="D1141" s="30">
        <v>73087</v>
      </c>
      <c r="E1141" s="30">
        <v>73111</v>
      </c>
      <c r="F1141" s="30">
        <v>73439</v>
      </c>
      <c r="G1141" s="30">
        <v>73660</v>
      </c>
      <c r="H1141" s="30">
        <v>73839</v>
      </c>
      <c r="I1141" s="30">
        <v>73724</v>
      </c>
      <c r="J1141" s="30">
        <v>73747</v>
      </c>
      <c r="K1141" s="30">
        <v>72971</v>
      </c>
      <c r="L1141" s="30">
        <v>71982</v>
      </c>
      <c r="M1141" s="30">
        <v>70905</v>
      </c>
      <c r="N1141" s="30">
        <v>69830</v>
      </c>
      <c r="O1141" s="24" t="str">
        <f t="shared" si="35"/>
        <v>Iberia Parish, Louisiana</v>
      </c>
    </row>
    <row r="1142" spans="1:15" x14ac:dyDescent="0.25">
      <c r="A1142" s="35" t="s">
        <v>1618</v>
      </c>
      <c r="B1142" s="28" t="e">
        <f t="shared" si="34"/>
        <v>#VALUE!</v>
      </c>
      <c r="C1142" s="30">
        <v>33387</v>
      </c>
      <c r="D1142" s="30">
        <v>33404</v>
      </c>
      <c r="E1142" s="30">
        <v>33388</v>
      </c>
      <c r="F1142" s="30">
        <v>33361</v>
      </c>
      <c r="G1142" s="30">
        <v>33327</v>
      </c>
      <c r="H1142" s="30">
        <v>33385</v>
      </c>
      <c r="I1142" s="30">
        <v>33131</v>
      </c>
      <c r="J1142" s="30">
        <v>33136</v>
      </c>
      <c r="K1142" s="30">
        <v>32864</v>
      </c>
      <c r="L1142" s="30">
        <v>32906</v>
      </c>
      <c r="M1142" s="30">
        <v>32693</v>
      </c>
      <c r="N1142" s="30">
        <v>32511</v>
      </c>
      <c r="O1142" s="24" t="str">
        <f t="shared" si="35"/>
        <v>Iberville Parish, Louisiana</v>
      </c>
    </row>
    <row r="1143" spans="1:15" x14ac:dyDescent="0.25">
      <c r="A1143" s="35" t="s">
        <v>1619</v>
      </c>
      <c r="B1143" s="28" t="e">
        <f t="shared" si="34"/>
        <v>#VALUE!</v>
      </c>
      <c r="C1143" s="30">
        <v>16274</v>
      </c>
      <c r="D1143" s="30">
        <v>16272</v>
      </c>
      <c r="E1143" s="30">
        <v>16307</v>
      </c>
      <c r="F1143" s="30">
        <v>16350</v>
      </c>
      <c r="G1143" s="30">
        <v>16264</v>
      </c>
      <c r="H1143" s="30">
        <v>16130</v>
      </c>
      <c r="I1143" s="30">
        <v>15989</v>
      </c>
      <c r="J1143" s="30">
        <v>15947</v>
      </c>
      <c r="K1143" s="30">
        <v>15895</v>
      </c>
      <c r="L1143" s="30">
        <v>15898</v>
      </c>
      <c r="M1143" s="30">
        <v>15912</v>
      </c>
      <c r="N1143" s="30">
        <v>15744</v>
      </c>
      <c r="O1143" s="24" t="str">
        <f t="shared" si="35"/>
        <v>Jackson Parish, Louisiana</v>
      </c>
    </row>
    <row r="1144" spans="1:15" x14ac:dyDescent="0.25">
      <c r="A1144" s="35" t="s">
        <v>1620</v>
      </c>
      <c r="B1144" s="28" t="e">
        <f t="shared" si="34"/>
        <v>#VALUE!</v>
      </c>
      <c r="C1144" s="30">
        <v>432552</v>
      </c>
      <c r="D1144" s="30">
        <v>432576</v>
      </c>
      <c r="E1144" s="30">
        <v>432610</v>
      </c>
      <c r="F1144" s="30">
        <v>434089</v>
      </c>
      <c r="G1144" s="30">
        <v>433954</v>
      </c>
      <c r="H1144" s="30">
        <v>434264</v>
      </c>
      <c r="I1144" s="30">
        <v>434078</v>
      </c>
      <c r="J1144" s="30">
        <v>435175</v>
      </c>
      <c r="K1144" s="30">
        <v>436572</v>
      </c>
      <c r="L1144" s="30">
        <v>436126</v>
      </c>
      <c r="M1144" s="30">
        <v>433884</v>
      </c>
      <c r="N1144" s="30">
        <v>432493</v>
      </c>
      <c r="O1144" s="24" t="str">
        <f t="shared" si="35"/>
        <v>Jefferson Parish, Louisiana</v>
      </c>
    </row>
    <row r="1145" spans="1:15" x14ac:dyDescent="0.25">
      <c r="A1145" s="35" t="s">
        <v>1621</v>
      </c>
      <c r="B1145" s="28" t="e">
        <f t="shared" si="34"/>
        <v>#VALUE!</v>
      </c>
      <c r="C1145" s="30">
        <v>31594</v>
      </c>
      <c r="D1145" s="30">
        <v>31592</v>
      </c>
      <c r="E1145" s="30">
        <v>31632</v>
      </c>
      <c r="F1145" s="30">
        <v>31592</v>
      </c>
      <c r="G1145" s="30">
        <v>31445</v>
      </c>
      <c r="H1145" s="30">
        <v>31295</v>
      </c>
      <c r="I1145" s="30">
        <v>31447</v>
      </c>
      <c r="J1145" s="30">
        <v>31431</v>
      </c>
      <c r="K1145" s="30">
        <v>31388</v>
      </c>
      <c r="L1145" s="30">
        <v>31480</v>
      </c>
      <c r="M1145" s="30">
        <v>31537</v>
      </c>
      <c r="N1145" s="30">
        <v>31368</v>
      </c>
      <c r="O1145" s="24" t="str">
        <f t="shared" si="35"/>
        <v>Jefferson Davis Parish, Louisiana</v>
      </c>
    </row>
    <row r="1146" spans="1:15" x14ac:dyDescent="0.25">
      <c r="A1146" s="35" t="s">
        <v>1622</v>
      </c>
      <c r="B1146" s="28" t="e">
        <f t="shared" si="34"/>
        <v>#VALUE!</v>
      </c>
      <c r="C1146" s="30">
        <v>221578</v>
      </c>
      <c r="D1146" s="30">
        <v>221778</v>
      </c>
      <c r="E1146" s="30">
        <v>222315</v>
      </c>
      <c r="F1146" s="30">
        <v>224673</v>
      </c>
      <c r="G1146" s="30">
        <v>227298</v>
      </c>
      <c r="H1146" s="30">
        <v>231471</v>
      </c>
      <c r="I1146" s="30">
        <v>235695</v>
      </c>
      <c r="J1146" s="30">
        <v>239332</v>
      </c>
      <c r="K1146" s="30">
        <v>241275</v>
      </c>
      <c r="L1146" s="30">
        <v>241756</v>
      </c>
      <c r="M1146" s="30">
        <v>243113</v>
      </c>
      <c r="N1146" s="30">
        <v>244390</v>
      </c>
      <c r="O1146" s="24" t="str">
        <f t="shared" si="35"/>
        <v>Lafayette Parish, Louisiana</v>
      </c>
    </row>
    <row r="1147" spans="1:15" x14ac:dyDescent="0.25">
      <c r="A1147" s="35" t="s">
        <v>1623</v>
      </c>
      <c r="B1147" s="28" t="e">
        <f t="shared" si="34"/>
        <v>#VALUE!</v>
      </c>
      <c r="C1147" s="30">
        <v>96318</v>
      </c>
      <c r="D1147" s="30">
        <v>96642</v>
      </c>
      <c r="E1147" s="30">
        <v>96745</v>
      </c>
      <c r="F1147" s="30">
        <v>97078</v>
      </c>
      <c r="G1147" s="30">
        <v>97177</v>
      </c>
      <c r="H1147" s="30">
        <v>97276</v>
      </c>
      <c r="I1147" s="30">
        <v>97886</v>
      </c>
      <c r="J1147" s="30">
        <v>98314</v>
      </c>
      <c r="K1147" s="30">
        <v>98506</v>
      </c>
      <c r="L1147" s="30">
        <v>98123</v>
      </c>
      <c r="M1147" s="30">
        <v>97981</v>
      </c>
      <c r="N1147" s="30">
        <v>97614</v>
      </c>
      <c r="O1147" s="24" t="str">
        <f t="shared" si="35"/>
        <v>Lafourche Parish, Louisiana</v>
      </c>
    </row>
    <row r="1148" spans="1:15" x14ac:dyDescent="0.25">
      <c r="A1148" s="35" t="s">
        <v>1624</v>
      </c>
      <c r="B1148" s="28" t="e">
        <f t="shared" si="34"/>
        <v>#VALUE!</v>
      </c>
      <c r="C1148" s="30">
        <v>14890</v>
      </c>
      <c r="D1148" s="30">
        <v>14890</v>
      </c>
      <c r="E1148" s="30">
        <v>14908</v>
      </c>
      <c r="F1148" s="30">
        <v>14941</v>
      </c>
      <c r="G1148" s="30">
        <v>14862</v>
      </c>
      <c r="H1148" s="30">
        <v>14821</v>
      </c>
      <c r="I1148" s="30">
        <v>14875</v>
      </c>
      <c r="J1148" s="30">
        <v>14979</v>
      </c>
      <c r="K1148" s="30">
        <v>15022</v>
      </c>
      <c r="L1148" s="30">
        <v>14887</v>
      </c>
      <c r="M1148" s="30">
        <v>14901</v>
      </c>
      <c r="N1148" s="30">
        <v>14892</v>
      </c>
      <c r="O1148" s="24" t="str">
        <f t="shared" si="35"/>
        <v>LaSalle Parish, Louisiana</v>
      </c>
    </row>
    <row r="1149" spans="1:15" x14ac:dyDescent="0.25">
      <c r="A1149" s="35" t="s">
        <v>1625</v>
      </c>
      <c r="B1149" s="28" t="e">
        <f t="shared" si="34"/>
        <v>#VALUE!</v>
      </c>
      <c r="C1149" s="30">
        <v>46735</v>
      </c>
      <c r="D1149" s="30">
        <v>46740</v>
      </c>
      <c r="E1149" s="30">
        <v>46850</v>
      </c>
      <c r="F1149" s="30">
        <v>47058</v>
      </c>
      <c r="G1149" s="30">
        <v>47026</v>
      </c>
      <c r="H1149" s="30">
        <v>47233</v>
      </c>
      <c r="I1149" s="30">
        <v>47198</v>
      </c>
      <c r="J1149" s="30">
        <v>47434</v>
      </c>
      <c r="K1149" s="30">
        <v>47473</v>
      </c>
      <c r="L1149" s="30">
        <v>47471</v>
      </c>
      <c r="M1149" s="30">
        <v>47112</v>
      </c>
      <c r="N1149" s="30">
        <v>46742</v>
      </c>
      <c r="O1149" s="24" t="str">
        <f t="shared" si="35"/>
        <v>Lincoln Parish, Louisiana</v>
      </c>
    </row>
    <row r="1150" spans="1:15" x14ac:dyDescent="0.25">
      <c r="A1150" s="35" t="s">
        <v>1626</v>
      </c>
      <c r="B1150" s="28" t="e">
        <f t="shared" si="34"/>
        <v>#VALUE!</v>
      </c>
      <c r="C1150" s="30">
        <v>128026</v>
      </c>
      <c r="D1150" s="30">
        <v>127674</v>
      </c>
      <c r="E1150" s="30">
        <v>128337</v>
      </c>
      <c r="F1150" s="30">
        <v>129828</v>
      </c>
      <c r="G1150" s="30">
        <v>131478</v>
      </c>
      <c r="H1150" s="30">
        <v>133668</v>
      </c>
      <c r="I1150" s="30">
        <v>135168</v>
      </c>
      <c r="J1150" s="30">
        <v>137116</v>
      </c>
      <c r="K1150" s="30">
        <v>139627</v>
      </c>
      <c r="L1150" s="30">
        <v>137712</v>
      </c>
      <c r="M1150" s="30">
        <v>139394</v>
      </c>
      <c r="N1150" s="30">
        <v>140789</v>
      </c>
      <c r="O1150" s="24" t="str">
        <f t="shared" si="35"/>
        <v>Livingston Parish, Louisiana</v>
      </c>
    </row>
    <row r="1151" spans="1:15" x14ac:dyDescent="0.25">
      <c r="A1151" s="35" t="s">
        <v>1627</v>
      </c>
      <c r="B1151" s="28" t="e">
        <f t="shared" si="34"/>
        <v>#VALUE!</v>
      </c>
      <c r="C1151" s="30">
        <v>12093</v>
      </c>
      <c r="D1151" s="30">
        <v>12101</v>
      </c>
      <c r="E1151" s="30">
        <v>12106</v>
      </c>
      <c r="F1151" s="30">
        <v>11976</v>
      </c>
      <c r="G1151" s="30">
        <v>12212</v>
      </c>
      <c r="H1151" s="30">
        <v>11908</v>
      </c>
      <c r="I1151" s="30">
        <v>11819</v>
      </c>
      <c r="J1151" s="30">
        <v>11554</v>
      </c>
      <c r="K1151" s="30">
        <v>11486</v>
      </c>
      <c r="L1151" s="30">
        <v>11342</v>
      </c>
      <c r="M1151" s="30">
        <v>11196</v>
      </c>
      <c r="N1151" s="30">
        <v>10951</v>
      </c>
      <c r="O1151" s="24" t="str">
        <f t="shared" si="35"/>
        <v>Madison Parish, Louisiana</v>
      </c>
    </row>
    <row r="1152" spans="1:15" x14ac:dyDescent="0.25">
      <c r="A1152" s="35" t="s">
        <v>1628</v>
      </c>
      <c r="B1152" s="28" t="e">
        <f t="shared" si="34"/>
        <v>#VALUE!</v>
      </c>
      <c r="C1152" s="30">
        <v>27979</v>
      </c>
      <c r="D1152" s="30">
        <v>27979</v>
      </c>
      <c r="E1152" s="30">
        <v>27873</v>
      </c>
      <c r="F1152" s="30">
        <v>27479</v>
      </c>
      <c r="G1152" s="30">
        <v>27375</v>
      </c>
      <c r="H1152" s="30">
        <v>26938</v>
      </c>
      <c r="I1152" s="30">
        <v>26652</v>
      </c>
      <c r="J1152" s="30">
        <v>26301</v>
      </c>
      <c r="K1152" s="30">
        <v>25894</v>
      </c>
      <c r="L1152" s="30">
        <v>25655</v>
      </c>
      <c r="M1152" s="30">
        <v>25324</v>
      </c>
      <c r="N1152" s="30">
        <v>24874</v>
      </c>
      <c r="O1152" s="24" t="str">
        <f t="shared" si="35"/>
        <v>Morehouse Parish, Louisiana</v>
      </c>
    </row>
    <row r="1153" spans="1:15" x14ac:dyDescent="0.25">
      <c r="A1153" s="35" t="s">
        <v>1629</v>
      </c>
      <c r="B1153" s="28" t="e">
        <f t="shared" si="34"/>
        <v>#VALUE!</v>
      </c>
      <c r="C1153" s="30">
        <v>39566</v>
      </c>
      <c r="D1153" s="30">
        <v>39569</v>
      </c>
      <c r="E1153" s="30">
        <v>39528</v>
      </c>
      <c r="F1153" s="30">
        <v>39386</v>
      </c>
      <c r="G1153" s="30">
        <v>39339</v>
      </c>
      <c r="H1153" s="30">
        <v>39118</v>
      </c>
      <c r="I1153" s="30">
        <v>39124</v>
      </c>
      <c r="J1153" s="30">
        <v>39004</v>
      </c>
      <c r="K1153" s="30">
        <v>39024</v>
      </c>
      <c r="L1153" s="30">
        <v>39042</v>
      </c>
      <c r="M1153" s="30">
        <v>38616</v>
      </c>
      <c r="N1153" s="30">
        <v>38158</v>
      </c>
      <c r="O1153" s="24" t="str">
        <f t="shared" si="35"/>
        <v>Natchitoches Parish, Louisiana</v>
      </c>
    </row>
    <row r="1154" spans="1:15" x14ac:dyDescent="0.25">
      <c r="A1154" s="35" t="s">
        <v>1630</v>
      </c>
      <c r="B1154" s="28" t="s">
        <v>3641</v>
      </c>
      <c r="C1154" s="30">
        <v>343829</v>
      </c>
      <c r="D1154" s="30">
        <v>343828</v>
      </c>
      <c r="E1154" s="30">
        <v>347772</v>
      </c>
      <c r="F1154" s="30">
        <v>360735</v>
      </c>
      <c r="G1154" s="30">
        <v>369787</v>
      </c>
      <c r="H1154" s="30">
        <v>378637</v>
      </c>
      <c r="I1154" s="30">
        <v>383940</v>
      </c>
      <c r="J1154" s="30">
        <v>389742</v>
      </c>
      <c r="K1154" s="30">
        <v>391843</v>
      </c>
      <c r="L1154" s="30">
        <v>391493</v>
      </c>
      <c r="M1154" s="30">
        <v>391004</v>
      </c>
      <c r="N1154" s="30">
        <v>390144</v>
      </c>
      <c r="O1154" s="24" t="str">
        <f t="shared" si="35"/>
        <v>Orleans Parish, Louisiana</v>
      </c>
    </row>
    <row r="1155" spans="1:15" x14ac:dyDescent="0.25">
      <c r="A1155" s="35" t="s">
        <v>1631</v>
      </c>
      <c r="B1155" s="28" t="e">
        <f t="shared" si="34"/>
        <v>#VALUE!</v>
      </c>
      <c r="C1155" s="30">
        <v>153720</v>
      </c>
      <c r="D1155" s="30">
        <v>153734</v>
      </c>
      <c r="E1155" s="30">
        <v>153969</v>
      </c>
      <c r="F1155" s="30">
        <v>154650</v>
      </c>
      <c r="G1155" s="30">
        <v>155256</v>
      </c>
      <c r="H1155" s="30">
        <v>156062</v>
      </c>
      <c r="I1155" s="30">
        <v>156360</v>
      </c>
      <c r="J1155" s="30">
        <v>156880</v>
      </c>
      <c r="K1155" s="30">
        <v>156897</v>
      </c>
      <c r="L1155" s="30">
        <v>155841</v>
      </c>
      <c r="M1155" s="30">
        <v>154571</v>
      </c>
      <c r="N1155" s="30">
        <v>153279</v>
      </c>
      <c r="O1155" s="24" t="str">
        <f t="shared" si="35"/>
        <v>Ouachita Parish, Louisiana</v>
      </c>
    </row>
    <row r="1156" spans="1:15" x14ac:dyDescent="0.25">
      <c r="A1156" s="35" t="s">
        <v>1632</v>
      </c>
      <c r="B1156" s="28" t="e">
        <f t="shared" si="34"/>
        <v>#VALUE!</v>
      </c>
      <c r="C1156" s="30">
        <v>23042</v>
      </c>
      <c r="D1156" s="30">
        <v>23035</v>
      </c>
      <c r="E1156" s="30">
        <v>23117</v>
      </c>
      <c r="F1156" s="30">
        <v>23582</v>
      </c>
      <c r="G1156" s="30">
        <v>23826</v>
      </c>
      <c r="H1156" s="30">
        <v>23509</v>
      </c>
      <c r="I1156" s="30">
        <v>23304</v>
      </c>
      <c r="J1156" s="30">
        <v>23437</v>
      </c>
      <c r="K1156" s="30">
        <v>23323</v>
      </c>
      <c r="L1156" s="30">
        <v>23348</v>
      </c>
      <c r="M1156" s="30">
        <v>23385</v>
      </c>
      <c r="N1156" s="30">
        <v>23197</v>
      </c>
      <c r="O1156" s="24" t="str">
        <f t="shared" si="35"/>
        <v>Plaquemines Parish, Louisiana</v>
      </c>
    </row>
    <row r="1157" spans="1:15" x14ac:dyDescent="0.25">
      <c r="A1157" s="35" t="s">
        <v>1633</v>
      </c>
      <c r="B1157" s="28" t="e">
        <f t="shared" si="34"/>
        <v>#VALUE!</v>
      </c>
      <c r="C1157" s="30">
        <v>22802</v>
      </c>
      <c r="D1157" s="30">
        <v>22808</v>
      </c>
      <c r="E1157" s="30">
        <v>22823</v>
      </c>
      <c r="F1157" s="30">
        <v>22814</v>
      </c>
      <c r="G1157" s="30">
        <v>22683</v>
      </c>
      <c r="H1157" s="30">
        <v>22429</v>
      </c>
      <c r="I1157" s="30">
        <v>22313</v>
      </c>
      <c r="J1157" s="30">
        <v>22197</v>
      </c>
      <c r="K1157" s="30">
        <v>22111</v>
      </c>
      <c r="L1157" s="30">
        <v>22164</v>
      </c>
      <c r="M1157" s="30">
        <v>21879</v>
      </c>
      <c r="N1157" s="30">
        <v>21730</v>
      </c>
      <c r="O1157" s="24" t="str">
        <f t="shared" si="35"/>
        <v>Pointe Coupee Parish, Louisiana</v>
      </c>
    </row>
    <row r="1158" spans="1:15" x14ac:dyDescent="0.25">
      <c r="A1158" s="35" t="s">
        <v>1634</v>
      </c>
      <c r="B1158" s="28" t="e">
        <f t="shared" si="34"/>
        <v>#VALUE!</v>
      </c>
      <c r="C1158" s="30">
        <v>131613</v>
      </c>
      <c r="D1158" s="30">
        <v>131609</v>
      </c>
      <c r="E1158" s="30">
        <v>131760</v>
      </c>
      <c r="F1158" s="30">
        <v>132020</v>
      </c>
      <c r="G1158" s="30">
        <v>132012</v>
      </c>
      <c r="H1158" s="30">
        <v>132322</v>
      </c>
      <c r="I1158" s="30">
        <v>132202</v>
      </c>
      <c r="J1158" s="30">
        <v>131780</v>
      </c>
      <c r="K1158" s="30">
        <v>131845</v>
      </c>
      <c r="L1158" s="30">
        <v>131253</v>
      </c>
      <c r="M1158" s="30">
        <v>130326</v>
      </c>
      <c r="N1158" s="30">
        <v>129648</v>
      </c>
      <c r="O1158" s="24" t="str">
        <f t="shared" si="35"/>
        <v>Rapides Parish, Louisiana</v>
      </c>
    </row>
    <row r="1159" spans="1:15" x14ac:dyDescent="0.25">
      <c r="A1159" s="35" t="s">
        <v>1635</v>
      </c>
      <c r="B1159" s="28" t="e">
        <f t="shared" ref="B1159:B1222" si="36">LEFT(A1159,FIND("County",A1159,1)-2)</f>
        <v>#VALUE!</v>
      </c>
      <c r="C1159" s="30">
        <v>9091</v>
      </c>
      <c r="D1159" s="30">
        <v>9091</v>
      </c>
      <c r="E1159" s="30">
        <v>9099</v>
      </c>
      <c r="F1159" s="30">
        <v>9083</v>
      </c>
      <c r="G1159" s="30">
        <v>9072</v>
      </c>
      <c r="H1159" s="30">
        <v>8957</v>
      </c>
      <c r="I1159" s="30">
        <v>8757</v>
      </c>
      <c r="J1159" s="30">
        <v>8711</v>
      </c>
      <c r="K1159" s="30">
        <v>8621</v>
      </c>
      <c r="L1159" s="30">
        <v>8527</v>
      </c>
      <c r="M1159" s="30">
        <v>8526</v>
      </c>
      <c r="N1159" s="30">
        <v>8442</v>
      </c>
      <c r="O1159" s="24" t="str">
        <f t="shared" ref="O1159:O1222" si="37">A1159</f>
        <v>Red River Parish, Louisiana</v>
      </c>
    </row>
    <row r="1160" spans="1:15" x14ac:dyDescent="0.25">
      <c r="A1160" s="35" t="s">
        <v>1636</v>
      </c>
      <c r="B1160" s="28" t="e">
        <f t="shared" si="36"/>
        <v>#VALUE!</v>
      </c>
      <c r="C1160" s="30">
        <v>20725</v>
      </c>
      <c r="D1160" s="30">
        <v>20722</v>
      </c>
      <c r="E1160" s="30">
        <v>20756</v>
      </c>
      <c r="F1160" s="30">
        <v>20886</v>
      </c>
      <c r="G1160" s="30">
        <v>20912</v>
      </c>
      <c r="H1160" s="30">
        <v>20913</v>
      </c>
      <c r="I1160" s="30">
        <v>20759</v>
      </c>
      <c r="J1160" s="30">
        <v>20546</v>
      </c>
      <c r="K1160" s="30">
        <v>20446</v>
      </c>
      <c r="L1160" s="30">
        <v>20413</v>
      </c>
      <c r="M1160" s="30">
        <v>20223</v>
      </c>
      <c r="N1160" s="30">
        <v>20122</v>
      </c>
      <c r="O1160" s="24" t="str">
        <f t="shared" si="37"/>
        <v>Richland Parish, Louisiana</v>
      </c>
    </row>
    <row r="1161" spans="1:15" x14ac:dyDescent="0.25">
      <c r="A1161" s="35" t="s">
        <v>1637</v>
      </c>
      <c r="B1161" s="28" t="e">
        <f t="shared" si="36"/>
        <v>#VALUE!</v>
      </c>
      <c r="C1161" s="30">
        <v>24233</v>
      </c>
      <c r="D1161" s="30">
        <v>24226</v>
      </c>
      <c r="E1161" s="30">
        <v>24226</v>
      </c>
      <c r="F1161" s="30">
        <v>24421</v>
      </c>
      <c r="G1161" s="30">
        <v>24322</v>
      </c>
      <c r="H1161" s="30">
        <v>24261</v>
      </c>
      <c r="I1161" s="30">
        <v>24112</v>
      </c>
      <c r="J1161" s="30">
        <v>24205</v>
      </c>
      <c r="K1161" s="30">
        <v>24055</v>
      </c>
      <c r="L1161" s="30">
        <v>23909</v>
      </c>
      <c r="M1161" s="30">
        <v>23901</v>
      </c>
      <c r="N1161" s="30">
        <v>23884</v>
      </c>
      <c r="O1161" s="24" t="str">
        <f t="shared" si="37"/>
        <v>Sabine Parish, Louisiana</v>
      </c>
    </row>
    <row r="1162" spans="1:15" x14ac:dyDescent="0.25">
      <c r="A1162" s="35" t="s">
        <v>1638</v>
      </c>
      <c r="B1162" s="28" t="e">
        <f t="shared" si="36"/>
        <v>#VALUE!</v>
      </c>
      <c r="C1162" s="30">
        <v>35897</v>
      </c>
      <c r="D1162" s="30">
        <v>35897</v>
      </c>
      <c r="E1162" s="30">
        <v>36824</v>
      </c>
      <c r="F1162" s="30">
        <v>39516</v>
      </c>
      <c r="G1162" s="30">
        <v>41483</v>
      </c>
      <c r="H1162" s="30">
        <v>43430</v>
      </c>
      <c r="I1162" s="30">
        <v>44439</v>
      </c>
      <c r="J1162" s="30">
        <v>45421</v>
      </c>
      <c r="K1162" s="30">
        <v>45777</v>
      </c>
      <c r="L1162" s="30">
        <v>46110</v>
      </c>
      <c r="M1162" s="30">
        <v>46780</v>
      </c>
      <c r="N1162" s="30">
        <v>47244</v>
      </c>
      <c r="O1162" s="24" t="str">
        <f t="shared" si="37"/>
        <v>St Bernard Parish, Louisiana</v>
      </c>
    </row>
    <row r="1163" spans="1:15" x14ac:dyDescent="0.25">
      <c r="A1163" s="35" t="s">
        <v>1639</v>
      </c>
      <c r="B1163" s="28" t="e">
        <f t="shared" si="36"/>
        <v>#VALUE!</v>
      </c>
      <c r="C1163" s="30">
        <v>52780</v>
      </c>
      <c r="D1163" s="30">
        <v>52888</v>
      </c>
      <c r="E1163" s="30">
        <v>52818</v>
      </c>
      <c r="F1163" s="30">
        <v>52390</v>
      </c>
      <c r="G1163" s="30">
        <v>52420</v>
      </c>
      <c r="H1163" s="30">
        <v>52614</v>
      </c>
      <c r="I1163" s="30">
        <v>52678</v>
      </c>
      <c r="J1163" s="30">
        <v>52572</v>
      </c>
      <c r="K1163" s="30">
        <v>52796</v>
      </c>
      <c r="L1163" s="30">
        <v>52620</v>
      </c>
      <c r="M1163" s="30">
        <v>52775</v>
      </c>
      <c r="N1163" s="30">
        <v>53100</v>
      </c>
      <c r="O1163" s="24" t="str">
        <f t="shared" si="37"/>
        <v>St Charles Parish, Louisiana</v>
      </c>
    </row>
    <row r="1164" spans="1:15" x14ac:dyDescent="0.25">
      <c r="A1164" s="35" t="s">
        <v>1640</v>
      </c>
      <c r="B1164" s="28" t="e">
        <f t="shared" si="36"/>
        <v>#VALUE!</v>
      </c>
      <c r="C1164" s="30">
        <v>11203</v>
      </c>
      <c r="D1164" s="30">
        <v>11205</v>
      </c>
      <c r="E1164" s="30">
        <v>11197</v>
      </c>
      <c r="F1164" s="30">
        <v>10955</v>
      </c>
      <c r="G1164" s="30">
        <v>10979</v>
      </c>
      <c r="H1164" s="30">
        <v>10771</v>
      </c>
      <c r="I1164" s="30">
        <v>10519</v>
      </c>
      <c r="J1164" s="30">
        <v>10457</v>
      </c>
      <c r="K1164" s="30">
        <v>10389</v>
      </c>
      <c r="L1164" s="30">
        <v>10322</v>
      </c>
      <c r="M1164" s="30">
        <v>10187</v>
      </c>
      <c r="N1164" s="30">
        <v>10132</v>
      </c>
      <c r="O1164" s="24" t="str">
        <f t="shared" si="37"/>
        <v>St Helena Parish, Louisiana</v>
      </c>
    </row>
    <row r="1165" spans="1:15" x14ac:dyDescent="0.25">
      <c r="A1165" s="35" t="s">
        <v>1641</v>
      </c>
      <c r="B1165" s="28" t="e">
        <f t="shared" si="36"/>
        <v>#VALUE!</v>
      </c>
      <c r="C1165" s="30">
        <v>22102</v>
      </c>
      <c r="D1165" s="30">
        <v>22101</v>
      </c>
      <c r="E1165" s="30">
        <v>22048</v>
      </c>
      <c r="F1165" s="30">
        <v>21784</v>
      </c>
      <c r="G1165" s="30">
        <v>21634</v>
      </c>
      <c r="H1165" s="30">
        <v>21607</v>
      </c>
      <c r="I1165" s="30">
        <v>21515</v>
      </c>
      <c r="J1165" s="30">
        <v>21481</v>
      </c>
      <c r="K1165" s="30">
        <v>21433</v>
      </c>
      <c r="L1165" s="30">
        <v>21380</v>
      </c>
      <c r="M1165" s="30">
        <v>21151</v>
      </c>
      <c r="N1165" s="30">
        <v>21096</v>
      </c>
      <c r="O1165" s="24" t="str">
        <f t="shared" si="37"/>
        <v>St James Parish, Louisiana</v>
      </c>
    </row>
    <row r="1166" spans="1:15" x14ac:dyDescent="0.25">
      <c r="A1166" s="35" t="s">
        <v>1642</v>
      </c>
      <c r="B1166" s="28" t="e">
        <f t="shared" si="36"/>
        <v>#VALUE!</v>
      </c>
      <c r="C1166" s="30">
        <v>45924</v>
      </c>
      <c r="D1166" s="30">
        <v>45810</v>
      </c>
      <c r="E1166" s="30">
        <v>45591</v>
      </c>
      <c r="F1166" s="30">
        <v>45066</v>
      </c>
      <c r="G1166" s="30">
        <v>44719</v>
      </c>
      <c r="H1166" s="30">
        <v>43570</v>
      </c>
      <c r="I1166" s="30">
        <v>43714</v>
      </c>
      <c r="J1166" s="30">
        <v>43523</v>
      </c>
      <c r="K1166" s="30">
        <v>43401</v>
      </c>
      <c r="L1166" s="30">
        <v>43328</v>
      </c>
      <c r="M1166" s="30">
        <v>43119</v>
      </c>
      <c r="N1166" s="30">
        <v>42837</v>
      </c>
      <c r="O1166" s="24" t="str">
        <f t="shared" si="37"/>
        <v>St John the Baptist Parish, Louisiana</v>
      </c>
    </row>
    <row r="1167" spans="1:15" x14ac:dyDescent="0.25">
      <c r="A1167" s="35" t="s">
        <v>1643</v>
      </c>
      <c r="B1167" s="28" t="e">
        <f t="shared" si="36"/>
        <v>#VALUE!</v>
      </c>
      <c r="C1167" s="30">
        <v>83384</v>
      </c>
      <c r="D1167" s="30">
        <v>83390</v>
      </c>
      <c r="E1167" s="30">
        <v>83495</v>
      </c>
      <c r="F1167" s="30">
        <v>83442</v>
      </c>
      <c r="G1167" s="30">
        <v>83466</v>
      </c>
      <c r="H1167" s="30">
        <v>83415</v>
      </c>
      <c r="I1167" s="30">
        <v>83680</v>
      </c>
      <c r="J1167" s="30">
        <v>83649</v>
      </c>
      <c r="K1167" s="30">
        <v>83768</v>
      </c>
      <c r="L1167" s="30">
        <v>83535</v>
      </c>
      <c r="M1167" s="30">
        <v>82782</v>
      </c>
      <c r="N1167" s="30">
        <v>82124</v>
      </c>
      <c r="O1167" s="24" t="str">
        <f t="shared" si="37"/>
        <v>St Landry Parish, Louisiana</v>
      </c>
    </row>
    <row r="1168" spans="1:15" x14ac:dyDescent="0.25">
      <c r="A1168" s="35" t="s">
        <v>1644</v>
      </c>
      <c r="B1168" s="28" t="e">
        <f t="shared" si="36"/>
        <v>#VALUE!</v>
      </c>
      <c r="C1168" s="30">
        <v>52160</v>
      </c>
      <c r="D1168" s="30">
        <v>52122</v>
      </c>
      <c r="E1168" s="30">
        <v>52224</v>
      </c>
      <c r="F1168" s="30">
        <v>52760</v>
      </c>
      <c r="G1168" s="30">
        <v>52614</v>
      </c>
      <c r="H1168" s="30">
        <v>52901</v>
      </c>
      <c r="I1168" s="30">
        <v>53256</v>
      </c>
      <c r="J1168" s="30">
        <v>53831</v>
      </c>
      <c r="K1168" s="30">
        <v>53771</v>
      </c>
      <c r="L1168" s="30">
        <v>54066</v>
      </c>
      <c r="M1168" s="30">
        <v>53562</v>
      </c>
      <c r="N1168" s="30">
        <v>53431</v>
      </c>
      <c r="O1168" s="24" t="str">
        <f t="shared" si="37"/>
        <v>St Martin Parish, Louisiana</v>
      </c>
    </row>
    <row r="1169" spans="1:15" x14ac:dyDescent="0.25">
      <c r="A1169" s="35" t="s">
        <v>1645</v>
      </c>
      <c r="B1169" s="28" t="e">
        <f t="shared" si="36"/>
        <v>#VALUE!</v>
      </c>
      <c r="C1169" s="30">
        <v>54650</v>
      </c>
      <c r="D1169" s="30">
        <v>54647</v>
      </c>
      <c r="E1169" s="30">
        <v>54550</v>
      </c>
      <c r="F1169" s="30">
        <v>54187</v>
      </c>
      <c r="G1169" s="30">
        <v>53562</v>
      </c>
      <c r="H1169" s="30">
        <v>53581</v>
      </c>
      <c r="I1169" s="30">
        <v>53273</v>
      </c>
      <c r="J1169" s="30">
        <v>52876</v>
      </c>
      <c r="K1169" s="30">
        <v>52069</v>
      </c>
      <c r="L1169" s="30">
        <v>50708</v>
      </c>
      <c r="M1169" s="30">
        <v>49841</v>
      </c>
      <c r="N1169" s="30">
        <v>49348</v>
      </c>
      <c r="O1169" s="24" t="str">
        <f t="shared" si="37"/>
        <v>St Mary Parish, Louisiana</v>
      </c>
    </row>
    <row r="1170" spans="1:15" x14ac:dyDescent="0.25">
      <c r="A1170" s="35" t="s">
        <v>1646</v>
      </c>
      <c r="B1170" s="28" t="e">
        <f t="shared" si="36"/>
        <v>#VALUE!</v>
      </c>
      <c r="C1170" s="30">
        <v>233740</v>
      </c>
      <c r="D1170" s="30">
        <v>233756</v>
      </c>
      <c r="E1170" s="30">
        <v>234544</v>
      </c>
      <c r="F1170" s="30">
        <v>236846</v>
      </c>
      <c r="G1170" s="30">
        <v>239064</v>
      </c>
      <c r="H1170" s="30">
        <v>241953</v>
      </c>
      <c r="I1170" s="30">
        <v>245237</v>
      </c>
      <c r="J1170" s="30">
        <v>248930</v>
      </c>
      <c r="K1170" s="30">
        <v>252468</v>
      </c>
      <c r="L1170" s="30">
        <v>255921</v>
      </c>
      <c r="M1170" s="30">
        <v>258035</v>
      </c>
      <c r="N1170" s="30">
        <v>260419</v>
      </c>
      <c r="O1170" s="24" t="str">
        <f t="shared" si="37"/>
        <v>St Tammany Parish, Louisiana</v>
      </c>
    </row>
    <row r="1171" spans="1:15" x14ac:dyDescent="0.25">
      <c r="A1171" s="35" t="s">
        <v>1647</v>
      </c>
      <c r="B1171" s="28" t="e">
        <f t="shared" si="36"/>
        <v>#VALUE!</v>
      </c>
      <c r="C1171" s="30">
        <v>121097</v>
      </c>
      <c r="D1171" s="30">
        <v>121109</v>
      </c>
      <c r="E1171" s="30">
        <v>121485</v>
      </c>
      <c r="F1171" s="30">
        <v>122700</v>
      </c>
      <c r="G1171" s="30">
        <v>123646</v>
      </c>
      <c r="H1171" s="30">
        <v>125520</v>
      </c>
      <c r="I1171" s="30">
        <v>127010</v>
      </c>
      <c r="J1171" s="30">
        <v>128716</v>
      </c>
      <c r="K1171" s="30">
        <v>130619</v>
      </c>
      <c r="L1171" s="30">
        <v>132353</v>
      </c>
      <c r="M1171" s="30">
        <v>133837</v>
      </c>
      <c r="N1171" s="30">
        <v>134758</v>
      </c>
      <c r="O1171" s="24" t="str">
        <f t="shared" si="37"/>
        <v>Tangipahoa Parish, Louisiana</v>
      </c>
    </row>
    <row r="1172" spans="1:15" x14ac:dyDescent="0.25">
      <c r="A1172" s="35" t="s">
        <v>1648</v>
      </c>
      <c r="B1172" s="28" t="e">
        <f t="shared" si="36"/>
        <v>#VALUE!</v>
      </c>
      <c r="C1172" s="30">
        <v>5252</v>
      </c>
      <c r="D1172" s="30">
        <v>5250</v>
      </c>
      <c r="E1172" s="30">
        <v>5229</v>
      </c>
      <c r="F1172" s="30">
        <v>5092</v>
      </c>
      <c r="G1172" s="30">
        <v>4999</v>
      </c>
      <c r="H1172" s="30">
        <v>4933</v>
      </c>
      <c r="I1172" s="30">
        <v>4853</v>
      </c>
      <c r="J1172" s="30">
        <v>4772</v>
      </c>
      <c r="K1172" s="30">
        <v>4656</v>
      </c>
      <c r="L1172" s="30">
        <v>4574</v>
      </c>
      <c r="M1172" s="30">
        <v>4470</v>
      </c>
      <c r="N1172" s="30">
        <v>4334</v>
      </c>
      <c r="O1172" s="24" t="str">
        <f t="shared" si="37"/>
        <v>Tensas Parish, Louisiana</v>
      </c>
    </row>
    <row r="1173" spans="1:15" x14ac:dyDescent="0.25">
      <c r="A1173" s="35" t="s">
        <v>1649</v>
      </c>
      <c r="B1173" s="28" t="e">
        <f t="shared" si="36"/>
        <v>#VALUE!</v>
      </c>
      <c r="C1173" s="30">
        <v>111860</v>
      </c>
      <c r="D1173" s="30">
        <v>111543</v>
      </c>
      <c r="E1173" s="30">
        <v>111506</v>
      </c>
      <c r="F1173" s="30">
        <v>111635</v>
      </c>
      <c r="G1173" s="30">
        <v>111708</v>
      </c>
      <c r="H1173" s="30">
        <v>112707</v>
      </c>
      <c r="I1173" s="30">
        <v>113482</v>
      </c>
      <c r="J1173" s="30">
        <v>113817</v>
      </c>
      <c r="K1173" s="30">
        <v>113006</v>
      </c>
      <c r="L1173" s="30">
        <v>111823</v>
      </c>
      <c r="M1173" s="30">
        <v>111163</v>
      </c>
      <c r="N1173" s="30">
        <v>110461</v>
      </c>
      <c r="O1173" s="24" t="str">
        <f t="shared" si="37"/>
        <v>Terrebonne Parish, Louisiana</v>
      </c>
    </row>
    <row r="1174" spans="1:15" x14ac:dyDescent="0.25">
      <c r="A1174" s="35" t="s">
        <v>1650</v>
      </c>
      <c r="B1174" s="28" t="e">
        <f t="shared" si="36"/>
        <v>#VALUE!</v>
      </c>
      <c r="C1174" s="30">
        <v>22721</v>
      </c>
      <c r="D1174" s="30">
        <v>22774</v>
      </c>
      <c r="E1174" s="30">
        <v>22833</v>
      </c>
      <c r="F1174" s="30">
        <v>22757</v>
      </c>
      <c r="G1174" s="30">
        <v>22520</v>
      </c>
      <c r="H1174" s="30">
        <v>22454</v>
      </c>
      <c r="I1174" s="30">
        <v>22558</v>
      </c>
      <c r="J1174" s="30">
        <v>22487</v>
      </c>
      <c r="K1174" s="30">
        <v>22528</v>
      </c>
      <c r="L1174" s="30">
        <v>22398</v>
      </c>
      <c r="M1174" s="30">
        <v>22243</v>
      </c>
      <c r="N1174" s="30">
        <v>22108</v>
      </c>
      <c r="O1174" s="24" t="str">
        <f t="shared" si="37"/>
        <v>Union Parish, Louisiana</v>
      </c>
    </row>
    <row r="1175" spans="1:15" x14ac:dyDescent="0.25">
      <c r="A1175" s="35" t="s">
        <v>1651</v>
      </c>
      <c r="B1175" s="28" t="e">
        <f t="shared" si="36"/>
        <v>#VALUE!</v>
      </c>
      <c r="C1175" s="30">
        <v>57999</v>
      </c>
      <c r="D1175" s="30">
        <v>57959</v>
      </c>
      <c r="E1175" s="30">
        <v>58085</v>
      </c>
      <c r="F1175" s="30">
        <v>58198</v>
      </c>
      <c r="G1175" s="30">
        <v>58636</v>
      </c>
      <c r="H1175" s="30">
        <v>59284</v>
      </c>
      <c r="I1175" s="30">
        <v>59534</v>
      </c>
      <c r="J1175" s="30">
        <v>59918</v>
      </c>
      <c r="K1175" s="30">
        <v>60074</v>
      </c>
      <c r="L1175" s="30">
        <v>59936</v>
      </c>
      <c r="M1175" s="30">
        <v>59886</v>
      </c>
      <c r="N1175" s="30">
        <v>59511</v>
      </c>
      <c r="O1175" s="24" t="str">
        <f t="shared" si="37"/>
        <v>Vermilion Parish, Louisiana</v>
      </c>
    </row>
    <row r="1176" spans="1:15" x14ac:dyDescent="0.25">
      <c r="A1176" s="35" t="s">
        <v>1652</v>
      </c>
      <c r="B1176" s="28" t="e">
        <f t="shared" si="36"/>
        <v>#VALUE!</v>
      </c>
      <c r="C1176" s="30">
        <v>52334</v>
      </c>
      <c r="D1176" s="30">
        <v>52361</v>
      </c>
      <c r="E1176" s="30">
        <v>52742</v>
      </c>
      <c r="F1176" s="30">
        <v>52270</v>
      </c>
      <c r="G1176" s="30">
        <v>54120</v>
      </c>
      <c r="H1176" s="30">
        <v>52815</v>
      </c>
      <c r="I1176" s="30">
        <v>52816</v>
      </c>
      <c r="J1176" s="30">
        <v>51431</v>
      </c>
      <c r="K1176" s="30">
        <v>51481</v>
      </c>
      <c r="L1176" s="30">
        <v>49789</v>
      </c>
      <c r="M1176" s="30">
        <v>48101</v>
      </c>
      <c r="N1176" s="30">
        <v>47429</v>
      </c>
      <c r="O1176" s="24" t="str">
        <f t="shared" si="37"/>
        <v>Vernon Parish, Louisiana</v>
      </c>
    </row>
    <row r="1177" spans="1:15" x14ac:dyDescent="0.25">
      <c r="A1177" s="35" t="s">
        <v>1653</v>
      </c>
      <c r="B1177" s="28" t="e">
        <f t="shared" si="36"/>
        <v>#VALUE!</v>
      </c>
      <c r="C1177" s="30">
        <v>47168</v>
      </c>
      <c r="D1177" s="30">
        <v>47140</v>
      </c>
      <c r="E1177" s="30">
        <v>47089</v>
      </c>
      <c r="F1177" s="30">
        <v>47127</v>
      </c>
      <c r="G1177" s="30">
        <v>46676</v>
      </c>
      <c r="H1177" s="30">
        <v>46407</v>
      </c>
      <c r="I1177" s="30">
        <v>46319</v>
      </c>
      <c r="J1177" s="30">
        <v>46358</v>
      </c>
      <c r="K1177" s="30">
        <v>46387</v>
      </c>
      <c r="L1177" s="30">
        <v>46649</v>
      </c>
      <c r="M1177" s="30">
        <v>46588</v>
      </c>
      <c r="N1177" s="30">
        <v>46194</v>
      </c>
      <c r="O1177" s="24" t="str">
        <f t="shared" si="37"/>
        <v>Washington Parish, Louisiana</v>
      </c>
    </row>
    <row r="1178" spans="1:15" x14ac:dyDescent="0.25">
      <c r="A1178" s="35" t="s">
        <v>1654</v>
      </c>
      <c r="B1178" s="28" t="e">
        <f t="shared" si="36"/>
        <v>#VALUE!</v>
      </c>
      <c r="C1178" s="30">
        <v>41207</v>
      </c>
      <c r="D1178" s="30">
        <v>41207</v>
      </c>
      <c r="E1178" s="30">
        <v>41199</v>
      </c>
      <c r="F1178" s="30">
        <v>41244</v>
      </c>
      <c r="G1178" s="30">
        <v>40908</v>
      </c>
      <c r="H1178" s="30">
        <v>40660</v>
      </c>
      <c r="I1178" s="30">
        <v>40285</v>
      </c>
      <c r="J1178" s="30">
        <v>40061</v>
      </c>
      <c r="K1178" s="30">
        <v>39751</v>
      </c>
      <c r="L1178" s="30">
        <v>39264</v>
      </c>
      <c r="M1178" s="30">
        <v>38792</v>
      </c>
      <c r="N1178" s="30">
        <v>38340</v>
      </c>
      <c r="O1178" s="24" t="str">
        <f t="shared" si="37"/>
        <v>Webster Parish, Louisiana</v>
      </c>
    </row>
    <row r="1179" spans="1:15" x14ac:dyDescent="0.25">
      <c r="A1179" s="35" t="s">
        <v>1655</v>
      </c>
      <c r="B1179" s="28" t="e">
        <f t="shared" si="36"/>
        <v>#VALUE!</v>
      </c>
      <c r="C1179" s="30">
        <v>23788</v>
      </c>
      <c r="D1179" s="30">
        <v>23785</v>
      </c>
      <c r="E1179" s="30">
        <v>23951</v>
      </c>
      <c r="F1179" s="30">
        <v>24109</v>
      </c>
      <c r="G1179" s="30">
        <v>24149</v>
      </c>
      <c r="H1179" s="30">
        <v>24654</v>
      </c>
      <c r="I1179" s="30">
        <v>25192</v>
      </c>
      <c r="J1179" s="30">
        <v>25554</v>
      </c>
      <c r="K1179" s="30">
        <v>25901</v>
      </c>
      <c r="L1179" s="30">
        <v>26184</v>
      </c>
      <c r="M1179" s="30">
        <v>26400</v>
      </c>
      <c r="N1179" s="30">
        <v>26465</v>
      </c>
      <c r="O1179" s="24" t="str">
        <f t="shared" si="37"/>
        <v>West Baton Rouge Parish, Louisiana</v>
      </c>
    </row>
    <row r="1180" spans="1:15" x14ac:dyDescent="0.25">
      <c r="A1180" s="35" t="s">
        <v>1656</v>
      </c>
      <c r="B1180" s="28" t="e">
        <f t="shared" si="36"/>
        <v>#VALUE!</v>
      </c>
      <c r="C1180" s="30">
        <v>11604</v>
      </c>
      <c r="D1180" s="30">
        <v>11604</v>
      </c>
      <c r="E1180" s="30">
        <v>11576</v>
      </c>
      <c r="F1180" s="30">
        <v>11520</v>
      </c>
      <c r="G1180" s="30">
        <v>11499</v>
      </c>
      <c r="H1180" s="30">
        <v>11453</v>
      </c>
      <c r="I1180" s="30">
        <v>11526</v>
      </c>
      <c r="J1180" s="30">
        <v>11287</v>
      </c>
      <c r="K1180" s="30">
        <v>11136</v>
      </c>
      <c r="L1180" s="30">
        <v>10974</v>
      </c>
      <c r="M1180" s="30">
        <v>10977</v>
      </c>
      <c r="N1180" s="30">
        <v>10830</v>
      </c>
      <c r="O1180" s="24" t="str">
        <f t="shared" si="37"/>
        <v>West Carroll Parish, Louisiana</v>
      </c>
    </row>
    <row r="1181" spans="1:15" x14ac:dyDescent="0.25">
      <c r="A1181" s="35" t="s">
        <v>1657</v>
      </c>
      <c r="B1181" s="28" t="e">
        <f t="shared" si="36"/>
        <v>#VALUE!</v>
      </c>
      <c r="C1181" s="30">
        <v>15625</v>
      </c>
      <c r="D1181" s="30">
        <v>15625</v>
      </c>
      <c r="E1181" s="30">
        <v>15641</v>
      </c>
      <c r="F1181" s="30">
        <v>15517</v>
      </c>
      <c r="G1181" s="30">
        <v>15476</v>
      </c>
      <c r="H1181" s="30">
        <v>15462</v>
      </c>
      <c r="I1181" s="30">
        <v>15379</v>
      </c>
      <c r="J1181" s="30">
        <v>15383</v>
      </c>
      <c r="K1181" s="30">
        <v>15327</v>
      </c>
      <c r="L1181" s="30">
        <v>15371</v>
      </c>
      <c r="M1181" s="30">
        <v>15492</v>
      </c>
      <c r="N1181" s="30">
        <v>15568</v>
      </c>
      <c r="O1181" s="24" t="str">
        <f t="shared" si="37"/>
        <v>West Feliciana Parish, Louisiana</v>
      </c>
    </row>
    <row r="1182" spans="1:15" x14ac:dyDescent="0.25">
      <c r="A1182" s="35" t="s">
        <v>1658</v>
      </c>
      <c r="B1182" s="28" t="e">
        <f t="shared" si="36"/>
        <v>#VALUE!</v>
      </c>
      <c r="C1182" s="30">
        <v>15313</v>
      </c>
      <c r="D1182" s="30">
        <v>15313</v>
      </c>
      <c r="E1182" s="30">
        <v>15303</v>
      </c>
      <c r="F1182" s="30">
        <v>15151</v>
      </c>
      <c r="G1182" s="30">
        <v>15102</v>
      </c>
      <c r="H1182" s="30">
        <v>14849</v>
      </c>
      <c r="I1182" s="30">
        <v>14819</v>
      </c>
      <c r="J1182" s="30">
        <v>14642</v>
      </c>
      <c r="K1182" s="30">
        <v>14532</v>
      </c>
      <c r="L1182" s="30">
        <v>14350</v>
      </c>
      <c r="M1182" s="30">
        <v>14138</v>
      </c>
      <c r="N1182" s="30">
        <v>13904</v>
      </c>
      <c r="O1182" s="24" t="str">
        <f t="shared" si="37"/>
        <v>Winn Parish, Louisiana</v>
      </c>
    </row>
    <row r="1183" spans="1:15" x14ac:dyDescent="0.25">
      <c r="A1183" s="35" t="s">
        <v>1659</v>
      </c>
      <c r="B1183" s="28" t="str">
        <f t="shared" si="36"/>
        <v>Androscoggin</v>
      </c>
      <c r="C1183" s="30">
        <v>107702</v>
      </c>
      <c r="D1183" s="30">
        <v>107709</v>
      </c>
      <c r="E1183" s="30">
        <v>107708</v>
      </c>
      <c r="F1183" s="30">
        <v>107439</v>
      </c>
      <c r="G1183" s="30">
        <v>107486</v>
      </c>
      <c r="H1183" s="30">
        <v>107223</v>
      </c>
      <c r="I1183" s="30">
        <v>107358</v>
      </c>
      <c r="J1183" s="30">
        <v>107124</v>
      </c>
      <c r="K1183" s="30">
        <v>107296</v>
      </c>
      <c r="L1183" s="30">
        <v>107399</v>
      </c>
      <c r="M1183" s="30">
        <v>107914</v>
      </c>
      <c r="N1183" s="30">
        <v>108277</v>
      </c>
      <c r="O1183" s="24" t="str">
        <f t="shared" si="37"/>
        <v>Androscoggin County, Maine</v>
      </c>
    </row>
    <row r="1184" spans="1:15" x14ac:dyDescent="0.25">
      <c r="A1184" s="35" t="s">
        <v>1660</v>
      </c>
      <c r="B1184" s="28" t="str">
        <f t="shared" si="36"/>
        <v>Aroostook</v>
      </c>
      <c r="C1184" s="30">
        <v>71870</v>
      </c>
      <c r="D1184" s="30">
        <v>71873</v>
      </c>
      <c r="E1184" s="30">
        <v>71699</v>
      </c>
      <c r="F1184" s="30">
        <v>71388</v>
      </c>
      <c r="G1184" s="30">
        <v>70767</v>
      </c>
      <c r="H1184" s="30">
        <v>70064</v>
      </c>
      <c r="I1184" s="30">
        <v>69520</v>
      </c>
      <c r="J1184" s="30">
        <v>68818</v>
      </c>
      <c r="K1184" s="30">
        <v>68243</v>
      </c>
      <c r="L1184" s="30">
        <v>67609</v>
      </c>
      <c r="M1184" s="30">
        <v>67318</v>
      </c>
      <c r="N1184" s="30">
        <v>67055</v>
      </c>
      <c r="O1184" s="24" t="str">
        <f t="shared" si="37"/>
        <v>Aroostook County, Maine</v>
      </c>
    </row>
    <row r="1185" spans="1:15" x14ac:dyDescent="0.25">
      <c r="A1185" s="35" t="s">
        <v>1661</v>
      </c>
      <c r="B1185" s="28" t="str">
        <f t="shared" si="36"/>
        <v>Cumberland</v>
      </c>
      <c r="C1185" s="30">
        <v>281674</v>
      </c>
      <c r="D1185" s="30">
        <v>281690</v>
      </c>
      <c r="E1185" s="30">
        <v>281474</v>
      </c>
      <c r="F1185" s="30">
        <v>282709</v>
      </c>
      <c r="G1185" s="30">
        <v>283645</v>
      </c>
      <c r="H1185" s="30">
        <v>285537</v>
      </c>
      <c r="I1185" s="30">
        <v>288086</v>
      </c>
      <c r="J1185" s="30">
        <v>289488</v>
      </c>
      <c r="K1185" s="30">
        <v>291191</v>
      </c>
      <c r="L1185" s="30">
        <v>292181</v>
      </c>
      <c r="M1185" s="30">
        <v>293673</v>
      </c>
      <c r="N1185" s="30">
        <v>295003</v>
      </c>
      <c r="O1185" s="24" t="str">
        <f t="shared" si="37"/>
        <v>Cumberland County, Maine</v>
      </c>
    </row>
    <row r="1186" spans="1:15" x14ac:dyDescent="0.25">
      <c r="A1186" s="35" t="s">
        <v>1662</v>
      </c>
      <c r="B1186" s="28" t="str">
        <f t="shared" si="36"/>
        <v>Franklin</v>
      </c>
      <c r="C1186" s="30">
        <v>30768</v>
      </c>
      <c r="D1186" s="30">
        <v>30767</v>
      </c>
      <c r="E1186" s="30">
        <v>30719</v>
      </c>
      <c r="F1186" s="30">
        <v>30741</v>
      </c>
      <c r="G1186" s="30">
        <v>30650</v>
      </c>
      <c r="H1186" s="30">
        <v>30477</v>
      </c>
      <c r="I1186" s="30">
        <v>30201</v>
      </c>
      <c r="J1186" s="30">
        <v>30017</v>
      </c>
      <c r="K1186" s="30">
        <v>29982</v>
      </c>
      <c r="L1186" s="30">
        <v>29799</v>
      </c>
      <c r="M1186" s="30">
        <v>29915</v>
      </c>
      <c r="N1186" s="30">
        <v>30199</v>
      </c>
      <c r="O1186" s="24" t="str">
        <f t="shared" si="37"/>
        <v>Franklin County, Maine</v>
      </c>
    </row>
    <row r="1187" spans="1:15" x14ac:dyDescent="0.25">
      <c r="A1187" s="35" t="s">
        <v>1663</v>
      </c>
      <c r="B1187" s="28" t="str">
        <f t="shared" si="36"/>
        <v>Hancock</v>
      </c>
      <c r="C1187" s="30">
        <v>54418</v>
      </c>
      <c r="D1187" s="30">
        <v>54408</v>
      </c>
      <c r="E1187" s="30">
        <v>54350</v>
      </c>
      <c r="F1187" s="30">
        <v>54525</v>
      </c>
      <c r="G1187" s="30">
        <v>54478</v>
      </c>
      <c r="H1187" s="30">
        <v>54566</v>
      </c>
      <c r="I1187" s="30">
        <v>54477</v>
      </c>
      <c r="J1187" s="30">
        <v>54237</v>
      </c>
      <c r="K1187" s="30">
        <v>54509</v>
      </c>
      <c r="L1187" s="30">
        <v>54539</v>
      </c>
      <c r="M1187" s="30">
        <v>54734</v>
      </c>
      <c r="N1187" s="30">
        <v>54987</v>
      </c>
      <c r="O1187" s="24" t="str">
        <f t="shared" si="37"/>
        <v>Hancock County, Maine</v>
      </c>
    </row>
    <row r="1188" spans="1:15" x14ac:dyDescent="0.25">
      <c r="A1188" s="35" t="s">
        <v>1664</v>
      </c>
      <c r="B1188" s="28" t="str">
        <f t="shared" si="36"/>
        <v>Kennebec</v>
      </c>
      <c r="C1188" s="30">
        <v>122151</v>
      </c>
      <c r="D1188" s="30">
        <v>122154</v>
      </c>
      <c r="E1188" s="30">
        <v>122076</v>
      </c>
      <c r="F1188" s="30">
        <v>121792</v>
      </c>
      <c r="G1188" s="30">
        <v>121591</v>
      </c>
      <c r="H1188" s="30">
        <v>121139</v>
      </c>
      <c r="I1188" s="30">
        <v>121233</v>
      </c>
      <c r="J1188" s="30">
        <v>121010</v>
      </c>
      <c r="K1188" s="30">
        <v>121497</v>
      </c>
      <c r="L1188" s="30">
        <v>121913</v>
      </c>
      <c r="M1188" s="30">
        <v>122044</v>
      </c>
      <c r="N1188" s="30">
        <v>122302</v>
      </c>
      <c r="O1188" s="24" t="str">
        <f t="shared" si="37"/>
        <v>Kennebec County, Maine</v>
      </c>
    </row>
    <row r="1189" spans="1:15" x14ac:dyDescent="0.25">
      <c r="A1189" s="35" t="s">
        <v>1665</v>
      </c>
      <c r="B1189" s="28" t="str">
        <f t="shared" si="36"/>
        <v>Knox</v>
      </c>
      <c r="C1189" s="30">
        <v>39736</v>
      </c>
      <c r="D1189" s="30">
        <v>39734</v>
      </c>
      <c r="E1189" s="30">
        <v>39730</v>
      </c>
      <c r="F1189" s="30">
        <v>39672</v>
      </c>
      <c r="G1189" s="30">
        <v>39611</v>
      </c>
      <c r="H1189" s="30">
        <v>39691</v>
      </c>
      <c r="I1189" s="30">
        <v>39891</v>
      </c>
      <c r="J1189" s="30">
        <v>39786</v>
      </c>
      <c r="K1189" s="30">
        <v>39761</v>
      </c>
      <c r="L1189" s="30">
        <v>39759</v>
      </c>
      <c r="M1189" s="30">
        <v>39717</v>
      </c>
      <c r="N1189" s="30">
        <v>39772</v>
      </c>
      <c r="O1189" s="24" t="str">
        <f t="shared" si="37"/>
        <v>Knox County, Maine</v>
      </c>
    </row>
    <row r="1190" spans="1:15" x14ac:dyDescent="0.25">
      <c r="A1190" s="35" t="s">
        <v>1666</v>
      </c>
      <c r="B1190" s="28" t="str">
        <f t="shared" si="36"/>
        <v>Lincoln</v>
      </c>
      <c r="C1190" s="30">
        <v>34457</v>
      </c>
      <c r="D1190" s="30">
        <v>34445</v>
      </c>
      <c r="E1190" s="30">
        <v>34385</v>
      </c>
      <c r="F1190" s="30">
        <v>34269</v>
      </c>
      <c r="G1190" s="30">
        <v>34152</v>
      </c>
      <c r="H1190" s="30">
        <v>34087</v>
      </c>
      <c r="I1190" s="30">
        <v>34047</v>
      </c>
      <c r="J1190" s="30">
        <v>33784</v>
      </c>
      <c r="K1190" s="30">
        <v>33974</v>
      </c>
      <c r="L1190" s="30">
        <v>34215</v>
      </c>
      <c r="M1190" s="30">
        <v>34399</v>
      </c>
      <c r="N1190" s="30">
        <v>34634</v>
      </c>
      <c r="O1190" s="24" t="str">
        <f t="shared" si="37"/>
        <v>Lincoln County, Maine</v>
      </c>
    </row>
    <row r="1191" spans="1:15" x14ac:dyDescent="0.25">
      <c r="A1191" s="35" t="s">
        <v>1667</v>
      </c>
      <c r="B1191" s="28" t="str">
        <f t="shared" si="36"/>
        <v>Oxford</v>
      </c>
      <c r="C1191" s="30">
        <v>57833</v>
      </c>
      <c r="D1191" s="30">
        <v>57830</v>
      </c>
      <c r="E1191" s="30">
        <v>57779</v>
      </c>
      <c r="F1191" s="30">
        <v>57763</v>
      </c>
      <c r="G1191" s="30">
        <v>57473</v>
      </c>
      <c r="H1191" s="30">
        <v>57397</v>
      </c>
      <c r="I1191" s="30">
        <v>57323</v>
      </c>
      <c r="J1191" s="30">
        <v>57164</v>
      </c>
      <c r="K1191" s="30">
        <v>57322</v>
      </c>
      <c r="L1191" s="30">
        <v>57534</v>
      </c>
      <c r="M1191" s="30">
        <v>57754</v>
      </c>
      <c r="N1191" s="30">
        <v>57975</v>
      </c>
      <c r="O1191" s="24" t="str">
        <f t="shared" si="37"/>
        <v>Oxford County, Maine</v>
      </c>
    </row>
    <row r="1192" spans="1:15" x14ac:dyDescent="0.25">
      <c r="A1192" s="35" t="s">
        <v>1668</v>
      </c>
      <c r="B1192" s="28" t="str">
        <f t="shared" si="36"/>
        <v>Penobscot</v>
      </c>
      <c r="C1192" s="30">
        <v>153923</v>
      </c>
      <c r="D1192" s="30">
        <v>153931</v>
      </c>
      <c r="E1192" s="30">
        <v>153861</v>
      </c>
      <c r="F1192" s="30">
        <v>153759</v>
      </c>
      <c r="G1192" s="30">
        <v>153347</v>
      </c>
      <c r="H1192" s="30">
        <v>153222</v>
      </c>
      <c r="I1192" s="30">
        <v>153201</v>
      </c>
      <c r="J1192" s="30">
        <v>151929</v>
      </c>
      <c r="K1192" s="30">
        <v>151333</v>
      </c>
      <c r="L1192" s="30">
        <v>151645</v>
      </c>
      <c r="M1192" s="30">
        <v>151817</v>
      </c>
      <c r="N1192" s="30">
        <v>152148</v>
      </c>
      <c r="O1192" s="24" t="str">
        <f t="shared" si="37"/>
        <v>Penobscot County, Maine</v>
      </c>
    </row>
    <row r="1193" spans="1:15" x14ac:dyDescent="0.25">
      <c r="A1193" s="35" t="s">
        <v>1669</v>
      </c>
      <c r="B1193" s="28" t="str">
        <f t="shared" si="36"/>
        <v>Piscataquis</v>
      </c>
      <c r="C1193" s="30">
        <v>17535</v>
      </c>
      <c r="D1193" s="30">
        <v>17535</v>
      </c>
      <c r="E1193" s="30">
        <v>17550</v>
      </c>
      <c r="F1193" s="30">
        <v>17362</v>
      </c>
      <c r="G1193" s="30">
        <v>17265</v>
      </c>
      <c r="H1193" s="30">
        <v>17173</v>
      </c>
      <c r="I1193" s="30">
        <v>17038</v>
      </c>
      <c r="J1193" s="30">
        <v>16937</v>
      </c>
      <c r="K1193" s="30">
        <v>16910</v>
      </c>
      <c r="L1193" s="30">
        <v>16804</v>
      </c>
      <c r="M1193" s="30">
        <v>16746</v>
      </c>
      <c r="N1193" s="30">
        <v>16785</v>
      </c>
      <c r="O1193" s="24" t="str">
        <f t="shared" si="37"/>
        <v>Piscataquis County, Maine</v>
      </c>
    </row>
    <row r="1194" spans="1:15" x14ac:dyDescent="0.25">
      <c r="A1194" s="35" t="s">
        <v>1670</v>
      </c>
      <c r="B1194" s="28" t="str">
        <f t="shared" si="36"/>
        <v>Sagadahoc</v>
      </c>
      <c r="C1194" s="30">
        <v>35293</v>
      </c>
      <c r="D1194" s="30">
        <v>35287</v>
      </c>
      <c r="E1194" s="30">
        <v>35228</v>
      </c>
      <c r="F1194" s="30">
        <v>35121</v>
      </c>
      <c r="G1194" s="30">
        <v>35115</v>
      </c>
      <c r="H1194" s="30">
        <v>35021</v>
      </c>
      <c r="I1194" s="30">
        <v>35076</v>
      </c>
      <c r="J1194" s="30">
        <v>35120</v>
      </c>
      <c r="K1194" s="30">
        <v>35156</v>
      </c>
      <c r="L1194" s="30">
        <v>35436</v>
      </c>
      <c r="M1194" s="30">
        <v>35690</v>
      </c>
      <c r="N1194" s="30">
        <v>35856</v>
      </c>
      <c r="O1194" s="24" t="str">
        <f t="shared" si="37"/>
        <v>Sagadahoc County, Maine</v>
      </c>
    </row>
    <row r="1195" spans="1:15" x14ac:dyDescent="0.25">
      <c r="A1195" s="35" t="s">
        <v>1671</v>
      </c>
      <c r="B1195" s="28" t="str">
        <f t="shared" si="36"/>
        <v>Somerset</v>
      </c>
      <c r="C1195" s="30">
        <v>52228</v>
      </c>
      <c r="D1195" s="30">
        <v>52222</v>
      </c>
      <c r="E1195" s="30">
        <v>52216</v>
      </c>
      <c r="F1195" s="30">
        <v>51930</v>
      </c>
      <c r="G1195" s="30">
        <v>51806</v>
      </c>
      <c r="H1195" s="30">
        <v>51698</v>
      </c>
      <c r="I1195" s="30">
        <v>51235</v>
      </c>
      <c r="J1195" s="30">
        <v>50729</v>
      </c>
      <c r="K1195" s="30">
        <v>50546</v>
      </c>
      <c r="L1195" s="30">
        <v>50351</v>
      </c>
      <c r="M1195" s="30">
        <v>50489</v>
      </c>
      <c r="N1195" s="30">
        <v>50484</v>
      </c>
      <c r="O1195" s="24" t="str">
        <f t="shared" si="37"/>
        <v>Somerset County, Maine</v>
      </c>
    </row>
    <row r="1196" spans="1:15" x14ac:dyDescent="0.25">
      <c r="A1196" s="35" t="s">
        <v>1672</v>
      </c>
      <c r="B1196" s="28" t="str">
        <f t="shared" si="36"/>
        <v>Waldo</v>
      </c>
      <c r="C1196" s="30">
        <v>38786</v>
      </c>
      <c r="D1196" s="30">
        <v>38787</v>
      </c>
      <c r="E1196" s="30">
        <v>38818</v>
      </c>
      <c r="F1196" s="30">
        <v>38857</v>
      </c>
      <c r="G1196" s="30">
        <v>38928</v>
      </c>
      <c r="H1196" s="30">
        <v>39025</v>
      </c>
      <c r="I1196" s="30">
        <v>39035</v>
      </c>
      <c r="J1196" s="30">
        <v>39120</v>
      </c>
      <c r="K1196" s="30">
        <v>39429</v>
      </c>
      <c r="L1196" s="30">
        <v>39772</v>
      </c>
      <c r="M1196" s="30">
        <v>39657</v>
      </c>
      <c r="N1196" s="30">
        <v>39715</v>
      </c>
      <c r="O1196" s="24" t="str">
        <f t="shared" si="37"/>
        <v>Waldo County, Maine</v>
      </c>
    </row>
    <row r="1197" spans="1:15" x14ac:dyDescent="0.25">
      <c r="A1197" s="35" t="s">
        <v>1673</v>
      </c>
      <c r="B1197" s="28" t="str">
        <f t="shared" si="36"/>
        <v>Washington</v>
      </c>
      <c r="C1197" s="30">
        <v>32856</v>
      </c>
      <c r="D1197" s="30">
        <v>32855</v>
      </c>
      <c r="E1197" s="30">
        <v>32827</v>
      </c>
      <c r="F1197" s="30">
        <v>32717</v>
      </c>
      <c r="G1197" s="30">
        <v>32543</v>
      </c>
      <c r="H1197" s="30">
        <v>32260</v>
      </c>
      <c r="I1197" s="30">
        <v>31965</v>
      </c>
      <c r="J1197" s="30">
        <v>31776</v>
      </c>
      <c r="K1197" s="30">
        <v>31603</v>
      </c>
      <c r="L1197" s="30">
        <v>31374</v>
      </c>
      <c r="M1197" s="30">
        <v>31321</v>
      </c>
      <c r="N1197" s="30">
        <v>31379</v>
      </c>
      <c r="O1197" s="24" t="str">
        <f t="shared" si="37"/>
        <v>Washington County, Maine</v>
      </c>
    </row>
    <row r="1198" spans="1:15" x14ac:dyDescent="0.25">
      <c r="A1198" s="35" t="s">
        <v>1674</v>
      </c>
      <c r="B1198" s="28" t="str">
        <f t="shared" si="36"/>
        <v>York</v>
      </c>
      <c r="C1198" s="30">
        <v>197131</v>
      </c>
      <c r="D1198" s="30">
        <v>197131</v>
      </c>
      <c r="E1198" s="30">
        <v>197209</v>
      </c>
      <c r="F1198" s="30">
        <v>198240</v>
      </c>
      <c r="G1198" s="30">
        <v>198872</v>
      </c>
      <c r="H1198" s="30">
        <v>199429</v>
      </c>
      <c r="I1198" s="30">
        <v>200827</v>
      </c>
      <c r="J1198" s="30">
        <v>201223</v>
      </c>
      <c r="K1198" s="30">
        <v>202565</v>
      </c>
      <c r="L1198" s="30">
        <v>204282</v>
      </c>
      <c r="M1198" s="30">
        <v>205869</v>
      </c>
      <c r="N1198" s="30">
        <v>207641</v>
      </c>
      <c r="O1198" s="24" t="str">
        <f t="shared" si="37"/>
        <v>York County, Maine</v>
      </c>
    </row>
    <row r="1199" spans="1:15" x14ac:dyDescent="0.25">
      <c r="A1199" s="35" t="s">
        <v>1675</v>
      </c>
      <c r="B1199" s="28" t="str">
        <f t="shared" si="36"/>
        <v>Allegany</v>
      </c>
      <c r="C1199" s="30">
        <v>75087</v>
      </c>
      <c r="D1199" s="30">
        <v>75047</v>
      </c>
      <c r="E1199" s="30">
        <v>74965</v>
      </c>
      <c r="F1199" s="30">
        <v>74572</v>
      </c>
      <c r="G1199" s="30">
        <v>73947</v>
      </c>
      <c r="H1199" s="30">
        <v>73576</v>
      </c>
      <c r="I1199" s="30">
        <v>73020</v>
      </c>
      <c r="J1199" s="30">
        <v>72462</v>
      </c>
      <c r="K1199" s="30">
        <v>72053</v>
      </c>
      <c r="L1199" s="30">
        <v>71352</v>
      </c>
      <c r="M1199" s="30">
        <v>70941</v>
      </c>
      <c r="N1199" s="30">
        <v>70416</v>
      </c>
      <c r="O1199" s="24" t="str">
        <f t="shared" si="37"/>
        <v>Allegany County, Maryland</v>
      </c>
    </row>
    <row r="1200" spans="1:15" x14ac:dyDescent="0.25">
      <c r="A1200" s="35" t="s">
        <v>1676</v>
      </c>
      <c r="B1200" s="28" t="str">
        <f t="shared" si="36"/>
        <v>Anne Arundel</v>
      </c>
      <c r="C1200" s="30">
        <v>537656</v>
      </c>
      <c r="D1200" s="30">
        <v>537631</v>
      </c>
      <c r="E1200" s="30">
        <v>539284</v>
      </c>
      <c r="F1200" s="30">
        <v>544803</v>
      </c>
      <c r="G1200" s="30">
        <v>550333</v>
      </c>
      <c r="H1200" s="30">
        <v>555417</v>
      </c>
      <c r="I1200" s="30">
        <v>559142</v>
      </c>
      <c r="J1200" s="30">
        <v>563027</v>
      </c>
      <c r="K1200" s="30">
        <v>567254</v>
      </c>
      <c r="L1200" s="30">
        <v>571339</v>
      </c>
      <c r="M1200" s="30">
        <v>575523</v>
      </c>
      <c r="N1200" s="30">
        <v>579234</v>
      </c>
      <c r="O1200" s="24" t="str">
        <f t="shared" si="37"/>
        <v>Anne Arundel County, Maryland</v>
      </c>
    </row>
    <row r="1201" spans="1:15" x14ac:dyDescent="0.25">
      <c r="A1201" s="35" t="s">
        <v>1677</v>
      </c>
      <c r="B1201" s="28" t="str">
        <f t="shared" si="36"/>
        <v>Baltimore</v>
      </c>
      <c r="C1201" s="30">
        <v>805029</v>
      </c>
      <c r="D1201" s="30">
        <v>805324</v>
      </c>
      <c r="E1201" s="30">
        <v>806656</v>
      </c>
      <c r="F1201" s="30">
        <v>812961</v>
      </c>
      <c r="G1201" s="30">
        <v>818113</v>
      </c>
      <c r="H1201" s="30">
        <v>822274</v>
      </c>
      <c r="I1201" s="30">
        <v>824994</v>
      </c>
      <c r="J1201" s="30">
        <v>827533</v>
      </c>
      <c r="K1201" s="30">
        <v>828682</v>
      </c>
      <c r="L1201" s="30">
        <v>828645</v>
      </c>
      <c r="M1201" s="30">
        <v>827859</v>
      </c>
      <c r="N1201" s="30">
        <v>827370</v>
      </c>
      <c r="O1201" s="24" t="str">
        <f t="shared" si="37"/>
        <v>Baltimore County, Maryland</v>
      </c>
    </row>
    <row r="1202" spans="1:15" x14ac:dyDescent="0.25">
      <c r="A1202" s="35" t="s">
        <v>1678</v>
      </c>
      <c r="B1202" s="28" t="str">
        <f t="shared" si="36"/>
        <v>Calvert</v>
      </c>
      <c r="C1202" s="30">
        <v>88737</v>
      </c>
      <c r="D1202" s="30">
        <v>88739</v>
      </c>
      <c r="E1202" s="30">
        <v>88988</v>
      </c>
      <c r="F1202" s="30">
        <v>89327</v>
      </c>
      <c r="G1202" s="30">
        <v>89720</v>
      </c>
      <c r="H1202" s="30">
        <v>90444</v>
      </c>
      <c r="I1202" s="30">
        <v>90540</v>
      </c>
      <c r="J1202" s="30">
        <v>90477</v>
      </c>
      <c r="K1202" s="30">
        <v>91052</v>
      </c>
      <c r="L1202" s="30">
        <v>91435</v>
      </c>
      <c r="M1202" s="30">
        <v>92065</v>
      </c>
      <c r="N1202" s="30">
        <v>92525</v>
      </c>
      <c r="O1202" s="24" t="str">
        <f t="shared" si="37"/>
        <v>Calvert County, Maryland</v>
      </c>
    </row>
    <row r="1203" spans="1:15" x14ac:dyDescent="0.25">
      <c r="A1203" s="35" t="s">
        <v>1679</v>
      </c>
      <c r="B1203" s="28" t="str">
        <f t="shared" si="36"/>
        <v>Caroline</v>
      </c>
      <c r="C1203" s="30">
        <v>33066</v>
      </c>
      <c r="D1203" s="30">
        <v>33078</v>
      </c>
      <c r="E1203" s="30">
        <v>33052</v>
      </c>
      <c r="F1203" s="30">
        <v>32887</v>
      </c>
      <c r="G1203" s="30">
        <v>32629</v>
      </c>
      <c r="H1203" s="30">
        <v>32642</v>
      </c>
      <c r="I1203" s="30">
        <v>32532</v>
      </c>
      <c r="J1203" s="30">
        <v>32595</v>
      </c>
      <c r="K1203" s="30">
        <v>32840</v>
      </c>
      <c r="L1203" s="30">
        <v>33096</v>
      </c>
      <c r="M1203" s="30">
        <v>33306</v>
      </c>
      <c r="N1203" s="30">
        <v>33406</v>
      </c>
      <c r="O1203" s="24" t="str">
        <f t="shared" si="37"/>
        <v>Caroline County, Maryland</v>
      </c>
    </row>
    <row r="1204" spans="1:15" x14ac:dyDescent="0.25">
      <c r="A1204" s="35" t="s">
        <v>1680</v>
      </c>
      <c r="B1204" s="28" t="str">
        <f t="shared" si="36"/>
        <v>Carroll</v>
      </c>
      <c r="C1204" s="30">
        <v>167134</v>
      </c>
      <c r="D1204" s="30">
        <v>167141</v>
      </c>
      <c r="E1204" s="30">
        <v>167213</v>
      </c>
      <c r="F1204" s="30">
        <v>167037</v>
      </c>
      <c r="G1204" s="30">
        <v>167049</v>
      </c>
      <c r="H1204" s="30">
        <v>167217</v>
      </c>
      <c r="I1204" s="30">
        <v>167327</v>
      </c>
      <c r="J1204" s="30">
        <v>167132</v>
      </c>
      <c r="K1204" s="30">
        <v>167100</v>
      </c>
      <c r="L1204" s="30">
        <v>167547</v>
      </c>
      <c r="M1204" s="30">
        <v>168267</v>
      </c>
      <c r="N1204" s="30">
        <v>168447</v>
      </c>
      <c r="O1204" s="24" t="str">
        <f t="shared" si="37"/>
        <v>Carroll County, Maryland</v>
      </c>
    </row>
    <row r="1205" spans="1:15" x14ac:dyDescent="0.25">
      <c r="A1205" s="35" t="s">
        <v>1681</v>
      </c>
      <c r="B1205" s="28" t="str">
        <f t="shared" si="36"/>
        <v>Cecil</v>
      </c>
      <c r="C1205" s="30">
        <v>101108</v>
      </c>
      <c r="D1205" s="30">
        <v>101102</v>
      </c>
      <c r="E1205" s="30">
        <v>101165</v>
      </c>
      <c r="F1205" s="30">
        <v>101567</v>
      </c>
      <c r="G1205" s="30">
        <v>101753</v>
      </c>
      <c r="H1205" s="30">
        <v>101887</v>
      </c>
      <c r="I1205" s="30">
        <v>102195</v>
      </c>
      <c r="J1205" s="30">
        <v>102382</v>
      </c>
      <c r="K1205" s="30">
        <v>102487</v>
      </c>
      <c r="L1205" s="30">
        <v>102394</v>
      </c>
      <c r="M1205" s="30">
        <v>102644</v>
      </c>
      <c r="N1205" s="30">
        <v>102855</v>
      </c>
      <c r="O1205" s="24" t="str">
        <f t="shared" si="37"/>
        <v>Cecil County, Maryland</v>
      </c>
    </row>
    <row r="1206" spans="1:15" x14ac:dyDescent="0.25">
      <c r="A1206" s="35" t="s">
        <v>1682</v>
      </c>
      <c r="B1206" s="28" t="str">
        <f t="shared" si="36"/>
        <v>Charles</v>
      </c>
      <c r="C1206" s="30">
        <v>146551</v>
      </c>
      <c r="D1206" s="30">
        <v>146564</v>
      </c>
      <c r="E1206" s="30">
        <v>147159</v>
      </c>
      <c r="F1206" s="30">
        <v>149200</v>
      </c>
      <c r="G1206" s="30">
        <v>150668</v>
      </c>
      <c r="H1206" s="30">
        <v>152645</v>
      </c>
      <c r="I1206" s="30">
        <v>154359</v>
      </c>
      <c r="J1206" s="30">
        <v>155665</v>
      </c>
      <c r="K1206" s="30">
        <v>157292</v>
      </c>
      <c r="L1206" s="30">
        <v>159450</v>
      </c>
      <c r="M1206" s="30">
        <v>161476</v>
      </c>
      <c r="N1206" s="30">
        <v>163257</v>
      </c>
      <c r="O1206" s="24" t="str">
        <f t="shared" si="37"/>
        <v>Charles County, Maryland</v>
      </c>
    </row>
    <row r="1207" spans="1:15" x14ac:dyDescent="0.25">
      <c r="A1207" s="35" t="s">
        <v>1683</v>
      </c>
      <c r="B1207" s="28" t="str">
        <f t="shared" si="36"/>
        <v>Dorchester</v>
      </c>
      <c r="C1207" s="30">
        <v>32618</v>
      </c>
      <c r="D1207" s="30">
        <v>32623</v>
      </c>
      <c r="E1207" s="30">
        <v>32688</v>
      </c>
      <c r="F1207" s="30">
        <v>32699</v>
      </c>
      <c r="G1207" s="30">
        <v>32476</v>
      </c>
      <c r="H1207" s="30">
        <v>32555</v>
      </c>
      <c r="I1207" s="30">
        <v>32492</v>
      </c>
      <c r="J1207" s="30">
        <v>32419</v>
      </c>
      <c r="K1207" s="30">
        <v>32276</v>
      </c>
      <c r="L1207" s="30">
        <v>32105</v>
      </c>
      <c r="M1207" s="30">
        <v>31960</v>
      </c>
      <c r="N1207" s="30">
        <v>31929</v>
      </c>
      <c r="O1207" s="24" t="str">
        <f t="shared" si="37"/>
        <v>Dorchester County, Maryland</v>
      </c>
    </row>
    <row r="1208" spans="1:15" x14ac:dyDescent="0.25">
      <c r="A1208" s="35" t="s">
        <v>1684</v>
      </c>
      <c r="B1208" s="28" t="str">
        <f t="shared" si="36"/>
        <v>Frederick</v>
      </c>
      <c r="C1208" s="30">
        <v>233385</v>
      </c>
      <c r="D1208" s="30">
        <v>233403</v>
      </c>
      <c r="E1208" s="30">
        <v>234218</v>
      </c>
      <c r="F1208" s="30">
        <v>237284</v>
      </c>
      <c r="G1208" s="30">
        <v>239645</v>
      </c>
      <c r="H1208" s="30">
        <v>241129</v>
      </c>
      <c r="I1208" s="30">
        <v>243381</v>
      </c>
      <c r="J1208" s="30">
        <v>245001</v>
      </c>
      <c r="K1208" s="30">
        <v>246999</v>
      </c>
      <c r="L1208" s="30">
        <v>250622</v>
      </c>
      <c r="M1208" s="30">
        <v>254943</v>
      </c>
      <c r="N1208" s="30">
        <v>259547</v>
      </c>
      <c r="O1208" s="24" t="str">
        <f t="shared" si="37"/>
        <v>Frederick County, Maryland</v>
      </c>
    </row>
    <row r="1209" spans="1:15" x14ac:dyDescent="0.25">
      <c r="A1209" s="35" t="s">
        <v>1685</v>
      </c>
      <c r="B1209" s="28" t="str">
        <f t="shared" si="36"/>
        <v>Garrett</v>
      </c>
      <c r="C1209" s="30">
        <v>30097</v>
      </c>
      <c r="D1209" s="30">
        <v>30139</v>
      </c>
      <c r="E1209" s="30">
        <v>30141</v>
      </c>
      <c r="F1209" s="30">
        <v>30151</v>
      </c>
      <c r="G1209" s="30">
        <v>29967</v>
      </c>
      <c r="H1209" s="30">
        <v>29965</v>
      </c>
      <c r="I1209" s="30">
        <v>29648</v>
      </c>
      <c r="J1209" s="30">
        <v>29426</v>
      </c>
      <c r="K1209" s="30">
        <v>29358</v>
      </c>
      <c r="L1209" s="30">
        <v>29242</v>
      </c>
      <c r="M1209" s="30">
        <v>29133</v>
      </c>
      <c r="N1209" s="30">
        <v>29014</v>
      </c>
      <c r="O1209" s="24" t="str">
        <f t="shared" si="37"/>
        <v>Garrett County, Maryland</v>
      </c>
    </row>
    <row r="1210" spans="1:15" x14ac:dyDescent="0.25">
      <c r="A1210" s="35" t="s">
        <v>1686</v>
      </c>
      <c r="B1210" s="28" t="str">
        <f t="shared" si="36"/>
        <v>Harford</v>
      </c>
      <c r="C1210" s="30">
        <v>244826</v>
      </c>
      <c r="D1210" s="30">
        <v>244824</v>
      </c>
      <c r="E1210" s="30">
        <v>245237</v>
      </c>
      <c r="F1210" s="30">
        <v>246729</v>
      </c>
      <c r="G1210" s="30">
        <v>248566</v>
      </c>
      <c r="H1210" s="30">
        <v>248890</v>
      </c>
      <c r="I1210" s="30">
        <v>249314</v>
      </c>
      <c r="J1210" s="30">
        <v>249558</v>
      </c>
      <c r="K1210" s="30">
        <v>250370</v>
      </c>
      <c r="L1210" s="30">
        <v>251858</v>
      </c>
      <c r="M1210" s="30">
        <v>253882</v>
      </c>
      <c r="N1210" s="30">
        <v>255441</v>
      </c>
      <c r="O1210" s="24" t="str">
        <f t="shared" si="37"/>
        <v>Harford County, Maryland</v>
      </c>
    </row>
    <row r="1211" spans="1:15" x14ac:dyDescent="0.25">
      <c r="A1211" s="35" t="s">
        <v>1687</v>
      </c>
      <c r="B1211" s="28" t="str">
        <f t="shared" si="36"/>
        <v>Howard</v>
      </c>
      <c r="C1211" s="30">
        <v>287085</v>
      </c>
      <c r="D1211" s="30">
        <v>287123</v>
      </c>
      <c r="E1211" s="30">
        <v>288627</v>
      </c>
      <c r="F1211" s="30">
        <v>293583</v>
      </c>
      <c r="G1211" s="30">
        <v>299184</v>
      </c>
      <c r="H1211" s="30">
        <v>303527</v>
      </c>
      <c r="I1211" s="30">
        <v>306909</v>
      </c>
      <c r="J1211" s="30">
        <v>311297</v>
      </c>
      <c r="K1211" s="30">
        <v>315416</v>
      </c>
      <c r="L1211" s="30">
        <v>319251</v>
      </c>
      <c r="M1211" s="30">
        <v>322621</v>
      </c>
      <c r="N1211" s="30">
        <v>325690</v>
      </c>
      <c r="O1211" s="24" t="str">
        <f t="shared" si="37"/>
        <v>Howard County, Maryland</v>
      </c>
    </row>
    <row r="1212" spans="1:15" x14ac:dyDescent="0.25">
      <c r="A1212" s="35" t="s">
        <v>1688</v>
      </c>
      <c r="B1212" s="28" t="str">
        <f t="shared" si="36"/>
        <v>Kent</v>
      </c>
      <c r="C1212" s="30">
        <v>20197</v>
      </c>
      <c r="D1212" s="30">
        <v>20195</v>
      </c>
      <c r="E1212" s="30">
        <v>20213</v>
      </c>
      <c r="F1212" s="30">
        <v>20250</v>
      </c>
      <c r="G1212" s="30">
        <v>19976</v>
      </c>
      <c r="H1212" s="30">
        <v>19816</v>
      </c>
      <c r="I1212" s="30">
        <v>19777</v>
      </c>
      <c r="J1212" s="30">
        <v>19715</v>
      </c>
      <c r="K1212" s="30">
        <v>19666</v>
      </c>
      <c r="L1212" s="30">
        <v>19442</v>
      </c>
      <c r="M1212" s="30">
        <v>19434</v>
      </c>
      <c r="N1212" s="30">
        <v>19422</v>
      </c>
      <c r="O1212" s="24" t="str">
        <f t="shared" si="37"/>
        <v>Kent County, Maryland</v>
      </c>
    </row>
    <row r="1213" spans="1:15" x14ac:dyDescent="0.25">
      <c r="A1213" s="35" t="s">
        <v>1689</v>
      </c>
      <c r="B1213" s="28" t="str">
        <f t="shared" si="36"/>
        <v>Montgomery</v>
      </c>
      <c r="C1213" s="30">
        <v>971777</v>
      </c>
      <c r="D1213" s="30">
        <v>971284</v>
      </c>
      <c r="E1213" s="30">
        <v>975602</v>
      </c>
      <c r="F1213" s="30">
        <v>991185</v>
      </c>
      <c r="G1213" s="30">
        <v>1005079</v>
      </c>
      <c r="H1213" s="30">
        <v>1015172</v>
      </c>
      <c r="I1213" s="30">
        <v>1024617</v>
      </c>
      <c r="J1213" s="30">
        <v>1032814</v>
      </c>
      <c r="K1213" s="30">
        <v>1038846</v>
      </c>
      <c r="L1213" s="30">
        <v>1046822</v>
      </c>
      <c r="M1213" s="30">
        <v>1048478</v>
      </c>
      <c r="N1213" s="30">
        <v>1050688</v>
      </c>
      <c r="O1213" s="24" t="str">
        <f t="shared" si="37"/>
        <v>Montgomery County, Maryland</v>
      </c>
    </row>
    <row r="1214" spans="1:15" x14ac:dyDescent="0.25">
      <c r="A1214" s="35" t="s">
        <v>1690</v>
      </c>
      <c r="B1214" s="28" t="str">
        <f t="shared" si="36"/>
        <v>Prince George's</v>
      </c>
      <c r="C1214" s="30">
        <v>863420</v>
      </c>
      <c r="D1214" s="30">
        <v>864029</v>
      </c>
      <c r="E1214" s="30">
        <v>866419</v>
      </c>
      <c r="F1214" s="30">
        <v>874389</v>
      </c>
      <c r="G1214" s="30">
        <v>882490</v>
      </c>
      <c r="H1214" s="30">
        <v>890658</v>
      </c>
      <c r="I1214" s="30">
        <v>899686</v>
      </c>
      <c r="J1214" s="30">
        <v>906197</v>
      </c>
      <c r="K1214" s="30">
        <v>908501</v>
      </c>
      <c r="L1214" s="30">
        <v>909705</v>
      </c>
      <c r="M1214" s="30">
        <v>909619</v>
      </c>
      <c r="N1214" s="30">
        <v>909327</v>
      </c>
      <c r="O1214" s="24" t="str">
        <f t="shared" si="37"/>
        <v>Prince George's County, Maryland</v>
      </c>
    </row>
    <row r="1215" spans="1:15" x14ac:dyDescent="0.25">
      <c r="A1215" s="35" t="s">
        <v>1691</v>
      </c>
      <c r="B1215" s="28" t="str">
        <f t="shared" si="36"/>
        <v>Queen Anne's</v>
      </c>
      <c r="C1215" s="30">
        <v>47798</v>
      </c>
      <c r="D1215" s="30">
        <v>47785</v>
      </c>
      <c r="E1215" s="30">
        <v>47806</v>
      </c>
      <c r="F1215" s="30">
        <v>48262</v>
      </c>
      <c r="G1215" s="30">
        <v>48497</v>
      </c>
      <c r="H1215" s="30">
        <v>48517</v>
      </c>
      <c r="I1215" s="30">
        <v>48782</v>
      </c>
      <c r="J1215" s="30">
        <v>48984</v>
      </c>
      <c r="K1215" s="30">
        <v>49063</v>
      </c>
      <c r="L1215" s="30">
        <v>49586</v>
      </c>
      <c r="M1215" s="30">
        <v>50148</v>
      </c>
      <c r="N1215" s="30">
        <v>50381</v>
      </c>
      <c r="O1215" s="24" t="str">
        <f t="shared" si="37"/>
        <v>Queen Anne's County, Maryland</v>
      </c>
    </row>
    <row r="1216" spans="1:15" x14ac:dyDescent="0.25">
      <c r="A1216" s="35" t="s">
        <v>1692</v>
      </c>
      <c r="B1216" s="28" t="str">
        <f t="shared" si="36"/>
        <v>St Mary's</v>
      </c>
      <c r="C1216" s="30">
        <v>105151</v>
      </c>
      <c r="D1216" s="30">
        <v>105144</v>
      </c>
      <c r="E1216" s="30">
        <v>105761</v>
      </c>
      <c r="F1216" s="30">
        <v>107566</v>
      </c>
      <c r="G1216" s="30">
        <v>108800</v>
      </c>
      <c r="H1216" s="30">
        <v>109224</v>
      </c>
      <c r="I1216" s="30">
        <v>109913</v>
      </c>
      <c r="J1216" s="30">
        <v>110985</v>
      </c>
      <c r="K1216" s="30">
        <v>111750</v>
      </c>
      <c r="L1216" s="30">
        <v>112487</v>
      </c>
      <c r="M1216" s="30">
        <v>112720</v>
      </c>
      <c r="N1216" s="30">
        <v>113510</v>
      </c>
      <c r="O1216" s="24" t="str">
        <f t="shared" si="37"/>
        <v>St Mary's County, Maryland</v>
      </c>
    </row>
    <row r="1217" spans="1:15" x14ac:dyDescent="0.25">
      <c r="A1217" s="35" t="s">
        <v>1693</v>
      </c>
      <c r="B1217" s="28" t="str">
        <f t="shared" si="36"/>
        <v>Somerset</v>
      </c>
      <c r="C1217" s="30">
        <v>26470</v>
      </c>
      <c r="D1217" s="30">
        <v>26470</v>
      </c>
      <c r="E1217" s="30">
        <v>26464</v>
      </c>
      <c r="F1217" s="30">
        <v>26261</v>
      </c>
      <c r="G1217" s="30">
        <v>26039</v>
      </c>
      <c r="H1217" s="30">
        <v>25959</v>
      </c>
      <c r="I1217" s="30">
        <v>25571</v>
      </c>
      <c r="J1217" s="30">
        <v>25687</v>
      </c>
      <c r="K1217" s="30">
        <v>25839</v>
      </c>
      <c r="L1217" s="30">
        <v>25896</v>
      </c>
      <c r="M1217" s="30">
        <v>25606</v>
      </c>
      <c r="N1217" s="30">
        <v>25616</v>
      </c>
      <c r="O1217" s="24" t="str">
        <f t="shared" si="37"/>
        <v>Somerset County, Maryland</v>
      </c>
    </row>
    <row r="1218" spans="1:15" x14ac:dyDescent="0.25">
      <c r="A1218" s="35" t="s">
        <v>1694</v>
      </c>
      <c r="B1218" s="28" t="str">
        <f t="shared" si="36"/>
        <v>Talbot</v>
      </c>
      <c r="C1218" s="30">
        <v>37782</v>
      </c>
      <c r="D1218" s="30">
        <v>37781</v>
      </c>
      <c r="E1218" s="30">
        <v>37879</v>
      </c>
      <c r="F1218" s="30">
        <v>37947</v>
      </c>
      <c r="G1218" s="30">
        <v>37986</v>
      </c>
      <c r="H1218" s="30">
        <v>37896</v>
      </c>
      <c r="I1218" s="30">
        <v>37517</v>
      </c>
      <c r="J1218" s="30">
        <v>37413</v>
      </c>
      <c r="K1218" s="30">
        <v>37135</v>
      </c>
      <c r="L1218" s="30">
        <v>37033</v>
      </c>
      <c r="M1218" s="30">
        <v>37074</v>
      </c>
      <c r="N1218" s="30">
        <v>37181</v>
      </c>
      <c r="O1218" s="24" t="str">
        <f t="shared" si="37"/>
        <v>Talbot County, Maryland</v>
      </c>
    </row>
    <row r="1219" spans="1:15" x14ac:dyDescent="0.25">
      <c r="A1219" s="35" t="s">
        <v>1695</v>
      </c>
      <c r="B1219" s="28" t="str">
        <f t="shared" si="36"/>
        <v>Washington</v>
      </c>
      <c r="C1219" s="30">
        <v>147430</v>
      </c>
      <c r="D1219" s="30">
        <v>147417</v>
      </c>
      <c r="E1219" s="30">
        <v>147721</v>
      </c>
      <c r="F1219" s="30">
        <v>148776</v>
      </c>
      <c r="G1219" s="30">
        <v>149037</v>
      </c>
      <c r="H1219" s="30">
        <v>148986</v>
      </c>
      <c r="I1219" s="30">
        <v>149048</v>
      </c>
      <c r="J1219" s="30">
        <v>149068</v>
      </c>
      <c r="K1219" s="30">
        <v>149602</v>
      </c>
      <c r="L1219" s="30">
        <v>150169</v>
      </c>
      <c r="M1219" s="30">
        <v>150656</v>
      </c>
      <c r="N1219" s="30">
        <v>151049</v>
      </c>
      <c r="O1219" s="24" t="str">
        <f t="shared" si="37"/>
        <v>Washington County, Maryland</v>
      </c>
    </row>
    <row r="1220" spans="1:15" x14ac:dyDescent="0.25">
      <c r="A1220" s="35" t="s">
        <v>1696</v>
      </c>
      <c r="B1220" s="28" t="str">
        <f t="shared" si="36"/>
        <v>Wicomico</v>
      </c>
      <c r="C1220" s="30">
        <v>98733</v>
      </c>
      <c r="D1220" s="30">
        <v>98733</v>
      </c>
      <c r="E1220" s="30">
        <v>98972</v>
      </c>
      <c r="F1220" s="30">
        <v>100066</v>
      </c>
      <c r="G1220" s="30">
        <v>100562</v>
      </c>
      <c r="H1220" s="30">
        <v>100850</v>
      </c>
      <c r="I1220" s="30">
        <v>101360</v>
      </c>
      <c r="J1220" s="30">
        <v>101747</v>
      </c>
      <c r="K1220" s="30">
        <v>102041</v>
      </c>
      <c r="L1220" s="30">
        <v>102252</v>
      </c>
      <c r="M1220" s="30">
        <v>103044</v>
      </c>
      <c r="N1220" s="30">
        <v>103609</v>
      </c>
      <c r="O1220" s="24" t="str">
        <f t="shared" si="37"/>
        <v>Wicomico County, Maryland</v>
      </c>
    </row>
    <row r="1221" spans="1:15" x14ac:dyDescent="0.25">
      <c r="A1221" s="35" t="s">
        <v>1697</v>
      </c>
      <c r="B1221" s="28" t="str">
        <f t="shared" si="36"/>
        <v>Worcester</v>
      </c>
      <c r="C1221" s="30">
        <v>51454</v>
      </c>
      <c r="D1221" s="30">
        <v>51448</v>
      </c>
      <c r="E1221" s="30">
        <v>51500</v>
      </c>
      <c r="F1221" s="30">
        <v>51507</v>
      </c>
      <c r="G1221" s="30">
        <v>51581</v>
      </c>
      <c r="H1221" s="30">
        <v>51551</v>
      </c>
      <c r="I1221" s="30">
        <v>51572</v>
      </c>
      <c r="J1221" s="30">
        <v>51456</v>
      </c>
      <c r="K1221" s="30">
        <v>51475</v>
      </c>
      <c r="L1221" s="30">
        <v>51659</v>
      </c>
      <c r="M1221" s="30">
        <v>51960</v>
      </c>
      <c r="N1221" s="30">
        <v>52276</v>
      </c>
      <c r="O1221" s="24" t="str">
        <f t="shared" si="37"/>
        <v>Worcester County, Maryland</v>
      </c>
    </row>
    <row r="1222" spans="1:15" x14ac:dyDescent="0.25">
      <c r="A1222" s="35" t="s">
        <v>1698</v>
      </c>
      <c r="B1222" s="28" t="e">
        <f t="shared" si="36"/>
        <v>#VALUE!</v>
      </c>
      <c r="C1222" s="30">
        <v>620961</v>
      </c>
      <c r="D1222" s="30">
        <v>620770</v>
      </c>
      <c r="E1222" s="30">
        <v>620915</v>
      </c>
      <c r="F1222" s="30">
        <v>620410</v>
      </c>
      <c r="G1222" s="30">
        <v>622895</v>
      </c>
      <c r="H1222" s="30">
        <v>622391</v>
      </c>
      <c r="I1222" s="30">
        <v>623587</v>
      </c>
      <c r="J1222" s="30">
        <v>622522</v>
      </c>
      <c r="K1222" s="30">
        <v>616226</v>
      </c>
      <c r="L1222" s="30">
        <v>610481</v>
      </c>
      <c r="M1222" s="30">
        <v>602443</v>
      </c>
      <c r="N1222" s="30">
        <v>593490</v>
      </c>
      <c r="O1222" s="24" t="str">
        <f t="shared" si="37"/>
        <v>Baltimore city, Maryland</v>
      </c>
    </row>
    <row r="1223" spans="1:15" x14ac:dyDescent="0.25">
      <c r="A1223" s="35" t="s">
        <v>1699</v>
      </c>
      <c r="B1223" s="28" t="str">
        <f t="shared" ref="B1223:B1286" si="38">LEFT(A1223,FIND("County",A1223,1)-2)</f>
        <v>Barnstable</v>
      </c>
      <c r="C1223" s="30">
        <v>215888</v>
      </c>
      <c r="D1223" s="30">
        <v>215880</v>
      </c>
      <c r="E1223" s="30">
        <v>215899</v>
      </c>
      <c r="F1223" s="30">
        <v>215356</v>
      </c>
      <c r="G1223" s="30">
        <v>214788</v>
      </c>
      <c r="H1223" s="30">
        <v>214518</v>
      </c>
      <c r="I1223" s="30">
        <v>214289</v>
      </c>
      <c r="J1223" s="30">
        <v>213877</v>
      </c>
      <c r="K1223" s="30">
        <v>213559</v>
      </c>
      <c r="L1223" s="30">
        <v>213581</v>
      </c>
      <c r="M1223" s="30">
        <v>213471</v>
      </c>
      <c r="N1223" s="30">
        <v>212990</v>
      </c>
      <c r="O1223" s="24" t="str">
        <f t="shared" ref="O1223:O1286" si="39">A1223</f>
        <v>Barnstable County, Massachusetts</v>
      </c>
    </row>
    <row r="1224" spans="1:15" x14ac:dyDescent="0.25">
      <c r="A1224" s="35" t="s">
        <v>1700</v>
      </c>
      <c r="B1224" s="28" t="str">
        <f t="shared" si="38"/>
        <v>Berkshire</v>
      </c>
      <c r="C1224" s="30">
        <v>131219</v>
      </c>
      <c r="D1224" s="30">
        <v>131274</v>
      </c>
      <c r="E1224" s="30">
        <v>131317</v>
      </c>
      <c r="F1224" s="30">
        <v>130547</v>
      </c>
      <c r="G1224" s="30">
        <v>130284</v>
      </c>
      <c r="H1224" s="30">
        <v>129488</v>
      </c>
      <c r="I1224" s="30">
        <v>128856</v>
      </c>
      <c r="J1224" s="30">
        <v>127858</v>
      </c>
      <c r="K1224" s="30">
        <v>127067</v>
      </c>
      <c r="L1224" s="30">
        <v>126353</v>
      </c>
      <c r="M1224" s="30">
        <v>125901</v>
      </c>
      <c r="N1224" s="30">
        <v>124944</v>
      </c>
      <c r="O1224" s="24" t="str">
        <f t="shared" si="39"/>
        <v>Berkshire County, Massachusetts</v>
      </c>
    </row>
    <row r="1225" spans="1:15" x14ac:dyDescent="0.25">
      <c r="A1225" s="35" t="s">
        <v>1701</v>
      </c>
      <c r="B1225" s="28" t="str">
        <f t="shared" si="38"/>
        <v>Bristol</v>
      </c>
      <c r="C1225" s="30">
        <v>548285</v>
      </c>
      <c r="D1225" s="30">
        <v>548242</v>
      </c>
      <c r="E1225" s="30">
        <v>549166</v>
      </c>
      <c r="F1225" s="30">
        <v>549308</v>
      </c>
      <c r="G1225" s="30">
        <v>551120</v>
      </c>
      <c r="H1225" s="30">
        <v>552379</v>
      </c>
      <c r="I1225" s="30">
        <v>555090</v>
      </c>
      <c r="J1225" s="30">
        <v>556863</v>
      </c>
      <c r="K1225" s="30">
        <v>558070</v>
      </c>
      <c r="L1225" s="30">
        <v>560941</v>
      </c>
      <c r="M1225" s="30">
        <v>564092</v>
      </c>
      <c r="N1225" s="30">
        <v>565217</v>
      </c>
      <c r="O1225" s="24" t="str">
        <f t="shared" si="39"/>
        <v>Bristol County, Massachusetts</v>
      </c>
    </row>
    <row r="1226" spans="1:15" x14ac:dyDescent="0.25">
      <c r="A1226" s="35" t="s">
        <v>1702</v>
      </c>
      <c r="B1226" s="28" t="str">
        <f t="shared" si="38"/>
        <v>Dukes</v>
      </c>
      <c r="C1226" s="30">
        <v>16535</v>
      </c>
      <c r="D1226" s="30">
        <v>16535</v>
      </c>
      <c r="E1226" s="30">
        <v>16572</v>
      </c>
      <c r="F1226" s="30">
        <v>16697</v>
      </c>
      <c r="G1226" s="30">
        <v>16829</v>
      </c>
      <c r="H1226" s="30">
        <v>17159</v>
      </c>
      <c r="I1226" s="30">
        <v>17297</v>
      </c>
      <c r="J1226" s="30">
        <v>17274</v>
      </c>
      <c r="K1226" s="30">
        <v>17315</v>
      </c>
      <c r="L1226" s="30">
        <v>17311</v>
      </c>
      <c r="M1226" s="30">
        <v>17329</v>
      </c>
      <c r="N1226" s="30">
        <v>17332</v>
      </c>
      <c r="O1226" s="24" t="str">
        <f t="shared" si="39"/>
        <v>Dukes County, Massachusetts</v>
      </c>
    </row>
    <row r="1227" spans="1:15" x14ac:dyDescent="0.25">
      <c r="A1227" s="35" t="s">
        <v>1703</v>
      </c>
      <c r="B1227" s="28" t="str">
        <f t="shared" si="38"/>
        <v>Essex</v>
      </c>
      <c r="C1227" s="30">
        <v>743159</v>
      </c>
      <c r="D1227" s="30">
        <v>743082</v>
      </c>
      <c r="E1227" s="30">
        <v>745461</v>
      </c>
      <c r="F1227" s="30">
        <v>751507</v>
      </c>
      <c r="G1227" s="30">
        <v>757338</v>
      </c>
      <c r="H1227" s="30">
        <v>764563</v>
      </c>
      <c r="I1227" s="30">
        <v>771653</v>
      </c>
      <c r="J1227" s="30">
        <v>776865</v>
      </c>
      <c r="K1227" s="30">
        <v>779847</v>
      </c>
      <c r="L1227" s="30">
        <v>784453</v>
      </c>
      <c r="M1227" s="30">
        <v>788183</v>
      </c>
      <c r="N1227" s="30">
        <v>789034</v>
      </c>
      <c r="O1227" s="24" t="str">
        <f t="shared" si="39"/>
        <v>Essex County, Massachusetts</v>
      </c>
    </row>
    <row r="1228" spans="1:15" x14ac:dyDescent="0.25">
      <c r="A1228" s="35" t="s">
        <v>1704</v>
      </c>
      <c r="B1228" s="28" t="str">
        <f t="shared" si="38"/>
        <v>Franklin</v>
      </c>
      <c r="C1228" s="30">
        <v>71372</v>
      </c>
      <c r="D1228" s="30">
        <v>71381</v>
      </c>
      <c r="E1228" s="30">
        <v>71369</v>
      </c>
      <c r="F1228" s="30">
        <v>71692</v>
      </c>
      <c r="G1228" s="30">
        <v>71687</v>
      </c>
      <c r="H1228" s="30">
        <v>71361</v>
      </c>
      <c r="I1228" s="30">
        <v>71298</v>
      </c>
      <c r="J1228" s="30">
        <v>70866</v>
      </c>
      <c r="K1228" s="30">
        <v>70622</v>
      </c>
      <c r="L1228" s="30">
        <v>70605</v>
      </c>
      <c r="M1228" s="30">
        <v>70611</v>
      </c>
      <c r="N1228" s="30">
        <v>70180</v>
      </c>
      <c r="O1228" s="24" t="str">
        <f t="shared" si="39"/>
        <v>Franklin County, Massachusetts</v>
      </c>
    </row>
    <row r="1229" spans="1:15" x14ac:dyDescent="0.25">
      <c r="A1229" s="35" t="s">
        <v>1705</v>
      </c>
      <c r="B1229" s="28" t="str">
        <f t="shared" si="38"/>
        <v>Hampden</v>
      </c>
      <c r="C1229" s="30">
        <v>463490</v>
      </c>
      <c r="D1229" s="30">
        <v>463615</v>
      </c>
      <c r="E1229" s="30">
        <v>464237</v>
      </c>
      <c r="F1229" s="30">
        <v>466171</v>
      </c>
      <c r="G1229" s="30">
        <v>466955</v>
      </c>
      <c r="H1229" s="30">
        <v>467747</v>
      </c>
      <c r="I1229" s="30">
        <v>469455</v>
      </c>
      <c r="J1229" s="30">
        <v>469113</v>
      </c>
      <c r="K1229" s="30">
        <v>467778</v>
      </c>
      <c r="L1229" s="30">
        <v>467705</v>
      </c>
      <c r="M1229" s="30">
        <v>468388</v>
      </c>
      <c r="N1229" s="30">
        <v>466372</v>
      </c>
      <c r="O1229" s="24" t="str">
        <f t="shared" si="39"/>
        <v>Hampden County, Massachusetts</v>
      </c>
    </row>
    <row r="1230" spans="1:15" x14ac:dyDescent="0.25">
      <c r="A1230" s="35" t="s">
        <v>1706</v>
      </c>
      <c r="B1230" s="28" t="str">
        <f t="shared" si="38"/>
        <v>Hampshire</v>
      </c>
      <c r="C1230" s="30">
        <v>158080</v>
      </c>
      <c r="D1230" s="30">
        <v>158063</v>
      </c>
      <c r="E1230" s="30">
        <v>159329</v>
      </c>
      <c r="F1230" s="30">
        <v>160154</v>
      </c>
      <c r="G1230" s="30">
        <v>160419</v>
      </c>
      <c r="H1230" s="30">
        <v>160856</v>
      </c>
      <c r="I1230" s="30">
        <v>160918</v>
      </c>
      <c r="J1230" s="30">
        <v>160709</v>
      </c>
      <c r="K1230" s="30">
        <v>161404</v>
      </c>
      <c r="L1230" s="30">
        <v>161077</v>
      </c>
      <c r="M1230" s="30">
        <v>161139</v>
      </c>
      <c r="N1230" s="30">
        <v>160830</v>
      </c>
      <c r="O1230" s="24" t="str">
        <f t="shared" si="39"/>
        <v>Hampshire County, Massachusetts</v>
      </c>
    </row>
    <row r="1231" spans="1:15" x14ac:dyDescent="0.25">
      <c r="A1231" s="35" t="s">
        <v>1707</v>
      </c>
      <c r="B1231" s="28" t="str">
        <f t="shared" si="38"/>
        <v>Middlesex</v>
      </c>
      <c r="C1231" s="30">
        <v>1503085</v>
      </c>
      <c r="D1231" s="30">
        <v>1503133</v>
      </c>
      <c r="E1231" s="30">
        <v>1507681</v>
      </c>
      <c r="F1231" s="30">
        <v>1524848</v>
      </c>
      <c r="G1231" s="30">
        <v>1542867</v>
      </c>
      <c r="H1231" s="30">
        <v>1560204</v>
      </c>
      <c r="I1231" s="30">
        <v>1574993</v>
      </c>
      <c r="J1231" s="30">
        <v>1585432</v>
      </c>
      <c r="K1231" s="30">
        <v>1594664</v>
      </c>
      <c r="L1231" s="30">
        <v>1603943</v>
      </c>
      <c r="M1231" s="30">
        <v>1608470</v>
      </c>
      <c r="N1231" s="30">
        <v>1611699</v>
      </c>
      <c r="O1231" s="24" t="str">
        <f t="shared" si="39"/>
        <v>Middlesex County, Massachusetts</v>
      </c>
    </row>
    <row r="1232" spans="1:15" x14ac:dyDescent="0.25">
      <c r="A1232" s="35" t="s">
        <v>1708</v>
      </c>
      <c r="B1232" s="28" t="str">
        <f t="shared" si="38"/>
        <v>Nantucket</v>
      </c>
      <c r="C1232" s="30">
        <v>10172</v>
      </c>
      <c r="D1232" s="30">
        <v>10172</v>
      </c>
      <c r="E1232" s="30">
        <v>10168</v>
      </c>
      <c r="F1232" s="30">
        <v>10133</v>
      </c>
      <c r="G1232" s="30">
        <v>10313</v>
      </c>
      <c r="H1232" s="30">
        <v>10569</v>
      </c>
      <c r="I1232" s="30">
        <v>10839</v>
      </c>
      <c r="J1232" s="30">
        <v>10940</v>
      </c>
      <c r="K1232" s="30">
        <v>11100</v>
      </c>
      <c r="L1232" s="30">
        <v>11205</v>
      </c>
      <c r="M1232" s="30">
        <v>11198</v>
      </c>
      <c r="N1232" s="30">
        <v>11399</v>
      </c>
      <c r="O1232" s="24" t="str">
        <f t="shared" si="39"/>
        <v>Nantucket County, Massachusetts</v>
      </c>
    </row>
    <row r="1233" spans="1:15" x14ac:dyDescent="0.25">
      <c r="A1233" s="35" t="s">
        <v>1709</v>
      </c>
      <c r="B1233" s="28" t="str">
        <f t="shared" si="38"/>
        <v>Norfolk</v>
      </c>
      <c r="C1233" s="30">
        <v>670850</v>
      </c>
      <c r="D1233" s="30">
        <v>670910</v>
      </c>
      <c r="E1233" s="30">
        <v>673019</v>
      </c>
      <c r="F1233" s="30">
        <v>677782</v>
      </c>
      <c r="G1233" s="30">
        <v>682865</v>
      </c>
      <c r="H1233" s="30">
        <v>688345</v>
      </c>
      <c r="I1233" s="30">
        <v>692239</v>
      </c>
      <c r="J1233" s="30">
        <v>694502</v>
      </c>
      <c r="K1233" s="30">
        <v>697079</v>
      </c>
      <c r="L1233" s="30">
        <v>700599</v>
      </c>
      <c r="M1233" s="30">
        <v>703230</v>
      </c>
      <c r="N1233" s="30">
        <v>706775</v>
      </c>
      <c r="O1233" s="24" t="str">
        <f t="shared" si="39"/>
        <v>Norfolk County, Massachusetts</v>
      </c>
    </row>
    <row r="1234" spans="1:15" x14ac:dyDescent="0.25">
      <c r="A1234" s="35" t="s">
        <v>1710</v>
      </c>
      <c r="B1234" s="28" t="str">
        <f t="shared" si="38"/>
        <v>Plymouth</v>
      </c>
      <c r="C1234" s="30">
        <v>494919</v>
      </c>
      <c r="D1234" s="30">
        <v>494932</v>
      </c>
      <c r="E1234" s="30">
        <v>495926</v>
      </c>
      <c r="F1234" s="30">
        <v>498184</v>
      </c>
      <c r="G1234" s="30">
        <v>499495</v>
      </c>
      <c r="H1234" s="30">
        <v>502792</v>
      </c>
      <c r="I1234" s="30">
        <v>506513</v>
      </c>
      <c r="J1234" s="30">
        <v>509221</v>
      </c>
      <c r="K1234" s="30">
        <v>512207</v>
      </c>
      <c r="L1234" s="30">
        <v>515461</v>
      </c>
      <c r="M1234" s="30">
        <v>518422</v>
      </c>
      <c r="N1234" s="30">
        <v>521202</v>
      </c>
      <c r="O1234" s="24" t="str">
        <f t="shared" si="39"/>
        <v>Plymouth County, Massachusetts</v>
      </c>
    </row>
    <row r="1235" spans="1:15" x14ac:dyDescent="0.25">
      <c r="A1235" s="35" t="s">
        <v>1711</v>
      </c>
      <c r="B1235" s="28" t="str">
        <f t="shared" si="38"/>
        <v>Suffolk</v>
      </c>
      <c r="C1235" s="30">
        <v>722023</v>
      </c>
      <c r="D1235" s="30">
        <v>722183</v>
      </c>
      <c r="E1235" s="30">
        <v>725772</v>
      </c>
      <c r="F1235" s="30">
        <v>737141</v>
      </c>
      <c r="G1235" s="30">
        <v>751103</v>
      </c>
      <c r="H1235" s="30">
        <v>762488</v>
      </c>
      <c r="I1235" s="30">
        <v>773630</v>
      </c>
      <c r="J1235" s="30">
        <v>782591</v>
      </c>
      <c r="K1235" s="30">
        <v>792576</v>
      </c>
      <c r="L1235" s="30">
        <v>800806</v>
      </c>
      <c r="M1235" s="30">
        <v>803147</v>
      </c>
      <c r="N1235" s="30">
        <v>803907</v>
      </c>
      <c r="O1235" s="24" t="str">
        <f t="shared" si="39"/>
        <v>Suffolk County, Massachusetts</v>
      </c>
    </row>
    <row r="1236" spans="1:15" x14ac:dyDescent="0.25">
      <c r="A1236" s="35" t="s">
        <v>1712</v>
      </c>
      <c r="B1236" s="28" t="str">
        <f t="shared" si="38"/>
        <v>Worcester</v>
      </c>
      <c r="C1236" s="30">
        <v>798552</v>
      </c>
      <c r="D1236" s="30">
        <v>798383</v>
      </c>
      <c r="E1236" s="30">
        <v>800391</v>
      </c>
      <c r="F1236" s="30">
        <v>804063</v>
      </c>
      <c r="G1236" s="30">
        <v>806942</v>
      </c>
      <c r="H1236" s="30">
        <v>810846</v>
      </c>
      <c r="I1236" s="30">
        <v>815526</v>
      </c>
      <c r="J1236" s="30">
        <v>818117</v>
      </c>
      <c r="K1236" s="30">
        <v>820320</v>
      </c>
      <c r="L1236" s="30">
        <v>825749</v>
      </c>
      <c r="M1236" s="30">
        <v>829054</v>
      </c>
      <c r="N1236" s="30">
        <v>830622</v>
      </c>
      <c r="O1236" s="24" t="str">
        <f t="shared" si="39"/>
        <v>Worcester County, Massachusetts</v>
      </c>
    </row>
    <row r="1237" spans="1:15" x14ac:dyDescent="0.25">
      <c r="A1237" s="35" t="s">
        <v>1713</v>
      </c>
      <c r="B1237" s="28" t="str">
        <f t="shared" si="38"/>
        <v>Alcona</v>
      </c>
      <c r="C1237" s="30">
        <v>10942</v>
      </c>
      <c r="D1237" s="30">
        <v>10943</v>
      </c>
      <c r="E1237" s="30">
        <v>10879</v>
      </c>
      <c r="F1237" s="30">
        <v>10743</v>
      </c>
      <c r="G1237" s="30">
        <v>10573</v>
      </c>
      <c r="H1237" s="30">
        <v>10554</v>
      </c>
      <c r="I1237" s="30">
        <v>10450</v>
      </c>
      <c r="J1237" s="30">
        <v>10330</v>
      </c>
      <c r="K1237" s="30">
        <v>10360</v>
      </c>
      <c r="L1237" s="30">
        <v>10309</v>
      </c>
      <c r="M1237" s="30">
        <v>10360</v>
      </c>
      <c r="N1237" s="30">
        <v>10405</v>
      </c>
      <c r="O1237" s="24" t="str">
        <f t="shared" si="39"/>
        <v>Alcona County, Michigan</v>
      </c>
    </row>
    <row r="1238" spans="1:15" x14ac:dyDescent="0.25">
      <c r="A1238" s="35" t="s">
        <v>1714</v>
      </c>
      <c r="B1238" s="28" t="str">
        <f t="shared" si="38"/>
        <v>Alger</v>
      </c>
      <c r="C1238" s="30">
        <v>9601</v>
      </c>
      <c r="D1238" s="30">
        <v>9601</v>
      </c>
      <c r="E1238" s="30">
        <v>9580</v>
      </c>
      <c r="F1238" s="30">
        <v>9516</v>
      </c>
      <c r="G1238" s="30">
        <v>9451</v>
      </c>
      <c r="H1238" s="30">
        <v>9438</v>
      </c>
      <c r="I1238" s="30">
        <v>9362</v>
      </c>
      <c r="J1238" s="30">
        <v>9255</v>
      </c>
      <c r="K1238" s="30">
        <v>9129</v>
      </c>
      <c r="L1238" s="30">
        <v>9144</v>
      </c>
      <c r="M1238" s="30">
        <v>9118</v>
      </c>
      <c r="N1238" s="30">
        <v>9108</v>
      </c>
      <c r="O1238" s="24" t="str">
        <f t="shared" si="39"/>
        <v>Alger County, Michigan</v>
      </c>
    </row>
    <row r="1239" spans="1:15" x14ac:dyDescent="0.25">
      <c r="A1239" s="35" t="s">
        <v>1715</v>
      </c>
      <c r="B1239" s="28" t="str">
        <f t="shared" si="38"/>
        <v>Allegan</v>
      </c>
      <c r="C1239" s="30">
        <v>111408</v>
      </c>
      <c r="D1239" s="30">
        <v>111400</v>
      </c>
      <c r="E1239" s="30">
        <v>111523</v>
      </c>
      <c r="F1239" s="30">
        <v>111163</v>
      </c>
      <c r="G1239" s="30">
        <v>111499</v>
      </c>
      <c r="H1239" s="30">
        <v>112009</v>
      </c>
      <c r="I1239" s="30">
        <v>113349</v>
      </c>
      <c r="J1239" s="30">
        <v>114112</v>
      </c>
      <c r="K1239" s="30">
        <v>114979</v>
      </c>
      <c r="L1239" s="30">
        <v>116368</v>
      </c>
      <c r="M1239" s="30">
        <v>117173</v>
      </c>
      <c r="N1239" s="30">
        <v>118081</v>
      </c>
      <c r="O1239" s="24" t="str">
        <f t="shared" si="39"/>
        <v>Allegan County, Michigan</v>
      </c>
    </row>
    <row r="1240" spans="1:15" x14ac:dyDescent="0.25">
      <c r="A1240" s="35" t="s">
        <v>1716</v>
      </c>
      <c r="B1240" s="28" t="str">
        <f t="shared" si="38"/>
        <v>Alpena</v>
      </c>
      <c r="C1240" s="30">
        <v>29598</v>
      </c>
      <c r="D1240" s="30">
        <v>29594</v>
      </c>
      <c r="E1240" s="30">
        <v>29510</v>
      </c>
      <c r="F1240" s="30">
        <v>29340</v>
      </c>
      <c r="G1240" s="30">
        <v>29166</v>
      </c>
      <c r="H1240" s="30">
        <v>28957</v>
      </c>
      <c r="I1240" s="30">
        <v>28882</v>
      </c>
      <c r="J1240" s="30">
        <v>28722</v>
      </c>
      <c r="K1240" s="30">
        <v>28663</v>
      </c>
      <c r="L1240" s="30">
        <v>28428</v>
      </c>
      <c r="M1240" s="30">
        <v>28384</v>
      </c>
      <c r="N1240" s="30">
        <v>28405</v>
      </c>
      <c r="O1240" s="24" t="str">
        <f t="shared" si="39"/>
        <v>Alpena County, Michigan</v>
      </c>
    </row>
    <row r="1241" spans="1:15" x14ac:dyDescent="0.25">
      <c r="A1241" s="35" t="s">
        <v>1717</v>
      </c>
      <c r="B1241" s="28" t="str">
        <f t="shared" si="38"/>
        <v>Antrim</v>
      </c>
      <c r="C1241" s="30">
        <v>23580</v>
      </c>
      <c r="D1241" s="30">
        <v>23574</v>
      </c>
      <c r="E1241" s="30">
        <v>23491</v>
      </c>
      <c r="F1241" s="30">
        <v>23320</v>
      </c>
      <c r="G1241" s="30">
        <v>23245</v>
      </c>
      <c r="H1241" s="30">
        <v>23123</v>
      </c>
      <c r="I1241" s="30">
        <v>23147</v>
      </c>
      <c r="J1241" s="30">
        <v>23035</v>
      </c>
      <c r="K1241" s="30">
        <v>23079</v>
      </c>
      <c r="L1241" s="30">
        <v>23270</v>
      </c>
      <c r="M1241" s="30">
        <v>23323</v>
      </c>
      <c r="N1241" s="30">
        <v>23324</v>
      </c>
      <c r="O1241" s="24" t="str">
        <f t="shared" si="39"/>
        <v>Antrim County, Michigan</v>
      </c>
    </row>
    <row r="1242" spans="1:15" x14ac:dyDescent="0.25">
      <c r="A1242" s="35" t="s">
        <v>1718</v>
      </c>
      <c r="B1242" s="28" t="str">
        <f t="shared" si="38"/>
        <v>Arenac</v>
      </c>
      <c r="C1242" s="30">
        <v>15899</v>
      </c>
      <c r="D1242" s="30">
        <v>15903</v>
      </c>
      <c r="E1242" s="30">
        <v>15852</v>
      </c>
      <c r="F1242" s="30">
        <v>15634</v>
      </c>
      <c r="G1242" s="30">
        <v>15502</v>
      </c>
      <c r="H1242" s="30">
        <v>15413</v>
      </c>
      <c r="I1242" s="30">
        <v>15319</v>
      </c>
      <c r="J1242" s="30">
        <v>15307</v>
      </c>
      <c r="K1242" s="30">
        <v>15138</v>
      </c>
      <c r="L1242" s="30">
        <v>15014</v>
      </c>
      <c r="M1242" s="30">
        <v>15008</v>
      </c>
      <c r="N1242" s="30">
        <v>14883</v>
      </c>
      <c r="O1242" s="24" t="str">
        <f t="shared" si="39"/>
        <v>Arenac County, Michigan</v>
      </c>
    </row>
    <row r="1243" spans="1:15" x14ac:dyDescent="0.25">
      <c r="A1243" s="35" t="s">
        <v>1719</v>
      </c>
      <c r="B1243" s="28" t="str">
        <f t="shared" si="38"/>
        <v>Baraga</v>
      </c>
      <c r="C1243" s="30">
        <v>8860</v>
      </c>
      <c r="D1243" s="30">
        <v>8866</v>
      </c>
      <c r="E1243" s="30">
        <v>8861</v>
      </c>
      <c r="F1243" s="30">
        <v>8836</v>
      </c>
      <c r="G1243" s="30">
        <v>8726</v>
      </c>
      <c r="H1243" s="30">
        <v>8718</v>
      </c>
      <c r="I1243" s="30">
        <v>8650</v>
      </c>
      <c r="J1243" s="30">
        <v>8585</v>
      </c>
      <c r="K1243" s="30">
        <v>8546</v>
      </c>
      <c r="L1243" s="30">
        <v>8441</v>
      </c>
      <c r="M1243" s="30">
        <v>8324</v>
      </c>
      <c r="N1243" s="30">
        <v>8209</v>
      </c>
      <c r="O1243" s="24" t="str">
        <f t="shared" si="39"/>
        <v>Baraga County, Michigan</v>
      </c>
    </row>
    <row r="1244" spans="1:15" x14ac:dyDescent="0.25">
      <c r="A1244" s="35" t="s">
        <v>1720</v>
      </c>
      <c r="B1244" s="28" t="str">
        <f t="shared" si="38"/>
        <v>Barry</v>
      </c>
      <c r="C1244" s="30">
        <v>59173</v>
      </c>
      <c r="D1244" s="30">
        <v>59177</v>
      </c>
      <c r="E1244" s="30">
        <v>59095</v>
      </c>
      <c r="F1244" s="30">
        <v>58923</v>
      </c>
      <c r="G1244" s="30">
        <v>59023</v>
      </c>
      <c r="H1244" s="30">
        <v>59090</v>
      </c>
      <c r="I1244" s="30">
        <v>59295</v>
      </c>
      <c r="J1244" s="30">
        <v>59426</v>
      </c>
      <c r="K1244" s="30">
        <v>59810</v>
      </c>
      <c r="L1244" s="30">
        <v>60682</v>
      </c>
      <c r="M1244" s="30">
        <v>61231</v>
      </c>
      <c r="N1244" s="30">
        <v>61550</v>
      </c>
      <c r="O1244" s="24" t="str">
        <f t="shared" si="39"/>
        <v>Barry County, Michigan</v>
      </c>
    </row>
    <row r="1245" spans="1:15" x14ac:dyDescent="0.25">
      <c r="A1245" s="35" t="s">
        <v>1721</v>
      </c>
      <c r="B1245" s="28" t="str">
        <f t="shared" si="38"/>
        <v>Bay</v>
      </c>
      <c r="C1245" s="30">
        <v>107771</v>
      </c>
      <c r="D1245" s="30">
        <v>107773</v>
      </c>
      <c r="E1245" s="30">
        <v>107679</v>
      </c>
      <c r="F1245" s="30">
        <v>107417</v>
      </c>
      <c r="G1245" s="30">
        <v>106967</v>
      </c>
      <c r="H1245" s="30">
        <v>106794</v>
      </c>
      <c r="I1245" s="30">
        <v>106046</v>
      </c>
      <c r="J1245" s="30">
        <v>105237</v>
      </c>
      <c r="K1245" s="30">
        <v>104411</v>
      </c>
      <c r="L1245" s="30">
        <v>104045</v>
      </c>
      <c r="M1245" s="30">
        <v>103702</v>
      </c>
      <c r="N1245" s="30">
        <v>103126</v>
      </c>
      <c r="O1245" s="24" t="str">
        <f t="shared" si="39"/>
        <v>Bay County, Michigan</v>
      </c>
    </row>
    <row r="1246" spans="1:15" x14ac:dyDescent="0.25">
      <c r="A1246" s="35" t="s">
        <v>1722</v>
      </c>
      <c r="B1246" s="28" t="str">
        <f t="shared" si="38"/>
        <v>Benzie</v>
      </c>
      <c r="C1246" s="30">
        <v>17525</v>
      </c>
      <c r="D1246" s="30">
        <v>17526</v>
      </c>
      <c r="E1246" s="30">
        <v>17505</v>
      </c>
      <c r="F1246" s="30">
        <v>17389</v>
      </c>
      <c r="G1246" s="30">
        <v>17328</v>
      </c>
      <c r="H1246" s="30">
        <v>17348</v>
      </c>
      <c r="I1246" s="30">
        <v>17473</v>
      </c>
      <c r="J1246" s="30">
        <v>17390</v>
      </c>
      <c r="K1246" s="30">
        <v>17534</v>
      </c>
      <c r="L1246" s="30">
        <v>17624</v>
      </c>
      <c r="M1246" s="30">
        <v>17761</v>
      </c>
      <c r="N1246" s="30">
        <v>17766</v>
      </c>
      <c r="O1246" s="24" t="str">
        <f t="shared" si="39"/>
        <v>Benzie County, Michigan</v>
      </c>
    </row>
    <row r="1247" spans="1:15" x14ac:dyDescent="0.25">
      <c r="A1247" s="35" t="s">
        <v>1723</v>
      </c>
      <c r="B1247" s="28" t="str">
        <f t="shared" si="38"/>
        <v>Berrien</v>
      </c>
      <c r="C1247" s="30">
        <v>156813</v>
      </c>
      <c r="D1247" s="30">
        <v>156808</v>
      </c>
      <c r="E1247" s="30">
        <v>156737</v>
      </c>
      <c r="F1247" s="30">
        <v>156885</v>
      </c>
      <c r="G1247" s="30">
        <v>156621</v>
      </c>
      <c r="H1247" s="30">
        <v>156129</v>
      </c>
      <c r="I1247" s="30">
        <v>155977</v>
      </c>
      <c r="J1247" s="30">
        <v>155022</v>
      </c>
      <c r="K1247" s="30">
        <v>154325</v>
      </c>
      <c r="L1247" s="30">
        <v>154128</v>
      </c>
      <c r="M1247" s="30">
        <v>153790</v>
      </c>
      <c r="N1247" s="30">
        <v>153401</v>
      </c>
      <c r="O1247" s="24" t="str">
        <f t="shared" si="39"/>
        <v>Berrien County, Michigan</v>
      </c>
    </row>
    <row r="1248" spans="1:15" x14ac:dyDescent="0.25">
      <c r="A1248" s="35" t="s">
        <v>1724</v>
      </c>
      <c r="B1248" s="28" t="str">
        <f t="shared" si="38"/>
        <v>Branch</v>
      </c>
      <c r="C1248" s="30">
        <v>45248</v>
      </c>
      <c r="D1248" s="30">
        <v>45242</v>
      </c>
      <c r="E1248" s="30">
        <v>45174</v>
      </c>
      <c r="F1248" s="30">
        <v>43923</v>
      </c>
      <c r="G1248" s="30">
        <v>43792</v>
      </c>
      <c r="H1248" s="30">
        <v>43587</v>
      </c>
      <c r="I1248" s="30">
        <v>43733</v>
      </c>
      <c r="J1248" s="30">
        <v>43639</v>
      </c>
      <c r="K1248" s="30">
        <v>43466</v>
      </c>
      <c r="L1248" s="30">
        <v>43375</v>
      </c>
      <c r="M1248" s="30">
        <v>43566</v>
      </c>
      <c r="N1248" s="30">
        <v>43517</v>
      </c>
      <c r="O1248" s="24" t="str">
        <f t="shared" si="39"/>
        <v>Branch County, Michigan</v>
      </c>
    </row>
    <row r="1249" spans="1:15" x14ac:dyDescent="0.25">
      <c r="A1249" s="35" t="s">
        <v>1725</v>
      </c>
      <c r="B1249" s="28" t="str">
        <f t="shared" si="38"/>
        <v>Calhoun</v>
      </c>
      <c r="C1249" s="30">
        <v>136146</v>
      </c>
      <c r="D1249" s="30">
        <v>136150</v>
      </c>
      <c r="E1249" s="30">
        <v>135951</v>
      </c>
      <c r="F1249" s="30">
        <v>135105</v>
      </c>
      <c r="G1249" s="30">
        <v>134737</v>
      </c>
      <c r="H1249" s="30">
        <v>134751</v>
      </c>
      <c r="I1249" s="30">
        <v>134804</v>
      </c>
      <c r="J1249" s="30">
        <v>134327</v>
      </c>
      <c r="K1249" s="30">
        <v>134344</v>
      </c>
      <c r="L1249" s="30">
        <v>134180</v>
      </c>
      <c r="M1249" s="30">
        <v>134049</v>
      </c>
      <c r="N1249" s="30">
        <v>134159</v>
      </c>
      <c r="O1249" s="24" t="str">
        <f t="shared" si="39"/>
        <v>Calhoun County, Michigan</v>
      </c>
    </row>
    <row r="1250" spans="1:15" x14ac:dyDescent="0.25">
      <c r="A1250" s="35" t="s">
        <v>1726</v>
      </c>
      <c r="B1250" s="28" t="str">
        <f t="shared" si="38"/>
        <v>Cass</v>
      </c>
      <c r="C1250" s="30">
        <v>52293</v>
      </c>
      <c r="D1250" s="30">
        <v>52289</v>
      </c>
      <c r="E1250" s="30">
        <v>52247</v>
      </c>
      <c r="F1250" s="30">
        <v>52204</v>
      </c>
      <c r="G1250" s="30">
        <v>51804</v>
      </c>
      <c r="H1250" s="30">
        <v>51585</v>
      </c>
      <c r="I1250" s="30">
        <v>51562</v>
      </c>
      <c r="J1250" s="30">
        <v>51342</v>
      </c>
      <c r="K1250" s="30">
        <v>51282</v>
      </c>
      <c r="L1250" s="30">
        <v>51481</v>
      </c>
      <c r="M1250" s="30">
        <v>51725</v>
      </c>
      <c r="N1250" s="30">
        <v>51787</v>
      </c>
      <c r="O1250" s="24" t="str">
        <f t="shared" si="39"/>
        <v>Cass County, Michigan</v>
      </c>
    </row>
    <row r="1251" spans="1:15" x14ac:dyDescent="0.25">
      <c r="A1251" s="35" t="s">
        <v>1727</v>
      </c>
      <c r="B1251" s="28" t="str">
        <f t="shared" si="38"/>
        <v>Charlevoix</v>
      </c>
      <c r="C1251" s="30">
        <v>25949</v>
      </c>
      <c r="D1251" s="30">
        <v>25955</v>
      </c>
      <c r="E1251" s="30">
        <v>25935</v>
      </c>
      <c r="F1251" s="30">
        <v>26104</v>
      </c>
      <c r="G1251" s="30">
        <v>26190</v>
      </c>
      <c r="H1251" s="30">
        <v>26252</v>
      </c>
      <c r="I1251" s="30">
        <v>26213</v>
      </c>
      <c r="J1251" s="30">
        <v>26210</v>
      </c>
      <c r="K1251" s="30">
        <v>26190</v>
      </c>
      <c r="L1251" s="30">
        <v>26212</v>
      </c>
      <c r="M1251" s="30">
        <v>26187</v>
      </c>
      <c r="N1251" s="30">
        <v>26143</v>
      </c>
      <c r="O1251" s="24" t="str">
        <f t="shared" si="39"/>
        <v>Charlevoix County, Michigan</v>
      </c>
    </row>
    <row r="1252" spans="1:15" x14ac:dyDescent="0.25">
      <c r="A1252" s="35" t="s">
        <v>1728</v>
      </c>
      <c r="B1252" s="28" t="str">
        <f t="shared" si="38"/>
        <v>Cheboygan</v>
      </c>
      <c r="C1252" s="30">
        <v>26152</v>
      </c>
      <c r="D1252" s="30">
        <v>26145</v>
      </c>
      <c r="E1252" s="30">
        <v>26062</v>
      </c>
      <c r="F1252" s="30">
        <v>25886</v>
      </c>
      <c r="G1252" s="30">
        <v>25743</v>
      </c>
      <c r="H1252" s="30">
        <v>25573</v>
      </c>
      <c r="I1252" s="30">
        <v>25638</v>
      </c>
      <c r="J1252" s="30">
        <v>25399</v>
      </c>
      <c r="K1252" s="30">
        <v>25455</v>
      </c>
      <c r="L1252" s="30">
        <v>25454</v>
      </c>
      <c r="M1252" s="30">
        <v>25504</v>
      </c>
      <c r="N1252" s="30">
        <v>25276</v>
      </c>
      <c r="O1252" s="24" t="str">
        <f t="shared" si="39"/>
        <v>Cheboygan County, Michigan</v>
      </c>
    </row>
    <row r="1253" spans="1:15" x14ac:dyDescent="0.25">
      <c r="A1253" s="35" t="s">
        <v>1729</v>
      </c>
      <c r="B1253" s="28" t="str">
        <f t="shared" si="38"/>
        <v>Chippewa</v>
      </c>
      <c r="C1253" s="30">
        <v>38520</v>
      </c>
      <c r="D1253" s="30">
        <v>38672</v>
      </c>
      <c r="E1253" s="30">
        <v>38616</v>
      </c>
      <c r="F1253" s="30">
        <v>38890</v>
      </c>
      <c r="G1253" s="30">
        <v>38993</v>
      </c>
      <c r="H1253" s="30">
        <v>38569</v>
      </c>
      <c r="I1253" s="30">
        <v>38254</v>
      </c>
      <c r="J1253" s="30">
        <v>37973</v>
      </c>
      <c r="K1253" s="30">
        <v>37683</v>
      </c>
      <c r="L1253" s="30">
        <v>37679</v>
      </c>
      <c r="M1253" s="30">
        <v>37461</v>
      </c>
      <c r="N1253" s="30">
        <v>37349</v>
      </c>
      <c r="O1253" s="24" t="str">
        <f t="shared" si="39"/>
        <v>Chippewa County, Michigan</v>
      </c>
    </row>
    <row r="1254" spans="1:15" x14ac:dyDescent="0.25">
      <c r="A1254" s="35" t="s">
        <v>1730</v>
      </c>
      <c r="B1254" s="28" t="str">
        <f t="shared" si="38"/>
        <v>Clare</v>
      </c>
      <c r="C1254" s="30">
        <v>30926</v>
      </c>
      <c r="D1254" s="30">
        <v>30924</v>
      </c>
      <c r="E1254" s="30">
        <v>31006</v>
      </c>
      <c r="F1254" s="30">
        <v>31001</v>
      </c>
      <c r="G1254" s="30">
        <v>30796</v>
      </c>
      <c r="H1254" s="30">
        <v>30600</v>
      </c>
      <c r="I1254" s="30">
        <v>30730</v>
      </c>
      <c r="J1254" s="30">
        <v>30616</v>
      </c>
      <c r="K1254" s="30">
        <v>30387</v>
      </c>
      <c r="L1254" s="30">
        <v>30565</v>
      </c>
      <c r="M1254" s="30">
        <v>30735</v>
      </c>
      <c r="N1254" s="30">
        <v>30950</v>
      </c>
      <c r="O1254" s="24" t="str">
        <f t="shared" si="39"/>
        <v>Clare County, Michigan</v>
      </c>
    </row>
    <row r="1255" spans="1:15" x14ac:dyDescent="0.25">
      <c r="A1255" s="35" t="s">
        <v>1731</v>
      </c>
      <c r="B1255" s="28" t="str">
        <f t="shared" si="38"/>
        <v>Clinton</v>
      </c>
      <c r="C1255" s="30">
        <v>75382</v>
      </c>
      <c r="D1255" s="30">
        <v>75364</v>
      </c>
      <c r="E1255" s="30">
        <v>75403</v>
      </c>
      <c r="F1255" s="30">
        <v>75899</v>
      </c>
      <c r="G1255" s="30">
        <v>76166</v>
      </c>
      <c r="H1255" s="30">
        <v>76809</v>
      </c>
      <c r="I1255" s="30">
        <v>76954</v>
      </c>
      <c r="J1255" s="30">
        <v>77009</v>
      </c>
      <c r="K1255" s="30">
        <v>77617</v>
      </c>
      <c r="L1255" s="30">
        <v>78506</v>
      </c>
      <c r="M1255" s="30">
        <v>79219</v>
      </c>
      <c r="N1255" s="30">
        <v>79595</v>
      </c>
      <c r="O1255" s="24" t="str">
        <f t="shared" si="39"/>
        <v>Clinton County, Michigan</v>
      </c>
    </row>
    <row r="1256" spans="1:15" x14ac:dyDescent="0.25">
      <c r="A1256" s="35" t="s">
        <v>1732</v>
      </c>
      <c r="B1256" s="28" t="str">
        <f t="shared" si="38"/>
        <v>Crawford</v>
      </c>
      <c r="C1256" s="30">
        <v>14074</v>
      </c>
      <c r="D1256" s="30">
        <v>14081</v>
      </c>
      <c r="E1256" s="30">
        <v>14055</v>
      </c>
      <c r="F1256" s="30">
        <v>14039</v>
      </c>
      <c r="G1256" s="30">
        <v>13951</v>
      </c>
      <c r="H1256" s="30">
        <v>13877</v>
      </c>
      <c r="I1256" s="30">
        <v>13739</v>
      </c>
      <c r="J1256" s="30">
        <v>13853</v>
      </c>
      <c r="K1256" s="30">
        <v>13768</v>
      </c>
      <c r="L1256" s="30">
        <v>13906</v>
      </c>
      <c r="M1256" s="30">
        <v>13905</v>
      </c>
      <c r="N1256" s="30">
        <v>14029</v>
      </c>
      <c r="O1256" s="24" t="str">
        <f t="shared" si="39"/>
        <v>Crawford County, Michigan</v>
      </c>
    </row>
    <row r="1257" spans="1:15" x14ac:dyDescent="0.25">
      <c r="A1257" s="35" t="s">
        <v>1733</v>
      </c>
      <c r="B1257" s="28" t="str">
        <f t="shared" si="38"/>
        <v>Delta</v>
      </c>
      <c r="C1257" s="30">
        <v>37069</v>
      </c>
      <c r="D1257" s="30">
        <v>37069</v>
      </c>
      <c r="E1257" s="30">
        <v>37047</v>
      </c>
      <c r="F1257" s="30">
        <v>36943</v>
      </c>
      <c r="G1257" s="30">
        <v>36836</v>
      </c>
      <c r="H1257" s="30">
        <v>36799</v>
      </c>
      <c r="I1257" s="30">
        <v>36580</v>
      </c>
      <c r="J1257" s="30">
        <v>36415</v>
      </c>
      <c r="K1257" s="30">
        <v>36196</v>
      </c>
      <c r="L1257" s="30">
        <v>35890</v>
      </c>
      <c r="M1257" s="30">
        <v>35843</v>
      </c>
      <c r="N1257" s="30">
        <v>35784</v>
      </c>
      <c r="O1257" s="24" t="str">
        <f t="shared" si="39"/>
        <v>Delta County, Michigan</v>
      </c>
    </row>
    <row r="1258" spans="1:15" x14ac:dyDescent="0.25">
      <c r="A1258" s="35" t="s">
        <v>1734</v>
      </c>
      <c r="B1258" s="28" t="str">
        <f t="shared" si="38"/>
        <v>Dickinson</v>
      </c>
      <c r="C1258" s="30">
        <v>26168</v>
      </c>
      <c r="D1258" s="30">
        <v>26168</v>
      </c>
      <c r="E1258" s="30">
        <v>26158</v>
      </c>
      <c r="F1258" s="30">
        <v>26068</v>
      </c>
      <c r="G1258" s="30">
        <v>26172</v>
      </c>
      <c r="H1258" s="30">
        <v>26015</v>
      </c>
      <c r="I1258" s="30">
        <v>25898</v>
      </c>
      <c r="J1258" s="30">
        <v>25661</v>
      </c>
      <c r="K1258" s="30">
        <v>25499</v>
      </c>
      <c r="L1258" s="30">
        <v>25424</v>
      </c>
      <c r="M1258" s="30">
        <v>25371</v>
      </c>
      <c r="N1258" s="30">
        <v>25239</v>
      </c>
      <c r="O1258" s="24" t="str">
        <f t="shared" si="39"/>
        <v>Dickinson County, Michigan</v>
      </c>
    </row>
    <row r="1259" spans="1:15" x14ac:dyDescent="0.25">
      <c r="A1259" s="35" t="s">
        <v>1735</v>
      </c>
      <c r="B1259" s="28" t="str">
        <f t="shared" si="38"/>
        <v>Eaton</v>
      </c>
      <c r="C1259" s="30">
        <v>107759</v>
      </c>
      <c r="D1259" s="30">
        <v>107761</v>
      </c>
      <c r="E1259" s="30">
        <v>107746</v>
      </c>
      <c r="F1259" s="30">
        <v>107921</v>
      </c>
      <c r="G1259" s="30">
        <v>107996</v>
      </c>
      <c r="H1259" s="30">
        <v>108264</v>
      </c>
      <c r="I1259" s="30">
        <v>108639</v>
      </c>
      <c r="J1259" s="30">
        <v>108661</v>
      </c>
      <c r="K1259" s="30">
        <v>109183</v>
      </c>
      <c r="L1259" s="30">
        <v>109456</v>
      </c>
      <c r="M1259" s="30">
        <v>109710</v>
      </c>
      <c r="N1259" s="30">
        <v>110268</v>
      </c>
      <c r="O1259" s="24" t="str">
        <f t="shared" si="39"/>
        <v>Eaton County, Michigan</v>
      </c>
    </row>
    <row r="1260" spans="1:15" x14ac:dyDescent="0.25">
      <c r="A1260" s="35" t="s">
        <v>1736</v>
      </c>
      <c r="B1260" s="28" t="str">
        <f t="shared" si="38"/>
        <v>Emmet</v>
      </c>
      <c r="C1260" s="30">
        <v>32694</v>
      </c>
      <c r="D1260" s="30">
        <v>32694</v>
      </c>
      <c r="E1260" s="30">
        <v>32650</v>
      </c>
      <c r="F1260" s="30">
        <v>32743</v>
      </c>
      <c r="G1260" s="30">
        <v>32806</v>
      </c>
      <c r="H1260" s="30">
        <v>32946</v>
      </c>
      <c r="I1260" s="30">
        <v>32973</v>
      </c>
      <c r="J1260" s="30">
        <v>32924</v>
      </c>
      <c r="K1260" s="30">
        <v>32875</v>
      </c>
      <c r="L1260" s="30">
        <v>33081</v>
      </c>
      <c r="M1260" s="30">
        <v>33225</v>
      </c>
      <c r="N1260" s="30">
        <v>33415</v>
      </c>
      <c r="O1260" s="24" t="str">
        <f t="shared" si="39"/>
        <v>Emmet County, Michigan</v>
      </c>
    </row>
    <row r="1261" spans="1:15" x14ac:dyDescent="0.25">
      <c r="A1261" s="35" t="s">
        <v>1737</v>
      </c>
      <c r="B1261" s="28" t="str">
        <f t="shared" si="38"/>
        <v>Genesee</v>
      </c>
      <c r="C1261" s="30">
        <v>425790</v>
      </c>
      <c r="D1261" s="30">
        <v>425787</v>
      </c>
      <c r="E1261" s="30">
        <v>424953</v>
      </c>
      <c r="F1261" s="30">
        <v>422026</v>
      </c>
      <c r="G1261" s="30">
        <v>418193</v>
      </c>
      <c r="H1261" s="30">
        <v>415639</v>
      </c>
      <c r="I1261" s="30">
        <v>412859</v>
      </c>
      <c r="J1261" s="30">
        <v>410461</v>
      </c>
      <c r="K1261" s="30">
        <v>408926</v>
      </c>
      <c r="L1261" s="30">
        <v>407488</v>
      </c>
      <c r="M1261" s="30">
        <v>406688</v>
      </c>
      <c r="N1261" s="30">
        <v>405813</v>
      </c>
      <c r="O1261" s="24" t="str">
        <f t="shared" si="39"/>
        <v>Genesee County, Michigan</v>
      </c>
    </row>
    <row r="1262" spans="1:15" x14ac:dyDescent="0.25">
      <c r="A1262" s="35" t="s">
        <v>1738</v>
      </c>
      <c r="B1262" s="28" t="str">
        <f t="shared" si="38"/>
        <v>Gladwin</v>
      </c>
      <c r="C1262" s="30">
        <v>25692</v>
      </c>
      <c r="D1262" s="30">
        <v>25698</v>
      </c>
      <c r="E1262" s="30">
        <v>25735</v>
      </c>
      <c r="F1262" s="30">
        <v>25876</v>
      </c>
      <c r="G1262" s="30">
        <v>25546</v>
      </c>
      <c r="H1262" s="30">
        <v>25565</v>
      </c>
      <c r="I1262" s="30">
        <v>25501</v>
      </c>
      <c r="J1262" s="30">
        <v>25227</v>
      </c>
      <c r="K1262" s="30">
        <v>25154</v>
      </c>
      <c r="L1262" s="30">
        <v>25241</v>
      </c>
      <c r="M1262" s="30">
        <v>25326</v>
      </c>
      <c r="N1262" s="30">
        <v>25449</v>
      </c>
      <c r="O1262" s="24" t="str">
        <f t="shared" si="39"/>
        <v>Gladwin County, Michigan</v>
      </c>
    </row>
    <row r="1263" spans="1:15" x14ac:dyDescent="0.25">
      <c r="A1263" s="35" t="s">
        <v>1739</v>
      </c>
      <c r="B1263" s="28" t="str">
        <f t="shared" si="38"/>
        <v>Gogebic</v>
      </c>
      <c r="C1263" s="30">
        <v>16427</v>
      </c>
      <c r="D1263" s="30">
        <v>16424</v>
      </c>
      <c r="E1263" s="30">
        <v>16396</v>
      </c>
      <c r="F1263" s="30">
        <v>16114</v>
      </c>
      <c r="G1263" s="30">
        <v>16041</v>
      </c>
      <c r="H1263" s="30">
        <v>15908</v>
      </c>
      <c r="I1263" s="30">
        <v>15757</v>
      </c>
      <c r="J1263" s="30">
        <v>15536</v>
      </c>
      <c r="K1263" s="30">
        <v>15340</v>
      </c>
      <c r="L1263" s="30">
        <v>15340</v>
      </c>
      <c r="M1263" s="30">
        <v>15116</v>
      </c>
      <c r="N1263" s="30">
        <v>13975</v>
      </c>
      <c r="O1263" s="24" t="str">
        <f t="shared" si="39"/>
        <v>Gogebic County, Michigan</v>
      </c>
    </row>
    <row r="1264" spans="1:15" x14ac:dyDescent="0.25">
      <c r="A1264" s="35" t="s">
        <v>1740</v>
      </c>
      <c r="B1264" s="28" t="str">
        <f t="shared" si="38"/>
        <v>Grand Traverse</v>
      </c>
      <c r="C1264" s="30">
        <v>86986</v>
      </c>
      <c r="D1264" s="30">
        <v>86983</v>
      </c>
      <c r="E1264" s="30">
        <v>86971</v>
      </c>
      <c r="F1264" s="30">
        <v>88341</v>
      </c>
      <c r="G1264" s="30">
        <v>89203</v>
      </c>
      <c r="H1264" s="30">
        <v>90099</v>
      </c>
      <c r="I1264" s="30">
        <v>90849</v>
      </c>
      <c r="J1264" s="30">
        <v>91541</v>
      </c>
      <c r="K1264" s="30">
        <v>91957</v>
      </c>
      <c r="L1264" s="30">
        <v>91791</v>
      </c>
      <c r="M1264" s="30">
        <v>92530</v>
      </c>
      <c r="N1264" s="30">
        <v>93088</v>
      </c>
      <c r="O1264" s="24" t="str">
        <f t="shared" si="39"/>
        <v>Grand Traverse County, Michigan</v>
      </c>
    </row>
    <row r="1265" spans="1:15" x14ac:dyDescent="0.25">
      <c r="A1265" s="35" t="s">
        <v>1741</v>
      </c>
      <c r="B1265" s="28" t="str">
        <f t="shared" si="38"/>
        <v>Gratiot</v>
      </c>
      <c r="C1265" s="30">
        <v>42476</v>
      </c>
      <c r="D1265" s="30">
        <v>42478</v>
      </c>
      <c r="E1265" s="30">
        <v>42432</v>
      </c>
      <c r="F1265" s="30">
        <v>42119</v>
      </c>
      <c r="G1265" s="30">
        <v>41973</v>
      </c>
      <c r="H1265" s="30">
        <v>41931</v>
      </c>
      <c r="I1265" s="30">
        <v>41467</v>
      </c>
      <c r="J1265" s="30">
        <v>41331</v>
      </c>
      <c r="K1265" s="30">
        <v>40955</v>
      </c>
      <c r="L1265" s="30">
        <v>40979</v>
      </c>
      <c r="M1265" s="30">
        <v>40602</v>
      </c>
      <c r="N1265" s="30">
        <v>40711</v>
      </c>
      <c r="O1265" s="24" t="str">
        <f t="shared" si="39"/>
        <v>Gratiot County, Michigan</v>
      </c>
    </row>
    <row r="1266" spans="1:15" x14ac:dyDescent="0.25">
      <c r="A1266" s="35" t="s">
        <v>1742</v>
      </c>
      <c r="B1266" s="28" t="str">
        <f t="shared" si="38"/>
        <v>Hillsdale</v>
      </c>
      <c r="C1266" s="30">
        <v>46688</v>
      </c>
      <c r="D1266" s="30">
        <v>46691</v>
      </c>
      <c r="E1266" s="30">
        <v>46648</v>
      </c>
      <c r="F1266" s="30">
        <v>46599</v>
      </c>
      <c r="G1266" s="30">
        <v>46267</v>
      </c>
      <c r="H1266" s="30">
        <v>46131</v>
      </c>
      <c r="I1266" s="30">
        <v>45930</v>
      </c>
      <c r="J1266" s="30">
        <v>45883</v>
      </c>
      <c r="K1266" s="30">
        <v>45773</v>
      </c>
      <c r="L1266" s="30">
        <v>45820</v>
      </c>
      <c r="M1266" s="30">
        <v>45702</v>
      </c>
      <c r="N1266" s="30">
        <v>45605</v>
      </c>
      <c r="O1266" s="24" t="str">
        <f t="shared" si="39"/>
        <v>Hillsdale County, Michigan</v>
      </c>
    </row>
    <row r="1267" spans="1:15" x14ac:dyDescent="0.25">
      <c r="A1267" s="35" t="s">
        <v>1743</v>
      </c>
      <c r="B1267" s="28" t="str">
        <f t="shared" si="38"/>
        <v>Houghton</v>
      </c>
      <c r="C1267" s="30">
        <v>36628</v>
      </c>
      <c r="D1267" s="30">
        <v>36625</v>
      </c>
      <c r="E1267" s="30">
        <v>36730</v>
      </c>
      <c r="F1267" s="30">
        <v>36780</v>
      </c>
      <c r="G1267" s="30">
        <v>36746</v>
      </c>
      <c r="H1267" s="30">
        <v>36676</v>
      </c>
      <c r="I1267" s="30">
        <v>36469</v>
      </c>
      <c r="J1267" s="30">
        <v>36228</v>
      </c>
      <c r="K1267" s="30">
        <v>36299</v>
      </c>
      <c r="L1267" s="30">
        <v>36198</v>
      </c>
      <c r="M1267" s="30">
        <v>35943</v>
      </c>
      <c r="N1267" s="30">
        <v>35684</v>
      </c>
      <c r="O1267" s="24" t="str">
        <f t="shared" si="39"/>
        <v>Houghton County, Michigan</v>
      </c>
    </row>
    <row r="1268" spans="1:15" x14ac:dyDescent="0.25">
      <c r="A1268" s="35" t="s">
        <v>1744</v>
      </c>
      <c r="B1268" s="28" t="str">
        <f t="shared" si="38"/>
        <v>Huron</v>
      </c>
      <c r="C1268" s="30">
        <v>33118</v>
      </c>
      <c r="D1268" s="30">
        <v>33118</v>
      </c>
      <c r="E1268" s="30">
        <v>33083</v>
      </c>
      <c r="F1268" s="30">
        <v>32766</v>
      </c>
      <c r="G1268" s="30">
        <v>32453</v>
      </c>
      <c r="H1268" s="30">
        <v>32256</v>
      </c>
      <c r="I1268" s="30">
        <v>32038</v>
      </c>
      <c r="J1268" s="30">
        <v>31763</v>
      </c>
      <c r="K1268" s="30">
        <v>31486</v>
      </c>
      <c r="L1268" s="30">
        <v>31306</v>
      </c>
      <c r="M1268" s="30">
        <v>31211</v>
      </c>
      <c r="N1268" s="30">
        <v>30981</v>
      </c>
      <c r="O1268" s="24" t="str">
        <f t="shared" si="39"/>
        <v>Huron County, Michigan</v>
      </c>
    </row>
    <row r="1269" spans="1:15" x14ac:dyDescent="0.25">
      <c r="A1269" s="35" t="s">
        <v>1745</v>
      </c>
      <c r="B1269" s="28" t="str">
        <f t="shared" si="38"/>
        <v>Ingham</v>
      </c>
      <c r="C1269" s="30">
        <v>280895</v>
      </c>
      <c r="D1269" s="30">
        <v>280891</v>
      </c>
      <c r="E1269" s="30">
        <v>281116</v>
      </c>
      <c r="F1269" s="30">
        <v>282787</v>
      </c>
      <c r="G1269" s="30">
        <v>283514</v>
      </c>
      <c r="H1269" s="30">
        <v>284113</v>
      </c>
      <c r="I1269" s="30">
        <v>285627</v>
      </c>
      <c r="J1269" s="30">
        <v>287096</v>
      </c>
      <c r="K1269" s="30">
        <v>289804</v>
      </c>
      <c r="L1269" s="30">
        <v>292018</v>
      </c>
      <c r="M1269" s="30">
        <v>291612</v>
      </c>
      <c r="N1269" s="30">
        <v>292406</v>
      </c>
      <c r="O1269" s="24" t="str">
        <f t="shared" si="39"/>
        <v>Ingham County, Michigan</v>
      </c>
    </row>
    <row r="1270" spans="1:15" x14ac:dyDescent="0.25">
      <c r="A1270" s="35" t="s">
        <v>1746</v>
      </c>
      <c r="B1270" s="28" t="str">
        <f t="shared" si="38"/>
        <v>Ionia</v>
      </c>
      <c r="C1270" s="30">
        <v>63905</v>
      </c>
      <c r="D1270" s="30">
        <v>63901</v>
      </c>
      <c r="E1270" s="30">
        <v>63842</v>
      </c>
      <c r="F1270" s="30">
        <v>63860</v>
      </c>
      <c r="G1270" s="30">
        <v>63888</v>
      </c>
      <c r="H1270" s="30">
        <v>63991</v>
      </c>
      <c r="I1270" s="30">
        <v>64232</v>
      </c>
      <c r="J1270" s="30">
        <v>64056</v>
      </c>
      <c r="K1270" s="30">
        <v>64187</v>
      </c>
      <c r="L1270" s="30">
        <v>64284</v>
      </c>
      <c r="M1270" s="30">
        <v>64276</v>
      </c>
      <c r="N1270" s="30">
        <v>64697</v>
      </c>
      <c r="O1270" s="24" t="str">
        <f t="shared" si="39"/>
        <v>Ionia County, Michigan</v>
      </c>
    </row>
    <row r="1271" spans="1:15" x14ac:dyDescent="0.25">
      <c r="A1271" s="35" t="s">
        <v>1747</v>
      </c>
      <c r="B1271" s="28" t="str">
        <f t="shared" si="38"/>
        <v>Iosco</v>
      </c>
      <c r="C1271" s="30">
        <v>25887</v>
      </c>
      <c r="D1271" s="30">
        <v>25893</v>
      </c>
      <c r="E1271" s="30">
        <v>25839</v>
      </c>
      <c r="F1271" s="30">
        <v>25598</v>
      </c>
      <c r="G1271" s="30">
        <v>25453</v>
      </c>
      <c r="H1271" s="30">
        <v>25427</v>
      </c>
      <c r="I1271" s="30">
        <v>25431</v>
      </c>
      <c r="J1271" s="30">
        <v>25343</v>
      </c>
      <c r="K1271" s="30">
        <v>25284</v>
      </c>
      <c r="L1271" s="30">
        <v>25128</v>
      </c>
      <c r="M1271" s="30">
        <v>25103</v>
      </c>
      <c r="N1271" s="30">
        <v>25127</v>
      </c>
      <c r="O1271" s="24" t="str">
        <f t="shared" si="39"/>
        <v>Iosco County, Michigan</v>
      </c>
    </row>
    <row r="1272" spans="1:15" x14ac:dyDescent="0.25">
      <c r="A1272" s="35" t="s">
        <v>1748</v>
      </c>
      <c r="B1272" s="28" t="str">
        <f t="shared" si="38"/>
        <v>Iron</v>
      </c>
      <c r="C1272" s="30">
        <v>11817</v>
      </c>
      <c r="D1272" s="30">
        <v>11817</v>
      </c>
      <c r="E1272" s="30">
        <v>11810</v>
      </c>
      <c r="F1272" s="30">
        <v>11764</v>
      </c>
      <c r="G1272" s="30">
        <v>11565</v>
      </c>
      <c r="H1272" s="30">
        <v>11500</v>
      </c>
      <c r="I1272" s="30">
        <v>11344</v>
      </c>
      <c r="J1272" s="30">
        <v>11320</v>
      </c>
      <c r="K1272" s="30">
        <v>11167</v>
      </c>
      <c r="L1272" s="30">
        <v>11105</v>
      </c>
      <c r="M1272" s="30">
        <v>11104</v>
      </c>
      <c r="N1272" s="30">
        <v>11066</v>
      </c>
      <c r="O1272" s="24" t="str">
        <f t="shared" si="39"/>
        <v>Iron County, Michigan</v>
      </c>
    </row>
    <row r="1273" spans="1:15" x14ac:dyDescent="0.25">
      <c r="A1273" s="35" t="s">
        <v>1749</v>
      </c>
      <c r="B1273" s="28" t="str">
        <f t="shared" si="38"/>
        <v>Isabella</v>
      </c>
      <c r="C1273" s="30">
        <v>70311</v>
      </c>
      <c r="D1273" s="30">
        <v>70313</v>
      </c>
      <c r="E1273" s="30">
        <v>70294</v>
      </c>
      <c r="F1273" s="30">
        <v>70615</v>
      </c>
      <c r="G1273" s="30">
        <v>70666</v>
      </c>
      <c r="H1273" s="30">
        <v>70224</v>
      </c>
      <c r="I1273" s="30">
        <v>70094</v>
      </c>
      <c r="J1273" s="30">
        <v>70767</v>
      </c>
      <c r="K1273" s="30">
        <v>71263</v>
      </c>
      <c r="L1273" s="30">
        <v>71077</v>
      </c>
      <c r="M1273" s="30">
        <v>70463</v>
      </c>
      <c r="N1273" s="30">
        <v>69872</v>
      </c>
      <c r="O1273" s="24" t="str">
        <f t="shared" si="39"/>
        <v>Isabella County, Michigan</v>
      </c>
    </row>
    <row r="1274" spans="1:15" x14ac:dyDescent="0.25">
      <c r="A1274" s="35" t="s">
        <v>1750</v>
      </c>
      <c r="B1274" s="28" t="str">
        <f t="shared" si="38"/>
        <v>Jackson</v>
      </c>
      <c r="C1274" s="30">
        <v>160248</v>
      </c>
      <c r="D1274" s="30">
        <v>160233</v>
      </c>
      <c r="E1274" s="30">
        <v>160109</v>
      </c>
      <c r="F1274" s="30">
        <v>159658</v>
      </c>
      <c r="G1274" s="30">
        <v>159962</v>
      </c>
      <c r="H1274" s="30">
        <v>159628</v>
      </c>
      <c r="I1274" s="30">
        <v>159421</v>
      </c>
      <c r="J1274" s="30">
        <v>159264</v>
      </c>
      <c r="K1274" s="30">
        <v>158277</v>
      </c>
      <c r="L1274" s="30">
        <v>158563</v>
      </c>
      <c r="M1274" s="30">
        <v>158566</v>
      </c>
      <c r="N1274" s="30">
        <v>158510</v>
      </c>
      <c r="O1274" s="24" t="str">
        <f t="shared" si="39"/>
        <v>Jackson County, Michigan</v>
      </c>
    </row>
    <row r="1275" spans="1:15" x14ac:dyDescent="0.25">
      <c r="A1275" s="35" t="s">
        <v>1751</v>
      </c>
      <c r="B1275" s="28" t="str">
        <f t="shared" si="38"/>
        <v>Kalamazoo</v>
      </c>
      <c r="C1275" s="30">
        <v>250331</v>
      </c>
      <c r="D1275" s="30">
        <v>250327</v>
      </c>
      <c r="E1275" s="30">
        <v>250751</v>
      </c>
      <c r="F1275" s="30">
        <v>252600</v>
      </c>
      <c r="G1275" s="30">
        <v>255353</v>
      </c>
      <c r="H1275" s="30">
        <v>257311</v>
      </c>
      <c r="I1275" s="30">
        <v>258951</v>
      </c>
      <c r="J1275" s="30">
        <v>259676</v>
      </c>
      <c r="K1275" s="30">
        <v>261304</v>
      </c>
      <c r="L1275" s="30">
        <v>262998</v>
      </c>
      <c r="M1275" s="30">
        <v>264680</v>
      </c>
      <c r="N1275" s="30">
        <v>265066</v>
      </c>
      <c r="O1275" s="24" t="str">
        <f t="shared" si="39"/>
        <v>Kalamazoo County, Michigan</v>
      </c>
    </row>
    <row r="1276" spans="1:15" x14ac:dyDescent="0.25">
      <c r="A1276" s="35" t="s">
        <v>1752</v>
      </c>
      <c r="B1276" s="28" t="str">
        <f t="shared" si="38"/>
        <v>Kalkaska</v>
      </c>
      <c r="C1276" s="30">
        <v>17153</v>
      </c>
      <c r="D1276" s="30">
        <v>17147</v>
      </c>
      <c r="E1276" s="30">
        <v>17146</v>
      </c>
      <c r="F1276" s="30">
        <v>17173</v>
      </c>
      <c r="G1276" s="30">
        <v>17101</v>
      </c>
      <c r="H1276" s="30">
        <v>17290</v>
      </c>
      <c r="I1276" s="30">
        <v>17370</v>
      </c>
      <c r="J1276" s="30">
        <v>17248</v>
      </c>
      <c r="K1276" s="30">
        <v>17263</v>
      </c>
      <c r="L1276" s="30">
        <v>17571</v>
      </c>
      <c r="M1276" s="30">
        <v>17806</v>
      </c>
      <c r="N1276" s="30">
        <v>18038</v>
      </c>
      <c r="O1276" s="24" t="str">
        <f t="shared" si="39"/>
        <v>Kalkaska County, Michigan</v>
      </c>
    </row>
    <row r="1277" spans="1:15" x14ac:dyDescent="0.25">
      <c r="A1277" s="35" t="s">
        <v>1753</v>
      </c>
      <c r="B1277" s="28" t="str">
        <f t="shared" si="38"/>
        <v>Kent</v>
      </c>
      <c r="C1277" s="30">
        <v>602622</v>
      </c>
      <c r="D1277" s="30">
        <v>602625</v>
      </c>
      <c r="E1277" s="30">
        <v>602975</v>
      </c>
      <c r="F1277" s="30">
        <v>608501</v>
      </c>
      <c r="G1277" s="30">
        <v>615798</v>
      </c>
      <c r="H1277" s="30">
        <v>624303</v>
      </c>
      <c r="I1277" s="30">
        <v>631334</v>
      </c>
      <c r="J1277" s="30">
        <v>637164</v>
      </c>
      <c r="K1277" s="30">
        <v>643858</v>
      </c>
      <c r="L1277" s="30">
        <v>649278</v>
      </c>
      <c r="M1277" s="30">
        <v>653350</v>
      </c>
      <c r="N1277" s="30">
        <v>656955</v>
      </c>
      <c r="O1277" s="24" t="str">
        <f t="shared" si="39"/>
        <v>Kent County, Michigan</v>
      </c>
    </row>
    <row r="1278" spans="1:15" x14ac:dyDescent="0.25">
      <c r="A1278" s="35" t="s">
        <v>1754</v>
      </c>
      <c r="B1278" s="28" t="str">
        <f t="shared" si="38"/>
        <v>Keweenaw</v>
      </c>
      <c r="C1278" s="30">
        <v>2156</v>
      </c>
      <c r="D1278" s="30">
        <v>2156</v>
      </c>
      <c r="E1278" s="30">
        <v>2169</v>
      </c>
      <c r="F1278" s="30">
        <v>2179</v>
      </c>
      <c r="G1278" s="30">
        <v>2167</v>
      </c>
      <c r="H1278" s="30">
        <v>2142</v>
      </c>
      <c r="I1278" s="30">
        <v>2174</v>
      </c>
      <c r="J1278" s="30">
        <v>2123</v>
      </c>
      <c r="K1278" s="30">
        <v>2139</v>
      </c>
      <c r="L1278" s="30">
        <v>2085</v>
      </c>
      <c r="M1278" s="30">
        <v>2090</v>
      </c>
      <c r="N1278" s="30">
        <v>2116</v>
      </c>
      <c r="O1278" s="24" t="str">
        <f t="shared" si="39"/>
        <v>Keweenaw County, Michigan</v>
      </c>
    </row>
    <row r="1279" spans="1:15" x14ac:dyDescent="0.25">
      <c r="A1279" s="35" t="s">
        <v>1755</v>
      </c>
      <c r="B1279" s="28" t="str">
        <f t="shared" si="38"/>
        <v>Lake</v>
      </c>
      <c r="C1279" s="30">
        <v>11539</v>
      </c>
      <c r="D1279" s="30">
        <v>11544</v>
      </c>
      <c r="E1279" s="30">
        <v>11515</v>
      </c>
      <c r="F1279" s="30">
        <v>11459</v>
      </c>
      <c r="G1279" s="30">
        <v>11464</v>
      </c>
      <c r="H1279" s="30">
        <v>11396</v>
      </c>
      <c r="I1279" s="30">
        <v>11402</v>
      </c>
      <c r="J1279" s="30">
        <v>11697</v>
      </c>
      <c r="K1279" s="30">
        <v>11853</v>
      </c>
      <c r="L1279" s="30">
        <v>11981</v>
      </c>
      <c r="M1279" s="30">
        <v>11876</v>
      </c>
      <c r="N1279" s="30">
        <v>11853</v>
      </c>
      <c r="O1279" s="24" t="str">
        <f t="shared" si="39"/>
        <v>Lake County, Michigan</v>
      </c>
    </row>
    <row r="1280" spans="1:15" x14ac:dyDescent="0.25">
      <c r="A1280" s="35" t="s">
        <v>1756</v>
      </c>
      <c r="B1280" s="28" t="str">
        <f t="shared" si="38"/>
        <v>Lapeer</v>
      </c>
      <c r="C1280" s="30">
        <v>88319</v>
      </c>
      <c r="D1280" s="30">
        <v>88316</v>
      </c>
      <c r="E1280" s="30">
        <v>88210</v>
      </c>
      <c r="F1280" s="30">
        <v>88094</v>
      </c>
      <c r="G1280" s="30">
        <v>88195</v>
      </c>
      <c r="H1280" s="30">
        <v>88291</v>
      </c>
      <c r="I1280" s="30">
        <v>88194</v>
      </c>
      <c r="J1280" s="30">
        <v>88368</v>
      </c>
      <c r="K1280" s="30">
        <v>88171</v>
      </c>
      <c r="L1280" s="30">
        <v>88122</v>
      </c>
      <c r="M1280" s="30">
        <v>87921</v>
      </c>
      <c r="N1280" s="30">
        <v>87607</v>
      </c>
      <c r="O1280" s="24" t="str">
        <f t="shared" si="39"/>
        <v>Lapeer County, Michigan</v>
      </c>
    </row>
    <row r="1281" spans="1:15" x14ac:dyDescent="0.25">
      <c r="A1281" s="35" t="s">
        <v>1757</v>
      </c>
      <c r="B1281" s="28" t="str">
        <f t="shared" si="38"/>
        <v>Leelanau</v>
      </c>
      <c r="C1281" s="30">
        <v>21708</v>
      </c>
      <c r="D1281" s="30">
        <v>21711</v>
      </c>
      <c r="E1281" s="30">
        <v>21719</v>
      </c>
      <c r="F1281" s="30">
        <v>21428</v>
      </c>
      <c r="G1281" s="30">
        <v>21379</v>
      </c>
      <c r="H1281" s="30">
        <v>21478</v>
      </c>
      <c r="I1281" s="30">
        <v>21596</v>
      </c>
      <c r="J1281" s="30">
        <v>21633</v>
      </c>
      <c r="K1281" s="30">
        <v>21507</v>
      </c>
      <c r="L1281" s="30">
        <v>21645</v>
      </c>
      <c r="M1281" s="30">
        <v>21714</v>
      </c>
      <c r="N1281" s="30">
        <v>21761</v>
      </c>
      <c r="O1281" s="24" t="str">
        <f t="shared" si="39"/>
        <v>Leelanau County, Michigan</v>
      </c>
    </row>
    <row r="1282" spans="1:15" x14ac:dyDescent="0.25">
      <c r="A1282" s="35" t="s">
        <v>1758</v>
      </c>
      <c r="B1282" s="28" t="str">
        <f t="shared" si="38"/>
        <v>Lenawee</v>
      </c>
      <c r="C1282" s="30">
        <v>99892</v>
      </c>
      <c r="D1282" s="30">
        <v>99899</v>
      </c>
      <c r="E1282" s="30">
        <v>99640</v>
      </c>
      <c r="F1282" s="30">
        <v>99355</v>
      </c>
      <c r="G1282" s="30">
        <v>99021</v>
      </c>
      <c r="H1282" s="30">
        <v>98822</v>
      </c>
      <c r="I1282" s="30">
        <v>98740</v>
      </c>
      <c r="J1282" s="30">
        <v>98391</v>
      </c>
      <c r="K1282" s="30">
        <v>98496</v>
      </c>
      <c r="L1282" s="30">
        <v>98427</v>
      </c>
      <c r="M1282" s="30">
        <v>98141</v>
      </c>
      <c r="N1282" s="30">
        <v>98451</v>
      </c>
      <c r="O1282" s="24" t="str">
        <f t="shared" si="39"/>
        <v>Lenawee County, Michigan</v>
      </c>
    </row>
    <row r="1283" spans="1:15" x14ac:dyDescent="0.25">
      <c r="A1283" s="35" t="s">
        <v>1759</v>
      </c>
      <c r="B1283" s="28" t="str">
        <f t="shared" si="38"/>
        <v>Livingston</v>
      </c>
      <c r="C1283" s="30">
        <v>180967</v>
      </c>
      <c r="D1283" s="30">
        <v>180964</v>
      </c>
      <c r="E1283" s="30">
        <v>181069</v>
      </c>
      <c r="F1283" s="30">
        <v>182043</v>
      </c>
      <c r="G1283" s="30">
        <v>182783</v>
      </c>
      <c r="H1283" s="30">
        <v>184205</v>
      </c>
      <c r="I1283" s="30">
        <v>185527</v>
      </c>
      <c r="J1283" s="30">
        <v>187171</v>
      </c>
      <c r="K1283" s="30">
        <v>188547</v>
      </c>
      <c r="L1283" s="30">
        <v>189869</v>
      </c>
      <c r="M1283" s="30">
        <v>191190</v>
      </c>
      <c r="N1283" s="30">
        <v>191995</v>
      </c>
      <c r="O1283" s="24" t="str">
        <f t="shared" si="39"/>
        <v>Livingston County, Michigan</v>
      </c>
    </row>
    <row r="1284" spans="1:15" x14ac:dyDescent="0.25">
      <c r="A1284" s="35" t="s">
        <v>1760</v>
      </c>
      <c r="B1284" s="28" t="str">
        <f t="shared" si="38"/>
        <v>Luce</v>
      </c>
      <c r="C1284" s="30">
        <v>6631</v>
      </c>
      <c r="D1284" s="30">
        <v>6631</v>
      </c>
      <c r="E1284" s="30">
        <v>6601</v>
      </c>
      <c r="F1284" s="30">
        <v>6522</v>
      </c>
      <c r="G1284" s="30">
        <v>6479</v>
      </c>
      <c r="H1284" s="30">
        <v>6503</v>
      </c>
      <c r="I1284" s="30">
        <v>6414</v>
      </c>
      <c r="J1284" s="30">
        <v>6430</v>
      </c>
      <c r="K1284" s="30">
        <v>6335</v>
      </c>
      <c r="L1284" s="30">
        <v>6370</v>
      </c>
      <c r="M1284" s="30">
        <v>6327</v>
      </c>
      <c r="N1284" s="30">
        <v>6229</v>
      </c>
      <c r="O1284" s="24" t="str">
        <f t="shared" si="39"/>
        <v>Luce County, Michigan</v>
      </c>
    </row>
    <row r="1285" spans="1:15" x14ac:dyDescent="0.25">
      <c r="A1285" s="35" t="s">
        <v>1761</v>
      </c>
      <c r="B1285" s="28" t="str">
        <f t="shared" si="38"/>
        <v>Mackinac</v>
      </c>
      <c r="C1285" s="30">
        <v>11113</v>
      </c>
      <c r="D1285" s="30">
        <v>11114</v>
      </c>
      <c r="E1285" s="30">
        <v>11108</v>
      </c>
      <c r="F1285" s="30">
        <v>11017</v>
      </c>
      <c r="G1285" s="30">
        <v>11071</v>
      </c>
      <c r="H1285" s="30">
        <v>11007</v>
      </c>
      <c r="I1285" s="30">
        <v>10997</v>
      </c>
      <c r="J1285" s="30">
        <v>10821</v>
      </c>
      <c r="K1285" s="30">
        <v>10724</v>
      </c>
      <c r="L1285" s="30">
        <v>10768</v>
      </c>
      <c r="M1285" s="30">
        <v>10781</v>
      </c>
      <c r="N1285" s="30">
        <v>10799</v>
      </c>
      <c r="O1285" s="24" t="str">
        <f t="shared" si="39"/>
        <v>Mackinac County, Michigan</v>
      </c>
    </row>
    <row r="1286" spans="1:15" x14ac:dyDescent="0.25">
      <c r="A1286" s="35" t="s">
        <v>1762</v>
      </c>
      <c r="B1286" s="28" t="str">
        <f t="shared" si="38"/>
        <v>Macomb</v>
      </c>
      <c r="C1286" s="30">
        <v>840978</v>
      </c>
      <c r="D1286" s="30">
        <v>841039</v>
      </c>
      <c r="E1286" s="30">
        <v>841352</v>
      </c>
      <c r="F1286" s="30">
        <v>844146</v>
      </c>
      <c r="G1286" s="30">
        <v>849734</v>
      </c>
      <c r="H1286" s="30">
        <v>857110</v>
      </c>
      <c r="I1286" s="30">
        <v>862876</v>
      </c>
      <c r="J1286" s="30">
        <v>864960</v>
      </c>
      <c r="K1286" s="30">
        <v>868534</v>
      </c>
      <c r="L1286" s="30">
        <v>871364</v>
      </c>
      <c r="M1286" s="30">
        <v>872795</v>
      </c>
      <c r="N1286" s="30">
        <v>873972</v>
      </c>
      <c r="O1286" s="24" t="str">
        <f t="shared" si="39"/>
        <v>Macomb County, Michigan</v>
      </c>
    </row>
    <row r="1287" spans="1:15" x14ac:dyDescent="0.25">
      <c r="A1287" s="35" t="s">
        <v>1763</v>
      </c>
      <c r="B1287" s="28" t="str">
        <f t="shared" ref="B1287:B1350" si="40">LEFT(A1287,FIND("County",A1287,1)-2)</f>
        <v>Manistee</v>
      </c>
      <c r="C1287" s="30">
        <v>24733</v>
      </c>
      <c r="D1287" s="30">
        <v>24747</v>
      </c>
      <c r="E1287" s="30">
        <v>24588</v>
      </c>
      <c r="F1287" s="30">
        <v>24774</v>
      </c>
      <c r="G1287" s="30">
        <v>24675</v>
      </c>
      <c r="H1287" s="30">
        <v>24481</v>
      </c>
      <c r="I1287" s="30">
        <v>24413</v>
      </c>
      <c r="J1287" s="30">
        <v>24457</v>
      </c>
      <c r="K1287" s="30">
        <v>24424</v>
      </c>
      <c r="L1287" s="30">
        <v>24393</v>
      </c>
      <c r="M1287" s="30">
        <v>24455</v>
      </c>
      <c r="N1287" s="30">
        <v>24558</v>
      </c>
      <c r="O1287" s="24" t="str">
        <f t="shared" ref="O1287:O1350" si="41">A1287</f>
        <v>Manistee County, Michigan</v>
      </c>
    </row>
    <row r="1288" spans="1:15" x14ac:dyDescent="0.25">
      <c r="A1288" s="35" t="s">
        <v>1764</v>
      </c>
      <c r="B1288" s="28" t="str">
        <f t="shared" si="40"/>
        <v>Marquette</v>
      </c>
      <c r="C1288" s="30">
        <v>67077</v>
      </c>
      <c r="D1288" s="30">
        <v>67071</v>
      </c>
      <c r="E1288" s="30">
        <v>67078</v>
      </c>
      <c r="F1288" s="30">
        <v>67455</v>
      </c>
      <c r="G1288" s="30">
        <v>67826</v>
      </c>
      <c r="H1288" s="30">
        <v>67773</v>
      </c>
      <c r="I1288" s="30">
        <v>67771</v>
      </c>
      <c r="J1288" s="30">
        <v>67326</v>
      </c>
      <c r="K1288" s="30">
        <v>66532</v>
      </c>
      <c r="L1288" s="30">
        <v>66493</v>
      </c>
      <c r="M1288" s="30">
        <v>66381</v>
      </c>
      <c r="N1288" s="30">
        <v>66699</v>
      </c>
      <c r="O1288" s="24" t="str">
        <f t="shared" si="41"/>
        <v>Marquette County, Michigan</v>
      </c>
    </row>
    <row r="1289" spans="1:15" x14ac:dyDescent="0.25">
      <c r="A1289" s="35" t="s">
        <v>1765</v>
      </c>
      <c r="B1289" s="28" t="str">
        <f t="shared" si="40"/>
        <v>Mason</v>
      </c>
      <c r="C1289" s="30">
        <v>28705</v>
      </c>
      <c r="D1289" s="30">
        <v>28689</v>
      </c>
      <c r="E1289" s="30">
        <v>28717</v>
      </c>
      <c r="F1289" s="30">
        <v>28643</v>
      </c>
      <c r="G1289" s="30">
        <v>28660</v>
      </c>
      <c r="H1289" s="30">
        <v>28668</v>
      </c>
      <c r="I1289" s="30">
        <v>28732</v>
      </c>
      <c r="J1289" s="30">
        <v>28738</v>
      </c>
      <c r="K1289" s="30">
        <v>28810</v>
      </c>
      <c r="L1289" s="30">
        <v>28996</v>
      </c>
      <c r="M1289" s="30">
        <v>29084</v>
      </c>
      <c r="N1289" s="30">
        <v>29144</v>
      </c>
      <c r="O1289" s="24" t="str">
        <f t="shared" si="41"/>
        <v>Mason County, Michigan</v>
      </c>
    </row>
    <row r="1290" spans="1:15" x14ac:dyDescent="0.25">
      <c r="A1290" s="35" t="s">
        <v>1766</v>
      </c>
      <c r="B1290" s="28" t="str">
        <f t="shared" si="40"/>
        <v>Mecosta</v>
      </c>
      <c r="C1290" s="30">
        <v>42798</v>
      </c>
      <c r="D1290" s="30">
        <v>42798</v>
      </c>
      <c r="E1290" s="30">
        <v>42853</v>
      </c>
      <c r="F1290" s="30">
        <v>43455</v>
      </c>
      <c r="G1290" s="30">
        <v>43497</v>
      </c>
      <c r="H1290" s="30">
        <v>43260</v>
      </c>
      <c r="I1290" s="30">
        <v>43200</v>
      </c>
      <c r="J1290" s="30">
        <v>43005</v>
      </c>
      <c r="K1290" s="30">
        <v>43141</v>
      </c>
      <c r="L1290" s="30">
        <v>43258</v>
      </c>
      <c r="M1290" s="30">
        <v>43400</v>
      </c>
      <c r="N1290" s="30">
        <v>43453</v>
      </c>
      <c r="O1290" s="24" t="str">
        <f t="shared" si="41"/>
        <v>Mecosta County, Michigan</v>
      </c>
    </row>
    <row r="1291" spans="1:15" x14ac:dyDescent="0.25">
      <c r="A1291" s="35" t="s">
        <v>1767</v>
      </c>
      <c r="B1291" s="28" t="str">
        <f t="shared" si="40"/>
        <v>Menominee</v>
      </c>
      <c r="C1291" s="30">
        <v>24029</v>
      </c>
      <c r="D1291" s="30">
        <v>24029</v>
      </c>
      <c r="E1291" s="30">
        <v>23968</v>
      </c>
      <c r="F1291" s="30">
        <v>23868</v>
      </c>
      <c r="G1291" s="30">
        <v>23731</v>
      </c>
      <c r="H1291" s="30">
        <v>23725</v>
      </c>
      <c r="I1291" s="30">
        <v>23520</v>
      </c>
      <c r="J1291" s="30">
        <v>23476</v>
      </c>
      <c r="K1291" s="30">
        <v>23208</v>
      </c>
      <c r="L1291" s="30">
        <v>22981</v>
      </c>
      <c r="M1291" s="30">
        <v>22927</v>
      </c>
      <c r="N1291" s="30">
        <v>22780</v>
      </c>
      <c r="O1291" s="24" t="str">
        <f t="shared" si="41"/>
        <v>Menominee County, Michigan</v>
      </c>
    </row>
    <row r="1292" spans="1:15" x14ac:dyDescent="0.25">
      <c r="A1292" s="35" t="s">
        <v>1768</v>
      </c>
      <c r="B1292" s="28" t="str">
        <f t="shared" si="40"/>
        <v>Midland</v>
      </c>
      <c r="C1292" s="30">
        <v>83629</v>
      </c>
      <c r="D1292" s="30">
        <v>83621</v>
      </c>
      <c r="E1292" s="30">
        <v>83651</v>
      </c>
      <c r="F1292" s="30">
        <v>83805</v>
      </c>
      <c r="G1292" s="30">
        <v>83721</v>
      </c>
      <c r="H1292" s="30">
        <v>83651</v>
      </c>
      <c r="I1292" s="30">
        <v>83492</v>
      </c>
      <c r="J1292" s="30">
        <v>83662</v>
      </c>
      <c r="K1292" s="30">
        <v>83422</v>
      </c>
      <c r="L1292" s="30">
        <v>83314</v>
      </c>
      <c r="M1292" s="30">
        <v>83223</v>
      </c>
      <c r="N1292" s="30">
        <v>83156</v>
      </c>
      <c r="O1292" s="24" t="str">
        <f t="shared" si="41"/>
        <v>Midland County, Michigan</v>
      </c>
    </row>
    <row r="1293" spans="1:15" x14ac:dyDescent="0.25">
      <c r="A1293" s="35" t="s">
        <v>1769</v>
      </c>
      <c r="B1293" s="28" t="str">
        <f t="shared" si="40"/>
        <v>Missaukee</v>
      </c>
      <c r="C1293" s="30">
        <v>14849</v>
      </c>
      <c r="D1293" s="30">
        <v>14851</v>
      </c>
      <c r="E1293" s="30">
        <v>14816</v>
      </c>
      <c r="F1293" s="30">
        <v>14902</v>
      </c>
      <c r="G1293" s="30">
        <v>15006</v>
      </c>
      <c r="H1293" s="30">
        <v>15058</v>
      </c>
      <c r="I1293" s="30">
        <v>14978</v>
      </c>
      <c r="J1293" s="30">
        <v>14882</v>
      </c>
      <c r="K1293" s="30">
        <v>15018</v>
      </c>
      <c r="L1293" s="30">
        <v>15020</v>
      </c>
      <c r="M1293" s="30">
        <v>15101</v>
      </c>
      <c r="N1293" s="30">
        <v>15118</v>
      </c>
      <c r="O1293" s="24" t="str">
        <f t="shared" si="41"/>
        <v>Missaukee County, Michigan</v>
      </c>
    </row>
    <row r="1294" spans="1:15" x14ac:dyDescent="0.25">
      <c r="A1294" s="35" t="s">
        <v>1770</v>
      </c>
      <c r="B1294" s="28" t="str">
        <f t="shared" si="40"/>
        <v>Monroe</v>
      </c>
      <c r="C1294" s="30">
        <v>152021</v>
      </c>
      <c r="D1294" s="30">
        <v>152031</v>
      </c>
      <c r="E1294" s="30">
        <v>151936</v>
      </c>
      <c r="F1294" s="30">
        <v>151496</v>
      </c>
      <c r="G1294" s="30">
        <v>150804</v>
      </c>
      <c r="H1294" s="30">
        <v>150139</v>
      </c>
      <c r="I1294" s="30">
        <v>149847</v>
      </c>
      <c r="J1294" s="30">
        <v>149353</v>
      </c>
      <c r="K1294" s="30">
        <v>149159</v>
      </c>
      <c r="L1294" s="30">
        <v>149449</v>
      </c>
      <c r="M1294" s="30">
        <v>150174</v>
      </c>
      <c r="N1294" s="30">
        <v>150500</v>
      </c>
      <c r="O1294" s="24" t="str">
        <f t="shared" si="41"/>
        <v>Monroe County, Michigan</v>
      </c>
    </row>
    <row r="1295" spans="1:15" x14ac:dyDescent="0.25">
      <c r="A1295" s="35" t="s">
        <v>1771</v>
      </c>
      <c r="B1295" s="28" t="str">
        <f t="shared" si="40"/>
        <v>Montcalm</v>
      </c>
      <c r="C1295" s="30">
        <v>63342</v>
      </c>
      <c r="D1295" s="30">
        <v>63342</v>
      </c>
      <c r="E1295" s="30">
        <v>63315</v>
      </c>
      <c r="F1295" s="30">
        <v>63266</v>
      </c>
      <c r="G1295" s="30">
        <v>63096</v>
      </c>
      <c r="H1295" s="30">
        <v>62794</v>
      </c>
      <c r="I1295" s="30">
        <v>62804</v>
      </c>
      <c r="J1295" s="30">
        <v>62763</v>
      </c>
      <c r="K1295" s="30">
        <v>62953</v>
      </c>
      <c r="L1295" s="30">
        <v>63527</v>
      </c>
      <c r="M1295" s="30">
        <v>63936</v>
      </c>
      <c r="N1295" s="30">
        <v>63888</v>
      </c>
      <c r="O1295" s="24" t="str">
        <f t="shared" si="41"/>
        <v>Montcalm County, Michigan</v>
      </c>
    </row>
    <row r="1296" spans="1:15" x14ac:dyDescent="0.25">
      <c r="A1296" s="35" t="s">
        <v>1772</v>
      </c>
      <c r="B1296" s="28" t="str">
        <f t="shared" si="40"/>
        <v>Montmorency</v>
      </c>
      <c r="C1296" s="30">
        <v>9765</v>
      </c>
      <c r="D1296" s="30">
        <v>9760</v>
      </c>
      <c r="E1296" s="30">
        <v>9777</v>
      </c>
      <c r="F1296" s="30">
        <v>9624</v>
      </c>
      <c r="G1296" s="30">
        <v>9513</v>
      </c>
      <c r="H1296" s="30">
        <v>9378</v>
      </c>
      <c r="I1296" s="30">
        <v>9321</v>
      </c>
      <c r="J1296" s="30">
        <v>9287</v>
      </c>
      <c r="K1296" s="30">
        <v>9203</v>
      </c>
      <c r="L1296" s="30">
        <v>9233</v>
      </c>
      <c r="M1296" s="30">
        <v>9275</v>
      </c>
      <c r="N1296" s="30">
        <v>9328</v>
      </c>
      <c r="O1296" s="24" t="str">
        <f t="shared" si="41"/>
        <v>Montmorency County, Michigan</v>
      </c>
    </row>
    <row r="1297" spans="1:15" x14ac:dyDescent="0.25">
      <c r="A1297" s="35" t="s">
        <v>1773</v>
      </c>
      <c r="B1297" s="28" t="str">
        <f t="shared" si="40"/>
        <v>Muskegon</v>
      </c>
      <c r="C1297" s="30">
        <v>172188</v>
      </c>
      <c r="D1297" s="30">
        <v>172194</v>
      </c>
      <c r="E1297" s="30">
        <v>171913</v>
      </c>
      <c r="F1297" s="30">
        <v>170026</v>
      </c>
      <c r="G1297" s="30">
        <v>170159</v>
      </c>
      <c r="H1297" s="30">
        <v>172273</v>
      </c>
      <c r="I1297" s="30">
        <v>172254</v>
      </c>
      <c r="J1297" s="30">
        <v>172447</v>
      </c>
      <c r="K1297" s="30">
        <v>173227</v>
      </c>
      <c r="L1297" s="30">
        <v>173645</v>
      </c>
      <c r="M1297" s="30">
        <v>173599</v>
      </c>
      <c r="N1297" s="30">
        <v>173566</v>
      </c>
      <c r="O1297" s="24" t="str">
        <f t="shared" si="41"/>
        <v>Muskegon County, Michigan</v>
      </c>
    </row>
    <row r="1298" spans="1:15" x14ac:dyDescent="0.25">
      <c r="A1298" s="35" t="s">
        <v>1774</v>
      </c>
      <c r="B1298" s="28" t="str">
        <f t="shared" si="40"/>
        <v>Newaygo</v>
      </c>
      <c r="C1298" s="30">
        <v>48460</v>
      </c>
      <c r="D1298" s="30">
        <v>48459</v>
      </c>
      <c r="E1298" s="30">
        <v>48373</v>
      </c>
      <c r="F1298" s="30">
        <v>48319</v>
      </c>
      <c r="G1298" s="30">
        <v>47879</v>
      </c>
      <c r="H1298" s="30">
        <v>47869</v>
      </c>
      <c r="I1298" s="30">
        <v>47781</v>
      </c>
      <c r="J1298" s="30">
        <v>47882</v>
      </c>
      <c r="K1298" s="30">
        <v>47811</v>
      </c>
      <c r="L1298" s="30">
        <v>48320</v>
      </c>
      <c r="M1298" s="30">
        <v>48839</v>
      </c>
      <c r="N1298" s="30">
        <v>48980</v>
      </c>
      <c r="O1298" s="24" t="str">
        <f t="shared" si="41"/>
        <v>Newaygo County, Michigan</v>
      </c>
    </row>
    <row r="1299" spans="1:15" x14ac:dyDescent="0.25">
      <c r="A1299" s="35" t="s">
        <v>1775</v>
      </c>
      <c r="B1299" s="28" t="str">
        <f t="shared" si="40"/>
        <v>Oakland</v>
      </c>
      <c r="C1299" s="30">
        <v>1202362</v>
      </c>
      <c r="D1299" s="30">
        <v>1202384</v>
      </c>
      <c r="E1299" s="30">
        <v>1203106</v>
      </c>
      <c r="F1299" s="30">
        <v>1212643</v>
      </c>
      <c r="G1299" s="30">
        <v>1223598</v>
      </c>
      <c r="H1299" s="30">
        <v>1235468</v>
      </c>
      <c r="I1299" s="30">
        <v>1242853</v>
      </c>
      <c r="J1299" s="30">
        <v>1244602</v>
      </c>
      <c r="K1299" s="30">
        <v>1251027</v>
      </c>
      <c r="L1299" s="30">
        <v>1256016</v>
      </c>
      <c r="M1299" s="30">
        <v>1256694</v>
      </c>
      <c r="N1299" s="30">
        <v>1257584</v>
      </c>
      <c r="O1299" s="24" t="str">
        <f t="shared" si="41"/>
        <v>Oakland County, Michigan</v>
      </c>
    </row>
    <row r="1300" spans="1:15" x14ac:dyDescent="0.25">
      <c r="A1300" s="35" t="s">
        <v>1776</v>
      </c>
      <c r="B1300" s="28" t="str">
        <f t="shared" si="40"/>
        <v>Oceana</v>
      </c>
      <c r="C1300" s="30">
        <v>26570</v>
      </c>
      <c r="D1300" s="30">
        <v>26570</v>
      </c>
      <c r="E1300" s="30">
        <v>26503</v>
      </c>
      <c r="F1300" s="30">
        <v>26455</v>
      </c>
      <c r="G1300" s="30">
        <v>26306</v>
      </c>
      <c r="H1300" s="30">
        <v>26298</v>
      </c>
      <c r="I1300" s="30">
        <v>26349</v>
      </c>
      <c r="J1300" s="30">
        <v>26323</v>
      </c>
      <c r="K1300" s="30">
        <v>26311</v>
      </c>
      <c r="L1300" s="30">
        <v>26422</v>
      </c>
      <c r="M1300" s="30">
        <v>26555</v>
      </c>
      <c r="N1300" s="30">
        <v>26467</v>
      </c>
      <c r="O1300" s="24" t="str">
        <f t="shared" si="41"/>
        <v>Oceana County, Michigan</v>
      </c>
    </row>
    <row r="1301" spans="1:15" x14ac:dyDescent="0.25">
      <c r="A1301" s="35" t="s">
        <v>1777</v>
      </c>
      <c r="B1301" s="28" t="str">
        <f t="shared" si="40"/>
        <v>Ogemaw</v>
      </c>
      <c r="C1301" s="30">
        <v>21699</v>
      </c>
      <c r="D1301" s="30">
        <v>21688</v>
      </c>
      <c r="E1301" s="30">
        <v>21605</v>
      </c>
      <c r="F1301" s="30">
        <v>21489</v>
      </c>
      <c r="G1301" s="30">
        <v>21358</v>
      </c>
      <c r="H1301" s="30">
        <v>21160</v>
      </c>
      <c r="I1301" s="30">
        <v>20957</v>
      </c>
      <c r="J1301" s="30">
        <v>20877</v>
      </c>
      <c r="K1301" s="30">
        <v>20850</v>
      </c>
      <c r="L1301" s="30">
        <v>20882</v>
      </c>
      <c r="M1301" s="30">
        <v>20882</v>
      </c>
      <c r="N1301" s="30">
        <v>20997</v>
      </c>
      <c r="O1301" s="24" t="str">
        <f t="shared" si="41"/>
        <v>Ogemaw County, Michigan</v>
      </c>
    </row>
    <row r="1302" spans="1:15" x14ac:dyDescent="0.25">
      <c r="A1302" s="35" t="s">
        <v>1778</v>
      </c>
      <c r="B1302" s="28" t="str">
        <f t="shared" si="40"/>
        <v>Ontonagon</v>
      </c>
      <c r="C1302" s="30">
        <v>6780</v>
      </c>
      <c r="D1302" s="30">
        <v>6780</v>
      </c>
      <c r="E1302" s="30">
        <v>6776</v>
      </c>
      <c r="F1302" s="30">
        <v>6628</v>
      </c>
      <c r="G1302" s="30">
        <v>6413</v>
      </c>
      <c r="H1302" s="30">
        <v>6321</v>
      </c>
      <c r="I1302" s="30">
        <v>6192</v>
      </c>
      <c r="J1302" s="30">
        <v>6037</v>
      </c>
      <c r="K1302" s="30">
        <v>5939</v>
      </c>
      <c r="L1302" s="30">
        <v>5889</v>
      </c>
      <c r="M1302" s="30">
        <v>5801</v>
      </c>
      <c r="N1302" s="30">
        <v>5720</v>
      </c>
      <c r="O1302" s="24" t="str">
        <f t="shared" si="41"/>
        <v>Ontonagon County, Michigan</v>
      </c>
    </row>
    <row r="1303" spans="1:15" x14ac:dyDescent="0.25">
      <c r="A1303" s="35" t="s">
        <v>1779</v>
      </c>
      <c r="B1303" s="28" t="str">
        <f t="shared" si="40"/>
        <v>Osceola</v>
      </c>
      <c r="C1303" s="30">
        <v>23528</v>
      </c>
      <c r="D1303" s="30">
        <v>23526</v>
      </c>
      <c r="E1303" s="30">
        <v>23502</v>
      </c>
      <c r="F1303" s="30">
        <v>23471</v>
      </c>
      <c r="G1303" s="30">
        <v>23323</v>
      </c>
      <c r="H1303" s="30">
        <v>23322</v>
      </c>
      <c r="I1303" s="30">
        <v>23216</v>
      </c>
      <c r="J1303" s="30">
        <v>23177</v>
      </c>
      <c r="K1303" s="30">
        <v>23170</v>
      </c>
      <c r="L1303" s="30">
        <v>23267</v>
      </c>
      <c r="M1303" s="30">
        <v>23377</v>
      </c>
      <c r="N1303" s="30">
        <v>23460</v>
      </c>
      <c r="O1303" s="24" t="str">
        <f t="shared" si="41"/>
        <v>Osceola County, Michigan</v>
      </c>
    </row>
    <row r="1304" spans="1:15" x14ac:dyDescent="0.25">
      <c r="A1304" s="35" t="s">
        <v>1780</v>
      </c>
      <c r="B1304" s="28" t="str">
        <f t="shared" si="40"/>
        <v>Oscoda</v>
      </c>
      <c r="C1304" s="30">
        <v>8640</v>
      </c>
      <c r="D1304" s="30">
        <v>8638</v>
      </c>
      <c r="E1304" s="30">
        <v>8601</v>
      </c>
      <c r="F1304" s="30">
        <v>8614</v>
      </c>
      <c r="G1304" s="30">
        <v>8574</v>
      </c>
      <c r="H1304" s="30">
        <v>8369</v>
      </c>
      <c r="I1304" s="30">
        <v>8312</v>
      </c>
      <c r="J1304" s="30">
        <v>8277</v>
      </c>
      <c r="K1304" s="30">
        <v>8259</v>
      </c>
      <c r="L1304" s="30">
        <v>8238</v>
      </c>
      <c r="M1304" s="30">
        <v>8224</v>
      </c>
      <c r="N1304" s="30">
        <v>8241</v>
      </c>
      <c r="O1304" s="24" t="str">
        <f t="shared" si="41"/>
        <v>Oscoda County, Michigan</v>
      </c>
    </row>
    <row r="1305" spans="1:15" x14ac:dyDescent="0.25">
      <c r="A1305" s="35" t="s">
        <v>1781</v>
      </c>
      <c r="B1305" s="28" t="str">
        <f t="shared" si="40"/>
        <v>Otsego</v>
      </c>
      <c r="C1305" s="30">
        <v>24164</v>
      </c>
      <c r="D1305" s="30">
        <v>24167</v>
      </c>
      <c r="E1305" s="30">
        <v>24151</v>
      </c>
      <c r="F1305" s="30">
        <v>24115</v>
      </c>
      <c r="G1305" s="30">
        <v>24042</v>
      </c>
      <c r="H1305" s="30">
        <v>24078</v>
      </c>
      <c r="I1305" s="30">
        <v>24110</v>
      </c>
      <c r="J1305" s="30">
        <v>24203</v>
      </c>
      <c r="K1305" s="30">
        <v>24408</v>
      </c>
      <c r="L1305" s="30">
        <v>24528</v>
      </c>
      <c r="M1305" s="30">
        <v>24641</v>
      </c>
      <c r="N1305" s="30">
        <v>24668</v>
      </c>
      <c r="O1305" s="24" t="str">
        <f t="shared" si="41"/>
        <v>Otsego County, Michigan</v>
      </c>
    </row>
    <row r="1306" spans="1:15" x14ac:dyDescent="0.25">
      <c r="A1306" s="35" t="s">
        <v>1782</v>
      </c>
      <c r="B1306" s="28" t="str">
        <f t="shared" si="40"/>
        <v>Ottawa</v>
      </c>
      <c r="C1306" s="30">
        <v>263801</v>
      </c>
      <c r="D1306" s="30">
        <v>263795</v>
      </c>
      <c r="E1306" s="30">
        <v>264130</v>
      </c>
      <c r="F1306" s="30">
        <v>266929</v>
      </c>
      <c r="G1306" s="30">
        <v>270873</v>
      </c>
      <c r="H1306" s="30">
        <v>274385</v>
      </c>
      <c r="I1306" s="30">
        <v>277864</v>
      </c>
      <c r="J1306" s="30">
        <v>280859</v>
      </c>
      <c r="K1306" s="30">
        <v>283712</v>
      </c>
      <c r="L1306" s="30">
        <v>286581</v>
      </c>
      <c r="M1306" s="30">
        <v>289808</v>
      </c>
      <c r="N1306" s="30">
        <v>291830</v>
      </c>
      <c r="O1306" s="24" t="str">
        <f t="shared" si="41"/>
        <v>Ottawa County, Michigan</v>
      </c>
    </row>
    <row r="1307" spans="1:15" x14ac:dyDescent="0.25">
      <c r="A1307" s="35" t="s">
        <v>1783</v>
      </c>
      <c r="B1307" s="28" t="str">
        <f t="shared" si="40"/>
        <v>Presque Isle</v>
      </c>
      <c r="C1307" s="30">
        <v>13376</v>
      </c>
      <c r="D1307" s="30">
        <v>13380</v>
      </c>
      <c r="E1307" s="30">
        <v>13317</v>
      </c>
      <c r="F1307" s="30">
        <v>13152</v>
      </c>
      <c r="G1307" s="30">
        <v>13084</v>
      </c>
      <c r="H1307" s="30">
        <v>13010</v>
      </c>
      <c r="I1307" s="30">
        <v>12962</v>
      </c>
      <c r="J1307" s="30">
        <v>12801</v>
      </c>
      <c r="K1307" s="30">
        <v>12735</v>
      </c>
      <c r="L1307" s="30">
        <v>12742</v>
      </c>
      <c r="M1307" s="30">
        <v>12698</v>
      </c>
      <c r="N1307" s="30">
        <v>12592</v>
      </c>
      <c r="O1307" s="24" t="str">
        <f t="shared" si="41"/>
        <v>Presque Isle County, Michigan</v>
      </c>
    </row>
    <row r="1308" spans="1:15" x14ac:dyDescent="0.25">
      <c r="A1308" s="35" t="s">
        <v>1784</v>
      </c>
      <c r="B1308" s="28" t="str">
        <f t="shared" si="40"/>
        <v>Roscommon</v>
      </c>
      <c r="C1308" s="30">
        <v>24449</v>
      </c>
      <c r="D1308" s="30">
        <v>24448</v>
      </c>
      <c r="E1308" s="30">
        <v>24442</v>
      </c>
      <c r="F1308" s="30">
        <v>24325</v>
      </c>
      <c r="G1308" s="30">
        <v>24185</v>
      </c>
      <c r="H1308" s="30">
        <v>24023</v>
      </c>
      <c r="I1308" s="30">
        <v>24025</v>
      </c>
      <c r="J1308" s="30">
        <v>23912</v>
      </c>
      <c r="K1308" s="30">
        <v>23779</v>
      </c>
      <c r="L1308" s="30">
        <v>23731</v>
      </c>
      <c r="M1308" s="30">
        <v>23812</v>
      </c>
      <c r="N1308" s="30">
        <v>24019</v>
      </c>
      <c r="O1308" s="24" t="str">
        <f t="shared" si="41"/>
        <v>Roscommon County, Michigan</v>
      </c>
    </row>
    <row r="1309" spans="1:15" x14ac:dyDescent="0.25">
      <c r="A1309" s="35" t="s">
        <v>1785</v>
      </c>
      <c r="B1309" s="28" t="str">
        <f t="shared" si="40"/>
        <v>Saginaw</v>
      </c>
      <c r="C1309" s="30">
        <v>200169</v>
      </c>
      <c r="D1309" s="30">
        <v>200169</v>
      </c>
      <c r="E1309" s="30">
        <v>199862</v>
      </c>
      <c r="F1309" s="30">
        <v>198899</v>
      </c>
      <c r="G1309" s="30">
        <v>198363</v>
      </c>
      <c r="H1309" s="30">
        <v>196794</v>
      </c>
      <c r="I1309" s="30">
        <v>195248</v>
      </c>
      <c r="J1309" s="30">
        <v>193305</v>
      </c>
      <c r="K1309" s="30">
        <v>192507</v>
      </c>
      <c r="L1309" s="30">
        <v>191965</v>
      </c>
      <c r="M1309" s="30">
        <v>190791</v>
      </c>
      <c r="N1309" s="30">
        <v>190539</v>
      </c>
      <c r="O1309" s="24" t="str">
        <f t="shared" si="41"/>
        <v>Saginaw County, Michigan</v>
      </c>
    </row>
    <row r="1310" spans="1:15" x14ac:dyDescent="0.25">
      <c r="A1310" s="35" t="s">
        <v>1786</v>
      </c>
      <c r="B1310" s="28" t="str">
        <f t="shared" si="40"/>
        <v>St Clair</v>
      </c>
      <c r="C1310" s="30">
        <v>163040</v>
      </c>
      <c r="D1310" s="30">
        <v>163051</v>
      </c>
      <c r="E1310" s="30">
        <v>162690</v>
      </c>
      <c r="F1310" s="30">
        <v>161581</v>
      </c>
      <c r="G1310" s="30">
        <v>160625</v>
      </c>
      <c r="H1310" s="30">
        <v>160288</v>
      </c>
      <c r="I1310" s="30">
        <v>160065</v>
      </c>
      <c r="J1310" s="30">
        <v>159700</v>
      </c>
      <c r="K1310" s="30">
        <v>159369</v>
      </c>
      <c r="L1310" s="30">
        <v>159005</v>
      </c>
      <c r="M1310" s="30">
        <v>159031</v>
      </c>
      <c r="N1310" s="30">
        <v>159128</v>
      </c>
      <c r="O1310" s="24" t="str">
        <f t="shared" si="41"/>
        <v>St Clair County, Michigan</v>
      </c>
    </row>
    <row r="1311" spans="1:15" x14ac:dyDescent="0.25">
      <c r="A1311" s="35" t="s">
        <v>1787</v>
      </c>
      <c r="B1311" s="28" t="str">
        <f t="shared" si="40"/>
        <v>St Joseph</v>
      </c>
      <c r="C1311" s="30">
        <v>61295</v>
      </c>
      <c r="D1311" s="30">
        <v>61303</v>
      </c>
      <c r="E1311" s="30">
        <v>61288</v>
      </c>
      <c r="F1311" s="30">
        <v>61068</v>
      </c>
      <c r="G1311" s="30">
        <v>60992</v>
      </c>
      <c r="H1311" s="30">
        <v>60989</v>
      </c>
      <c r="I1311" s="30">
        <v>61015</v>
      </c>
      <c r="J1311" s="30">
        <v>60804</v>
      </c>
      <c r="K1311" s="30">
        <v>60790</v>
      </c>
      <c r="L1311" s="30">
        <v>60710</v>
      </c>
      <c r="M1311" s="30">
        <v>60912</v>
      </c>
      <c r="N1311" s="30">
        <v>60964</v>
      </c>
      <c r="O1311" s="24" t="str">
        <f t="shared" si="41"/>
        <v>St Joseph County, Michigan</v>
      </c>
    </row>
    <row r="1312" spans="1:15" x14ac:dyDescent="0.25">
      <c r="A1312" s="35" t="s">
        <v>1788</v>
      </c>
      <c r="B1312" s="28" t="str">
        <f t="shared" si="40"/>
        <v>Sanilac</v>
      </c>
      <c r="C1312" s="30">
        <v>43114</v>
      </c>
      <c r="D1312" s="30">
        <v>43106</v>
      </c>
      <c r="E1312" s="30">
        <v>43087</v>
      </c>
      <c r="F1312" s="30">
        <v>42705</v>
      </c>
      <c r="G1312" s="30">
        <v>42306</v>
      </c>
      <c r="H1312" s="30">
        <v>41901</v>
      </c>
      <c r="I1312" s="30">
        <v>41661</v>
      </c>
      <c r="J1312" s="30">
        <v>41464</v>
      </c>
      <c r="K1312" s="30">
        <v>41405</v>
      </c>
      <c r="L1312" s="30">
        <v>41242</v>
      </c>
      <c r="M1312" s="30">
        <v>41192</v>
      </c>
      <c r="N1312" s="30">
        <v>41170</v>
      </c>
      <c r="O1312" s="24" t="str">
        <f t="shared" si="41"/>
        <v>Sanilac County, Michigan</v>
      </c>
    </row>
    <row r="1313" spans="1:15" x14ac:dyDescent="0.25">
      <c r="A1313" s="35" t="s">
        <v>1789</v>
      </c>
      <c r="B1313" s="28" t="str">
        <f t="shared" si="40"/>
        <v>Schoolcraft</v>
      </c>
      <c r="C1313" s="30">
        <v>8485</v>
      </c>
      <c r="D1313" s="30">
        <v>8485</v>
      </c>
      <c r="E1313" s="30">
        <v>8472</v>
      </c>
      <c r="F1313" s="30">
        <v>8477</v>
      </c>
      <c r="G1313" s="30">
        <v>8350</v>
      </c>
      <c r="H1313" s="30">
        <v>8263</v>
      </c>
      <c r="I1313" s="30">
        <v>8137</v>
      </c>
      <c r="J1313" s="30">
        <v>8121</v>
      </c>
      <c r="K1313" s="30">
        <v>7967</v>
      </c>
      <c r="L1313" s="30">
        <v>8013</v>
      </c>
      <c r="M1313" s="30">
        <v>8044</v>
      </c>
      <c r="N1313" s="30">
        <v>8094</v>
      </c>
      <c r="O1313" s="24" t="str">
        <f t="shared" si="41"/>
        <v>Schoolcraft County, Michigan</v>
      </c>
    </row>
    <row r="1314" spans="1:15" x14ac:dyDescent="0.25">
      <c r="A1314" s="35" t="s">
        <v>1790</v>
      </c>
      <c r="B1314" s="28" t="str">
        <f t="shared" si="40"/>
        <v>Shiawassee</v>
      </c>
      <c r="C1314" s="30">
        <v>70648</v>
      </c>
      <c r="D1314" s="30">
        <v>70668</v>
      </c>
      <c r="E1314" s="30">
        <v>70634</v>
      </c>
      <c r="F1314" s="30">
        <v>69998</v>
      </c>
      <c r="G1314" s="30">
        <v>69329</v>
      </c>
      <c r="H1314" s="30">
        <v>68903</v>
      </c>
      <c r="I1314" s="30">
        <v>68808</v>
      </c>
      <c r="J1314" s="30">
        <v>68505</v>
      </c>
      <c r="K1314" s="30">
        <v>68542</v>
      </c>
      <c r="L1314" s="30">
        <v>68400</v>
      </c>
      <c r="M1314" s="30">
        <v>68133</v>
      </c>
      <c r="N1314" s="30">
        <v>68122</v>
      </c>
      <c r="O1314" s="24" t="str">
        <f t="shared" si="41"/>
        <v>Shiawassee County, Michigan</v>
      </c>
    </row>
    <row r="1315" spans="1:15" x14ac:dyDescent="0.25">
      <c r="A1315" s="35" t="s">
        <v>1791</v>
      </c>
      <c r="B1315" s="28" t="str">
        <f t="shared" si="40"/>
        <v>Tuscola</v>
      </c>
      <c r="C1315" s="30">
        <v>55729</v>
      </c>
      <c r="D1315" s="30">
        <v>55722</v>
      </c>
      <c r="E1315" s="30">
        <v>55698</v>
      </c>
      <c r="F1315" s="30">
        <v>55400</v>
      </c>
      <c r="G1315" s="30">
        <v>54708</v>
      </c>
      <c r="H1315" s="30">
        <v>54216</v>
      </c>
      <c r="I1315" s="30">
        <v>53923</v>
      </c>
      <c r="J1315" s="30">
        <v>53726</v>
      </c>
      <c r="K1315" s="30">
        <v>53276</v>
      </c>
      <c r="L1315" s="30">
        <v>52815</v>
      </c>
      <c r="M1315" s="30">
        <v>52633</v>
      </c>
      <c r="N1315" s="30">
        <v>52245</v>
      </c>
      <c r="O1315" s="24" t="str">
        <f t="shared" si="41"/>
        <v>Tuscola County, Michigan</v>
      </c>
    </row>
    <row r="1316" spans="1:15" x14ac:dyDescent="0.25">
      <c r="A1316" s="35" t="s">
        <v>1792</v>
      </c>
      <c r="B1316" s="28" t="str">
        <f t="shared" si="40"/>
        <v>Van Buren</v>
      </c>
      <c r="C1316" s="30">
        <v>76258</v>
      </c>
      <c r="D1316" s="30">
        <v>76269</v>
      </c>
      <c r="E1316" s="30">
        <v>76149</v>
      </c>
      <c r="F1316" s="30">
        <v>75936</v>
      </c>
      <c r="G1316" s="30">
        <v>75298</v>
      </c>
      <c r="H1316" s="30">
        <v>75318</v>
      </c>
      <c r="I1316" s="30">
        <v>75226</v>
      </c>
      <c r="J1316" s="30">
        <v>75060</v>
      </c>
      <c r="K1316" s="30">
        <v>75267</v>
      </c>
      <c r="L1316" s="30">
        <v>75303</v>
      </c>
      <c r="M1316" s="30">
        <v>75481</v>
      </c>
      <c r="N1316" s="30">
        <v>75677</v>
      </c>
      <c r="O1316" s="24" t="str">
        <f t="shared" si="41"/>
        <v>Van Buren County, Michigan</v>
      </c>
    </row>
    <row r="1317" spans="1:15" x14ac:dyDescent="0.25">
      <c r="A1317" s="35" t="s">
        <v>1793</v>
      </c>
      <c r="B1317" s="28" t="str">
        <f t="shared" si="40"/>
        <v>Washtenaw</v>
      </c>
      <c r="C1317" s="30">
        <v>344791</v>
      </c>
      <c r="D1317" s="30">
        <v>345163</v>
      </c>
      <c r="E1317" s="30">
        <v>345717</v>
      </c>
      <c r="F1317" s="30">
        <v>349753</v>
      </c>
      <c r="G1317" s="30">
        <v>352303</v>
      </c>
      <c r="H1317" s="30">
        <v>356040</v>
      </c>
      <c r="I1317" s="30">
        <v>360021</v>
      </c>
      <c r="J1317" s="30">
        <v>362975</v>
      </c>
      <c r="K1317" s="30">
        <v>366135</v>
      </c>
      <c r="L1317" s="30">
        <v>368807</v>
      </c>
      <c r="M1317" s="30">
        <v>369483</v>
      </c>
      <c r="N1317" s="30">
        <v>367601</v>
      </c>
      <c r="O1317" s="24" t="str">
        <f t="shared" si="41"/>
        <v>Washtenaw County, Michigan</v>
      </c>
    </row>
    <row r="1318" spans="1:15" x14ac:dyDescent="0.25">
      <c r="A1318" s="35" t="s">
        <v>1794</v>
      </c>
      <c r="B1318" s="28" t="str">
        <f t="shared" si="40"/>
        <v>Wayne</v>
      </c>
      <c r="C1318" s="30">
        <v>1820584</v>
      </c>
      <c r="D1318" s="30">
        <v>1820473</v>
      </c>
      <c r="E1318" s="30">
        <v>1815081</v>
      </c>
      <c r="F1318" s="30">
        <v>1803189</v>
      </c>
      <c r="G1318" s="30">
        <v>1795929</v>
      </c>
      <c r="H1318" s="30">
        <v>1780225</v>
      </c>
      <c r="I1318" s="30">
        <v>1771679</v>
      </c>
      <c r="J1318" s="30">
        <v>1764872</v>
      </c>
      <c r="K1318" s="30">
        <v>1760612</v>
      </c>
      <c r="L1318" s="30">
        <v>1757217</v>
      </c>
      <c r="M1318" s="30">
        <v>1754453</v>
      </c>
      <c r="N1318" s="30">
        <v>1749343</v>
      </c>
      <c r="O1318" s="24" t="str">
        <f t="shared" si="41"/>
        <v>Wayne County, Michigan</v>
      </c>
    </row>
    <row r="1319" spans="1:15" x14ac:dyDescent="0.25">
      <c r="A1319" s="35" t="s">
        <v>1795</v>
      </c>
      <c r="B1319" s="28" t="str">
        <f t="shared" si="40"/>
        <v>Wexford</v>
      </c>
      <c r="C1319" s="30">
        <v>32735</v>
      </c>
      <c r="D1319" s="30">
        <v>32735</v>
      </c>
      <c r="E1319" s="30">
        <v>32739</v>
      </c>
      <c r="F1319" s="30">
        <v>32640</v>
      </c>
      <c r="G1319" s="30">
        <v>32521</v>
      </c>
      <c r="H1319" s="30">
        <v>32479</v>
      </c>
      <c r="I1319" s="30">
        <v>32851</v>
      </c>
      <c r="J1319" s="30">
        <v>32889</v>
      </c>
      <c r="K1319" s="30">
        <v>33081</v>
      </c>
      <c r="L1319" s="30">
        <v>33234</v>
      </c>
      <c r="M1319" s="30">
        <v>33446</v>
      </c>
      <c r="N1319" s="30">
        <v>33631</v>
      </c>
      <c r="O1319" s="24" t="str">
        <f t="shared" si="41"/>
        <v>Wexford County, Michigan</v>
      </c>
    </row>
    <row r="1320" spans="1:15" x14ac:dyDescent="0.25">
      <c r="A1320" s="35" t="s">
        <v>1796</v>
      </c>
      <c r="B1320" s="28" t="str">
        <f t="shared" si="40"/>
        <v>Aitkin</v>
      </c>
      <c r="C1320" s="30">
        <v>16202</v>
      </c>
      <c r="D1320" s="30">
        <v>16192</v>
      </c>
      <c r="E1320" s="30">
        <v>16210</v>
      </c>
      <c r="F1320" s="30">
        <v>16170</v>
      </c>
      <c r="G1320" s="30">
        <v>16036</v>
      </c>
      <c r="H1320" s="30">
        <v>15872</v>
      </c>
      <c r="I1320" s="30">
        <v>15849</v>
      </c>
      <c r="J1320" s="30">
        <v>15852</v>
      </c>
      <c r="K1320" s="30">
        <v>15754</v>
      </c>
      <c r="L1320" s="30">
        <v>15792</v>
      </c>
      <c r="M1320" s="30">
        <v>15887</v>
      </c>
      <c r="N1320" s="30">
        <v>15886</v>
      </c>
      <c r="O1320" s="24" t="str">
        <f t="shared" si="41"/>
        <v>Aitkin County, Minnesota</v>
      </c>
    </row>
    <row r="1321" spans="1:15" x14ac:dyDescent="0.25">
      <c r="A1321" s="35" t="s">
        <v>1797</v>
      </c>
      <c r="B1321" s="28" t="str">
        <f t="shared" si="40"/>
        <v>Anoka</v>
      </c>
      <c r="C1321" s="30">
        <v>330844</v>
      </c>
      <c r="D1321" s="30">
        <v>330858</v>
      </c>
      <c r="E1321" s="30">
        <v>331437</v>
      </c>
      <c r="F1321" s="30">
        <v>332903</v>
      </c>
      <c r="G1321" s="30">
        <v>336091</v>
      </c>
      <c r="H1321" s="30">
        <v>339075</v>
      </c>
      <c r="I1321" s="30">
        <v>341871</v>
      </c>
      <c r="J1321" s="30">
        <v>344176</v>
      </c>
      <c r="K1321" s="30">
        <v>346526</v>
      </c>
      <c r="L1321" s="30">
        <v>350203</v>
      </c>
      <c r="M1321" s="30">
        <v>353441</v>
      </c>
      <c r="N1321" s="30">
        <v>356921</v>
      </c>
      <c r="O1321" s="24" t="str">
        <f t="shared" si="41"/>
        <v>Anoka County, Minnesota</v>
      </c>
    </row>
    <row r="1322" spans="1:15" x14ac:dyDescent="0.25">
      <c r="A1322" s="35" t="s">
        <v>1798</v>
      </c>
      <c r="B1322" s="28" t="str">
        <f t="shared" si="40"/>
        <v>Becker</v>
      </c>
      <c r="C1322" s="30">
        <v>32504</v>
      </c>
      <c r="D1322" s="30">
        <v>32506</v>
      </c>
      <c r="E1322" s="30">
        <v>32551</v>
      </c>
      <c r="F1322" s="30">
        <v>32764</v>
      </c>
      <c r="G1322" s="30">
        <v>32990</v>
      </c>
      <c r="H1322" s="30">
        <v>33181</v>
      </c>
      <c r="I1322" s="30">
        <v>33257</v>
      </c>
      <c r="J1322" s="30">
        <v>33445</v>
      </c>
      <c r="K1322" s="30">
        <v>33718</v>
      </c>
      <c r="L1322" s="30">
        <v>34082</v>
      </c>
      <c r="M1322" s="30">
        <v>34389</v>
      </c>
      <c r="N1322" s="30">
        <v>34423</v>
      </c>
      <c r="O1322" s="24" t="str">
        <f t="shared" si="41"/>
        <v>Becker County, Minnesota</v>
      </c>
    </row>
    <row r="1323" spans="1:15" x14ac:dyDescent="0.25">
      <c r="A1323" s="35" t="s">
        <v>1799</v>
      </c>
      <c r="B1323" s="28" t="str">
        <f t="shared" si="40"/>
        <v>Beltrami</v>
      </c>
      <c r="C1323" s="30">
        <v>44442</v>
      </c>
      <c r="D1323" s="30">
        <v>44443</v>
      </c>
      <c r="E1323" s="30">
        <v>44572</v>
      </c>
      <c r="F1323" s="30">
        <v>45052</v>
      </c>
      <c r="G1323" s="30">
        <v>45147</v>
      </c>
      <c r="H1323" s="30">
        <v>45487</v>
      </c>
      <c r="I1323" s="30">
        <v>45636</v>
      </c>
      <c r="J1323" s="30">
        <v>45605</v>
      </c>
      <c r="K1323" s="30">
        <v>46008</v>
      </c>
      <c r="L1323" s="30">
        <v>46477</v>
      </c>
      <c r="M1323" s="30">
        <v>46735</v>
      </c>
      <c r="N1323" s="30">
        <v>47188</v>
      </c>
      <c r="O1323" s="24" t="str">
        <f t="shared" si="41"/>
        <v>Beltrami County, Minnesota</v>
      </c>
    </row>
    <row r="1324" spans="1:15" x14ac:dyDescent="0.25">
      <c r="A1324" s="35" t="s">
        <v>1800</v>
      </c>
      <c r="B1324" s="28" t="str">
        <f t="shared" si="40"/>
        <v>Benton</v>
      </c>
      <c r="C1324" s="30">
        <v>38451</v>
      </c>
      <c r="D1324" s="30">
        <v>38451</v>
      </c>
      <c r="E1324" s="30">
        <v>38462</v>
      </c>
      <c r="F1324" s="30">
        <v>38731</v>
      </c>
      <c r="G1324" s="30">
        <v>38671</v>
      </c>
      <c r="H1324" s="30">
        <v>38975</v>
      </c>
      <c r="I1324" s="30">
        <v>39137</v>
      </c>
      <c r="J1324" s="30">
        <v>39422</v>
      </c>
      <c r="K1324" s="30">
        <v>39687</v>
      </c>
      <c r="L1324" s="30">
        <v>40135</v>
      </c>
      <c r="M1324" s="30">
        <v>40510</v>
      </c>
      <c r="N1324" s="30">
        <v>40889</v>
      </c>
      <c r="O1324" s="24" t="str">
        <f t="shared" si="41"/>
        <v>Benton County, Minnesota</v>
      </c>
    </row>
    <row r="1325" spans="1:15" x14ac:dyDescent="0.25">
      <c r="A1325" s="35" t="s">
        <v>1801</v>
      </c>
      <c r="B1325" s="28" t="str">
        <f t="shared" si="40"/>
        <v>Big Stone</v>
      </c>
      <c r="C1325" s="30">
        <v>5269</v>
      </c>
      <c r="D1325" s="30">
        <v>5268</v>
      </c>
      <c r="E1325" s="30">
        <v>5273</v>
      </c>
      <c r="F1325" s="30">
        <v>5206</v>
      </c>
      <c r="G1325" s="30">
        <v>5134</v>
      </c>
      <c r="H1325" s="30">
        <v>5069</v>
      </c>
      <c r="I1325" s="30">
        <v>5087</v>
      </c>
      <c r="J1325" s="30">
        <v>4993</v>
      </c>
      <c r="K1325" s="30">
        <v>5002</v>
      </c>
      <c r="L1325" s="30">
        <v>5004</v>
      </c>
      <c r="M1325" s="30">
        <v>4990</v>
      </c>
      <c r="N1325" s="30">
        <v>4991</v>
      </c>
      <c r="O1325" s="24" t="str">
        <f t="shared" si="41"/>
        <v>Big Stone County, Minnesota</v>
      </c>
    </row>
    <row r="1326" spans="1:15" x14ac:dyDescent="0.25">
      <c r="A1326" s="35" t="s">
        <v>1802</v>
      </c>
      <c r="B1326" s="28" t="str">
        <f t="shared" si="40"/>
        <v>Blue Earth</v>
      </c>
      <c r="C1326" s="30">
        <v>64013</v>
      </c>
      <c r="D1326" s="30">
        <v>64013</v>
      </c>
      <c r="E1326" s="30">
        <v>64086</v>
      </c>
      <c r="F1326" s="30">
        <v>64359</v>
      </c>
      <c r="G1326" s="30">
        <v>64974</v>
      </c>
      <c r="H1326" s="30">
        <v>64737</v>
      </c>
      <c r="I1326" s="30">
        <v>65300</v>
      </c>
      <c r="J1326" s="30">
        <v>65673</v>
      </c>
      <c r="K1326" s="30">
        <v>66355</v>
      </c>
      <c r="L1326" s="30">
        <v>66916</v>
      </c>
      <c r="M1326" s="30">
        <v>67378</v>
      </c>
      <c r="N1326" s="30">
        <v>67653</v>
      </c>
      <c r="O1326" s="24" t="str">
        <f t="shared" si="41"/>
        <v>Blue Earth County, Minnesota</v>
      </c>
    </row>
    <row r="1327" spans="1:15" x14ac:dyDescent="0.25">
      <c r="A1327" s="35" t="s">
        <v>1803</v>
      </c>
      <c r="B1327" s="28" t="str">
        <f t="shared" si="40"/>
        <v>Brown</v>
      </c>
      <c r="C1327" s="30">
        <v>25893</v>
      </c>
      <c r="D1327" s="30">
        <v>25893</v>
      </c>
      <c r="E1327" s="30">
        <v>25843</v>
      </c>
      <c r="F1327" s="30">
        <v>25658</v>
      </c>
      <c r="G1327" s="30">
        <v>25412</v>
      </c>
      <c r="H1327" s="30">
        <v>25267</v>
      </c>
      <c r="I1327" s="30">
        <v>25272</v>
      </c>
      <c r="J1327" s="30">
        <v>25240</v>
      </c>
      <c r="K1327" s="30">
        <v>25272</v>
      </c>
      <c r="L1327" s="30">
        <v>25172</v>
      </c>
      <c r="M1327" s="30">
        <v>25125</v>
      </c>
      <c r="N1327" s="30">
        <v>25008</v>
      </c>
      <c r="O1327" s="24" t="str">
        <f t="shared" si="41"/>
        <v>Brown County, Minnesota</v>
      </c>
    </row>
    <row r="1328" spans="1:15" x14ac:dyDescent="0.25">
      <c r="A1328" s="35" t="s">
        <v>1804</v>
      </c>
      <c r="B1328" s="28" t="str">
        <f t="shared" si="40"/>
        <v>Carlton</v>
      </c>
      <c r="C1328" s="30">
        <v>35386</v>
      </c>
      <c r="D1328" s="30">
        <v>35386</v>
      </c>
      <c r="E1328" s="30">
        <v>35416</v>
      </c>
      <c r="F1328" s="30">
        <v>35445</v>
      </c>
      <c r="G1328" s="30">
        <v>35272</v>
      </c>
      <c r="H1328" s="30">
        <v>35275</v>
      </c>
      <c r="I1328" s="30">
        <v>35365</v>
      </c>
      <c r="J1328" s="30">
        <v>35409</v>
      </c>
      <c r="K1328" s="30">
        <v>35555</v>
      </c>
      <c r="L1328" s="30">
        <v>35509</v>
      </c>
      <c r="M1328" s="30">
        <v>35822</v>
      </c>
      <c r="N1328" s="30">
        <v>35871</v>
      </c>
      <c r="O1328" s="24" t="str">
        <f t="shared" si="41"/>
        <v>Carlton County, Minnesota</v>
      </c>
    </row>
    <row r="1329" spans="1:15" x14ac:dyDescent="0.25">
      <c r="A1329" s="35" t="s">
        <v>1805</v>
      </c>
      <c r="B1329" s="28" t="str">
        <f t="shared" si="40"/>
        <v>Carver</v>
      </c>
      <c r="C1329" s="30">
        <v>91042</v>
      </c>
      <c r="D1329" s="30">
        <v>91086</v>
      </c>
      <c r="E1329" s="30">
        <v>91401</v>
      </c>
      <c r="F1329" s="30">
        <v>92817</v>
      </c>
      <c r="G1329" s="30">
        <v>93863</v>
      </c>
      <c r="H1329" s="30">
        <v>95610</v>
      </c>
      <c r="I1329" s="30">
        <v>97356</v>
      </c>
      <c r="J1329" s="30">
        <v>98630</v>
      </c>
      <c r="K1329" s="30">
        <v>100374</v>
      </c>
      <c r="L1329" s="30">
        <v>102118</v>
      </c>
      <c r="M1329" s="30">
        <v>103533</v>
      </c>
      <c r="N1329" s="30">
        <v>105089</v>
      </c>
      <c r="O1329" s="24" t="str">
        <f t="shared" si="41"/>
        <v>Carver County, Minnesota</v>
      </c>
    </row>
    <row r="1330" spans="1:15" x14ac:dyDescent="0.25">
      <c r="A1330" s="35" t="s">
        <v>1806</v>
      </c>
      <c r="B1330" s="28" t="str">
        <f t="shared" si="40"/>
        <v>Cass</v>
      </c>
      <c r="C1330" s="30">
        <v>28567</v>
      </c>
      <c r="D1330" s="30">
        <v>28565</v>
      </c>
      <c r="E1330" s="30">
        <v>28652</v>
      </c>
      <c r="F1330" s="30">
        <v>28384</v>
      </c>
      <c r="G1330" s="30">
        <v>28409</v>
      </c>
      <c r="H1330" s="30">
        <v>28485</v>
      </c>
      <c r="I1330" s="30">
        <v>28556</v>
      </c>
      <c r="J1330" s="30">
        <v>28698</v>
      </c>
      <c r="K1330" s="30">
        <v>29030</v>
      </c>
      <c r="L1330" s="30">
        <v>29324</v>
      </c>
      <c r="M1330" s="30">
        <v>29511</v>
      </c>
      <c r="N1330" s="30">
        <v>29779</v>
      </c>
      <c r="O1330" s="24" t="str">
        <f t="shared" si="41"/>
        <v>Cass County, Minnesota</v>
      </c>
    </row>
    <row r="1331" spans="1:15" x14ac:dyDescent="0.25">
      <c r="A1331" s="35" t="s">
        <v>1807</v>
      </c>
      <c r="B1331" s="28" t="str">
        <f t="shared" si="40"/>
        <v>Chippewa</v>
      </c>
      <c r="C1331" s="30">
        <v>12441</v>
      </c>
      <c r="D1331" s="30">
        <v>12443</v>
      </c>
      <c r="E1331" s="30">
        <v>12445</v>
      </c>
      <c r="F1331" s="30">
        <v>12315</v>
      </c>
      <c r="G1331" s="30">
        <v>12119</v>
      </c>
      <c r="H1331" s="30">
        <v>12071</v>
      </c>
      <c r="I1331" s="30">
        <v>12052</v>
      </c>
      <c r="J1331" s="30">
        <v>12084</v>
      </c>
      <c r="K1331" s="30">
        <v>12036</v>
      </c>
      <c r="L1331" s="30">
        <v>11944</v>
      </c>
      <c r="M1331" s="30">
        <v>11901</v>
      </c>
      <c r="N1331" s="30">
        <v>11800</v>
      </c>
      <c r="O1331" s="24" t="str">
        <f t="shared" si="41"/>
        <v>Chippewa County, Minnesota</v>
      </c>
    </row>
    <row r="1332" spans="1:15" x14ac:dyDescent="0.25">
      <c r="A1332" s="35" t="s">
        <v>1808</v>
      </c>
      <c r="B1332" s="28" t="str">
        <f t="shared" si="40"/>
        <v>Chisago</v>
      </c>
      <c r="C1332" s="30">
        <v>53887</v>
      </c>
      <c r="D1332" s="30">
        <v>53890</v>
      </c>
      <c r="E1332" s="30">
        <v>53904</v>
      </c>
      <c r="F1332" s="30">
        <v>53760</v>
      </c>
      <c r="G1332" s="30">
        <v>53465</v>
      </c>
      <c r="H1332" s="30">
        <v>53660</v>
      </c>
      <c r="I1332" s="30">
        <v>53798</v>
      </c>
      <c r="J1332" s="30">
        <v>54129</v>
      </c>
      <c r="K1332" s="30">
        <v>54638</v>
      </c>
      <c r="L1332" s="30">
        <v>55257</v>
      </c>
      <c r="M1332" s="30">
        <v>55972</v>
      </c>
      <c r="N1332" s="30">
        <v>56579</v>
      </c>
      <c r="O1332" s="24" t="str">
        <f t="shared" si="41"/>
        <v>Chisago County, Minnesota</v>
      </c>
    </row>
    <row r="1333" spans="1:15" x14ac:dyDescent="0.25">
      <c r="A1333" s="35" t="s">
        <v>1809</v>
      </c>
      <c r="B1333" s="28" t="str">
        <f t="shared" si="40"/>
        <v>Clay</v>
      </c>
      <c r="C1333" s="30">
        <v>58999</v>
      </c>
      <c r="D1333" s="30">
        <v>58999</v>
      </c>
      <c r="E1333" s="30">
        <v>59147</v>
      </c>
      <c r="F1333" s="30">
        <v>59921</v>
      </c>
      <c r="G1333" s="30">
        <v>60194</v>
      </c>
      <c r="H1333" s="30">
        <v>60523</v>
      </c>
      <c r="I1333" s="30">
        <v>61238</v>
      </c>
      <c r="J1333" s="30">
        <v>62169</v>
      </c>
      <c r="K1333" s="30">
        <v>63055</v>
      </c>
      <c r="L1333" s="30">
        <v>63766</v>
      </c>
      <c r="M1333" s="30">
        <v>64017</v>
      </c>
      <c r="N1333" s="30">
        <v>64222</v>
      </c>
      <c r="O1333" s="24" t="str">
        <f t="shared" si="41"/>
        <v>Clay County, Minnesota</v>
      </c>
    </row>
    <row r="1334" spans="1:15" x14ac:dyDescent="0.25">
      <c r="A1334" s="35" t="s">
        <v>1810</v>
      </c>
      <c r="B1334" s="28" t="str">
        <f t="shared" si="40"/>
        <v>Clearwater</v>
      </c>
      <c r="C1334" s="30">
        <v>8695</v>
      </c>
      <c r="D1334" s="30">
        <v>8695</v>
      </c>
      <c r="E1334" s="30">
        <v>8705</v>
      </c>
      <c r="F1334" s="30">
        <v>8721</v>
      </c>
      <c r="G1334" s="30">
        <v>8677</v>
      </c>
      <c r="H1334" s="30">
        <v>8783</v>
      </c>
      <c r="I1334" s="30">
        <v>8791</v>
      </c>
      <c r="J1334" s="30">
        <v>8797</v>
      </c>
      <c r="K1334" s="30">
        <v>8831</v>
      </c>
      <c r="L1334" s="30">
        <v>8845</v>
      </c>
      <c r="M1334" s="30">
        <v>8815</v>
      </c>
      <c r="N1334" s="30">
        <v>8818</v>
      </c>
      <c r="O1334" s="24" t="str">
        <f t="shared" si="41"/>
        <v>Clearwater County, Minnesota</v>
      </c>
    </row>
    <row r="1335" spans="1:15" x14ac:dyDescent="0.25">
      <c r="A1335" s="35" t="s">
        <v>1811</v>
      </c>
      <c r="B1335" s="28" t="str">
        <f t="shared" si="40"/>
        <v>Cook</v>
      </c>
      <c r="C1335" s="30">
        <v>5176</v>
      </c>
      <c r="D1335" s="30">
        <v>5176</v>
      </c>
      <c r="E1335" s="30">
        <v>5161</v>
      </c>
      <c r="F1335" s="30">
        <v>5209</v>
      </c>
      <c r="G1335" s="30">
        <v>5180</v>
      </c>
      <c r="H1335" s="30">
        <v>5186</v>
      </c>
      <c r="I1335" s="30">
        <v>5244</v>
      </c>
      <c r="J1335" s="30">
        <v>5245</v>
      </c>
      <c r="K1335" s="30">
        <v>5338</v>
      </c>
      <c r="L1335" s="30">
        <v>5411</v>
      </c>
      <c r="M1335" s="30">
        <v>5425</v>
      </c>
      <c r="N1335" s="30">
        <v>5463</v>
      </c>
      <c r="O1335" s="24" t="str">
        <f t="shared" si="41"/>
        <v>Cook County, Minnesota</v>
      </c>
    </row>
    <row r="1336" spans="1:15" x14ac:dyDescent="0.25">
      <c r="A1336" s="35" t="s">
        <v>1812</v>
      </c>
      <c r="B1336" s="28" t="str">
        <f t="shared" si="40"/>
        <v>Cottonwood</v>
      </c>
      <c r="C1336" s="30">
        <v>11687</v>
      </c>
      <c r="D1336" s="30">
        <v>11687</v>
      </c>
      <c r="E1336" s="30">
        <v>11715</v>
      </c>
      <c r="F1336" s="30">
        <v>11713</v>
      </c>
      <c r="G1336" s="30">
        <v>11574</v>
      </c>
      <c r="H1336" s="30">
        <v>11554</v>
      </c>
      <c r="I1336" s="30">
        <v>11507</v>
      </c>
      <c r="J1336" s="30">
        <v>11422</v>
      </c>
      <c r="K1336" s="30">
        <v>11367</v>
      </c>
      <c r="L1336" s="30">
        <v>11249</v>
      </c>
      <c r="M1336" s="30">
        <v>11259</v>
      </c>
      <c r="N1336" s="30">
        <v>11196</v>
      </c>
      <c r="O1336" s="24" t="str">
        <f t="shared" si="41"/>
        <v>Cottonwood County, Minnesota</v>
      </c>
    </row>
    <row r="1337" spans="1:15" x14ac:dyDescent="0.25">
      <c r="A1337" s="35" t="s">
        <v>1813</v>
      </c>
      <c r="B1337" s="28" t="str">
        <f t="shared" si="40"/>
        <v>Crow Wing</v>
      </c>
      <c r="C1337" s="30">
        <v>62500</v>
      </c>
      <c r="D1337" s="30">
        <v>62512</v>
      </c>
      <c r="E1337" s="30">
        <v>62609</v>
      </c>
      <c r="F1337" s="30">
        <v>62677</v>
      </c>
      <c r="G1337" s="30">
        <v>62810</v>
      </c>
      <c r="H1337" s="30">
        <v>62998</v>
      </c>
      <c r="I1337" s="30">
        <v>63104</v>
      </c>
      <c r="J1337" s="30">
        <v>63229</v>
      </c>
      <c r="K1337" s="30">
        <v>63729</v>
      </c>
      <c r="L1337" s="30">
        <v>64278</v>
      </c>
      <c r="M1337" s="30">
        <v>64794</v>
      </c>
      <c r="N1337" s="30">
        <v>65055</v>
      </c>
      <c r="O1337" s="24" t="str">
        <f t="shared" si="41"/>
        <v>Crow Wing County, Minnesota</v>
      </c>
    </row>
    <row r="1338" spans="1:15" x14ac:dyDescent="0.25">
      <c r="A1338" s="35" t="s">
        <v>1814</v>
      </c>
      <c r="B1338" s="28" t="str">
        <f t="shared" si="40"/>
        <v>Dakota</v>
      </c>
      <c r="C1338" s="30">
        <v>398552</v>
      </c>
      <c r="D1338" s="30">
        <v>398590</v>
      </c>
      <c r="E1338" s="30">
        <v>399211</v>
      </c>
      <c r="F1338" s="30">
        <v>401771</v>
      </c>
      <c r="G1338" s="30">
        <v>404613</v>
      </c>
      <c r="H1338" s="30">
        <v>407895</v>
      </c>
      <c r="I1338" s="30">
        <v>411725</v>
      </c>
      <c r="J1338" s="30">
        <v>414131</v>
      </c>
      <c r="K1338" s="30">
        <v>417555</v>
      </c>
      <c r="L1338" s="30">
        <v>421518</v>
      </c>
      <c r="M1338" s="30">
        <v>425040</v>
      </c>
      <c r="N1338" s="30">
        <v>429021</v>
      </c>
      <c r="O1338" s="24" t="str">
        <f t="shared" si="41"/>
        <v>Dakota County, Minnesota</v>
      </c>
    </row>
    <row r="1339" spans="1:15" x14ac:dyDescent="0.25">
      <c r="A1339" s="35" t="s">
        <v>1815</v>
      </c>
      <c r="B1339" s="28" t="str">
        <f t="shared" si="40"/>
        <v>Dodge</v>
      </c>
      <c r="C1339" s="30">
        <v>20087</v>
      </c>
      <c r="D1339" s="30">
        <v>20087</v>
      </c>
      <c r="E1339" s="30">
        <v>20154</v>
      </c>
      <c r="F1339" s="30">
        <v>20200</v>
      </c>
      <c r="G1339" s="30">
        <v>20267</v>
      </c>
      <c r="H1339" s="30">
        <v>20334</v>
      </c>
      <c r="I1339" s="30">
        <v>20384</v>
      </c>
      <c r="J1339" s="30">
        <v>20410</v>
      </c>
      <c r="K1339" s="30">
        <v>20540</v>
      </c>
      <c r="L1339" s="30">
        <v>20696</v>
      </c>
      <c r="M1339" s="30">
        <v>20767</v>
      </c>
      <c r="N1339" s="30">
        <v>20934</v>
      </c>
      <c r="O1339" s="24" t="str">
        <f t="shared" si="41"/>
        <v>Dodge County, Minnesota</v>
      </c>
    </row>
    <row r="1340" spans="1:15" x14ac:dyDescent="0.25">
      <c r="A1340" s="35" t="s">
        <v>1816</v>
      </c>
      <c r="B1340" s="28" t="str">
        <f t="shared" si="40"/>
        <v>Douglas</v>
      </c>
      <c r="C1340" s="30">
        <v>36009</v>
      </c>
      <c r="D1340" s="30">
        <v>36011</v>
      </c>
      <c r="E1340" s="30">
        <v>35989</v>
      </c>
      <c r="F1340" s="30">
        <v>36181</v>
      </c>
      <c r="G1340" s="30">
        <v>36292</v>
      </c>
      <c r="H1340" s="30">
        <v>36349</v>
      </c>
      <c r="I1340" s="30">
        <v>36576</v>
      </c>
      <c r="J1340" s="30">
        <v>36790</v>
      </c>
      <c r="K1340" s="30">
        <v>37154</v>
      </c>
      <c r="L1340" s="30">
        <v>37520</v>
      </c>
      <c r="M1340" s="30">
        <v>37960</v>
      </c>
      <c r="N1340" s="30">
        <v>38141</v>
      </c>
      <c r="O1340" s="24" t="str">
        <f t="shared" si="41"/>
        <v>Douglas County, Minnesota</v>
      </c>
    </row>
    <row r="1341" spans="1:15" x14ac:dyDescent="0.25">
      <c r="A1341" s="35" t="s">
        <v>1817</v>
      </c>
      <c r="B1341" s="28" t="str">
        <f t="shared" si="40"/>
        <v>Faribault</v>
      </c>
      <c r="C1341" s="30">
        <v>14553</v>
      </c>
      <c r="D1341" s="30">
        <v>14553</v>
      </c>
      <c r="E1341" s="30">
        <v>14480</v>
      </c>
      <c r="F1341" s="30">
        <v>14461</v>
      </c>
      <c r="G1341" s="30">
        <v>14176</v>
      </c>
      <c r="H1341" s="30">
        <v>14099</v>
      </c>
      <c r="I1341" s="30">
        <v>14105</v>
      </c>
      <c r="J1341" s="30">
        <v>13981</v>
      </c>
      <c r="K1341" s="30">
        <v>13867</v>
      </c>
      <c r="L1341" s="30">
        <v>13768</v>
      </c>
      <c r="M1341" s="30">
        <v>13736</v>
      </c>
      <c r="N1341" s="30">
        <v>13653</v>
      </c>
      <c r="O1341" s="24" t="str">
        <f t="shared" si="41"/>
        <v>Faribault County, Minnesota</v>
      </c>
    </row>
    <row r="1342" spans="1:15" x14ac:dyDescent="0.25">
      <c r="A1342" s="35" t="s">
        <v>1818</v>
      </c>
      <c r="B1342" s="28" t="str">
        <f t="shared" si="40"/>
        <v>Fillmore</v>
      </c>
      <c r="C1342" s="30">
        <v>20866</v>
      </c>
      <c r="D1342" s="30">
        <v>20868</v>
      </c>
      <c r="E1342" s="30">
        <v>20862</v>
      </c>
      <c r="F1342" s="30">
        <v>20834</v>
      </c>
      <c r="G1342" s="30">
        <v>20831</v>
      </c>
      <c r="H1342" s="30">
        <v>20751</v>
      </c>
      <c r="I1342" s="30">
        <v>20771</v>
      </c>
      <c r="J1342" s="30">
        <v>20739</v>
      </c>
      <c r="K1342" s="30">
        <v>20916</v>
      </c>
      <c r="L1342" s="30">
        <v>20980</v>
      </c>
      <c r="M1342" s="30">
        <v>21044</v>
      </c>
      <c r="N1342" s="30">
        <v>21067</v>
      </c>
      <c r="O1342" s="24" t="str">
        <f t="shared" si="41"/>
        <v>Fillmore County, Minnesota</v>
      </c>
    </row>
    <row r="1343" spans="1:15" x14ac:dyDescent="0.25">
      <c r="A1343" s="35" t="s">
        <v>1819</v>
      </c>
      <c r="B1343" s="28" t="str">
        <f t="shared" si="40"/>
        <v>Freeborn</v>
      </c>
      <c r="C1343" s="30">
        <v>31255</v>
      </c>
      <c r="D1343" s="30">
        <v>31254</v>
      </c>
      <c r="E1343" s="30">
        <v>31204</v>
      </c>
      <c r="F1343" s="30">
        <v>31069</v>
      </c>
      <c r="G1343" s="30">
        <v>31026</v>
      </c>
      <c r="H1343" s="30">
        <v>30923</v>
      </c>
      <c r="I1343" s="30">
        <v>30742</v>
      </c>
      <c r="J1343" s="30">
        <v>30522</v>
      </c>
      <c r="K1343" s="30">
        <v>30449</v>
      </c>
      <c r="L1343" s="30">
        <v>30582</v>
      </c>
      <c r="M1343" s="30">
        <v>30480</v>
      </c>
      <c r="N1343" s="30">
        <v>30281</v>
      </c>
      <c r="O1343" s="24" t="str">
        <f t="shared" si="41"/>
        <v>Freeborn County, Minnesota</v>
      </c>
    </row>
    <row r="1344" spans="1:15" x14ac:dyDescent="0.25">
      <c r="A1344" s="35" t="s">
        <v>1820</v>
      </c>
      <c r="B1344" s="28" t="str">
        <f t="shared" si="40"/>
        <v>Goodhue</v>
      </c>
      <c r="C1344" s="30">
        <v>46183</v>
      </c>
      <c r="D1344" s="30">
        <v>46184</v>
      </c>
      <c r="E1344" s="30">
        <v>46210</v>
      </c>
      <c r="F1344" s="30">
        <v>46099</v>
      </c>
      <c r="G1344" s="30">
        <v>46140</v>
      </c>
      <c r="H1344" s="30">
        <v>46106</v>
      </c>
      <c r="I1344" s="30">
        <v>46016</v>
      </c>
      <c r="J1344" s="30">
        <v>46060</v>
      </c>
      <c r="K1344" s="30">
        <v>46226</v>
      </c>
      <c r="L1344" s="30">
        <v>46307</v>
      </c>
      <c r="M1344" s="30">
        <v>46299</v>
      </c>
      <c r="N1344" s="30">
        <v>46340</v>
      </c>
      <c r="O1344" s="24" t="str">
        <f t="shared" si="41"/>
        <v>Goodhue County, Minnesota</v>
      </c>
    </row>
    <row r="1345" spans="1:15" x14ac:dyDescent="0.25">
      <c r="A1345" s="35" t="s">
        <v>1821</v>
      </c>
      <c r="B1345" s="28" t="str">
        <f t="shared" si="40"/>
        <v>Grant</v>
      </c>
      <c r="C1345" s="30">
        <v>6018</v>
      </c>
      <c r="D1345" s="30">
        <v>6018</v>
      </c>
      <c r="E1345" s="30">
        <v>6002</v>
      </c>
      <c r="F1345" s="30">
        <v>5993</v>
      </c>
      <c r="G1345" s="30">
        <v>5928</v>
      </c>
      <c r="H1345" s="30">
        <v>5956</v>
      </c>
      <c r="I1345" s="30">
        <v>5923</v>
      </c>
      <c r="J1345" s="30">
        <v>5867</v>
      </c>
      <c r="K1345" s="30">
        <v>5930</v>
      </c>
      <c r="L1345" s="30">
        <v>5916</v>
      </c>
      <c r="M1345" s="30">
        <v>5989</v>
      </c>
      <c r="N1345" s="30">
        <v>5972</v>
      </c>
      <c r="O1345" s="24" t="str">
        <f t="shared" si="41"/>
        <v>Grant County, Minnesota</v>
      </c>
    </row>
    <row r="1346" spans="1:15" x14ac:dyDescent="0.25">
      <c r="A1346" s="35" t="s">
        <v>1822</v>
      </c>
      <c r="B1346" s="28" t="str">
        <f t="shared" si="40"/>
        <v>Hennepin</v>
      </c>
      <c r="C1346" s="30">
        <v>1152425</v>
      </c>
      <c r="D1346" s="30">
        <v>1152385</v>
      </c>
      <c r="E1346" s="30">
        <v>1154188</v>
      </c>
      <c r="F1346" s="30">
        <v>1169347</v>
      </c>
      <c r="G1346" s="30">
        <v>1184200</v>
      </c>
      <c r="H1346" s="30">
        <v>1198069</v>
      </c>
      <c r="I1346" s="30">
        <v>1211080</v>
      </c>
      <c r="J1346" s="30">
        <v>1222200</v>
      </c>
      <c r="K1346" s="30">
        <v>1235371</v>
      </c>
      <c r="L1346" s="30">
        <v>1247847</v>
      </c>
      <c r="M1346" s="30">
        <v>1257925</v>
      </c>
      <c r="N1346" s="30">
        <v>1265843</v>
      </c>
      <c r="O1346" s="24" t="str">
        <f t="shared" si="41"/>
        <v>Hennepin County, Minnesota</v>
      </c>
    </row>
    <row r="1347" spans="1:15" x14ac:dyDescent="0.25">
      <c r="A1347" s="35" t="s">
        <v>1823</v>
      </c>
      <c r="B1347" s="28" t="str">
        <f t="shared" si="40"/>
        <v>Houston</v>
      </c>
      <c r="C1347" s="30">
        <v>19027</v>
      </c>
      <c r="D1347" s="30">
        <v>19020</v>
      </c>
      <c r="E1347" s="30">
        <v>19025</v>
      </c>
      <c r="F1347" s="30">
        <v>18876</v>
      </c>
      <c r="G1347" s="30">
        <v>18764</v>
      </c>
      <c r="H1347" s="30">
        <v>18774</v>
      </c>
      <c r="I1347" s="30">
        <v>18700</v>
      </c>
      <c r="J1347" s="30">
        <v>18686</v>
      </c>
      <c r="K1347" s="30">
        <v>18703</v>
      </c>
      <c r="L1347" s="30">
        <v>18677</v>
      </c>
      <c r="M1347" s="30">
        <v>18572</v>
      </c>
      <c r="N1347" s="30">
        <v>18600</v>
      </c>
      <c r="O1347" s="24" t="str">
        <f t="shared" si="41"/>
        <v>Houston County, Minnesota</v>
      </c>
    </row>
    <row r="1348" spans="1:15" x14ac:dyDescent="0.25">
      <c r="A1348" s="35" t="s">
        <v>1824</v>
      </c>
      <c r="B1348" s="28" t="str">
        <f t="shared" si="40"/>
        <v>Hubbard</v>
      </c>
      <c r="C1348" s="30">
        <v>20428</v>
      </c>
      <c r="D1348" s="30">
        <v>20427</v>
      </c>
      <c r="E1348" s="30">
        <v>20427</v>
      </c>
      <c r="F1348" s="30">
        <v>20516</v>
      </c>
      <c r="G1348" s="30">
        <v>20454</v>
      </c>
      <c r="H1348" s="30">
        <v>20697</v>
      </c>
      <c r="I1348" s="30">
        <v>20634</v>
      </c>
      <c r="J1348" s="30">
        <v>20646</v>
      </c>
      <c r="K1348" s="30">
        <v>20701</v>
      </c>
      <c r="L1348" s="30">
        <v>20965</v>
      </c>
      <c r="M1348" s="30">
        <v>21291</v>
      </c>
      <c r="N1348" s="30">
        <v>21491</v>
      </c>
      <c r="O1348" s="24" t="str">
        <f t="shared" si="41"/>
        <v>Hubbard County, Minnesota</v>
      </c>
    </row>
    <row r="1349" spans="1:15" x14ac:dyDescent="0.25">
      <c r="A1349" s="35" t="s">
        <v>1825</v>
      </c>
      <c r="B1349" s="28" t="str">
        <f t="shared" si="40"/>
        <v>Isanti</v>
      </c>
      <c r="C1349" s="30">
        <v>37816</v>
      </c>
      <c r="D1349" s="30">
        <v>37810</v>
      </c>
      <c r="E1349" s="30">
        <v>37857</v>
      </c>
      <c r="F1349" s="30">
        <v>38200</v>
      </c>
      <c r="G1349" s="30">
        <v>38149</v>
      </c>
      <c r="H1349" s="30">
        <v>38064</v>
      </c>
      <c r="I1349" s="30">
        <v>38273</v>
      </c>
      <c r="J1349" s="30">
        <v>38281</v>
      </c>
      <c r="K1349" s="30">
        <v>38778</v>
      </c>
      <c r="L1349" s="30">
        <v>39543</v>
      </c>
      <c r="M1349" s="30">
        <v>39950</v>
      </c>
      <c r="N1349" s="30">
        <v>40596</v>
      </c>
      <c r="O1349" s="24" t="str">
        <f t="shared" si="41"/>
        <v>Isanti County, Minnesota</v>
      </c>
    </row>
    <row r="1350" spans="1:15" x14ac:dyDescent="0.25">
      <c r="A1350" s="35" t="s">
        <v>1826</v>
      </c>
      <c r="B1350" s="28" t="str">
        <f t="shared" si="40"/>
        <v>Itasca</v>
      </c>
      <c r="C1350" s="30">
        <v>45058</v>
      </c>
      <c r="D1350" s="30">
        <v>45058</v>
      </c>
      <c r="E1350" s="30">
        <v>45037</v>
      </c>
      <c r="F1350" s="30">
        <v>45105</v>
      </c>
      <c r="G1350" s="30">
        <v>45152</v>
      </c>
      <c r="H1350" s="30">
        <v>45335</v>
      </c>
      <c r="I1350" s="30">
        <v>45328</v>
      </c>
      <c r="J1350" s="30">
        <v>45267</v>
      </c>
      <c r="K1350" s="30">
        <v>45168</v>
      </c>
      <c r="L1350" s="30">
        <v>45088</v>
      </c>
      <c r="M1350" s="30">
        <v>45051</v>
      </c>
      <c r="N1350" s="30">
        <v>45130</v>
      </c>
      <c r="O1350" s="24" t="str">
        <f t="shared" si="41"/>
        <v>Itasca County, Minnesota</v>
      </c>
    </row>
    <row r="1351" spans="1:15" x14ac:dyDescent="0.25">
      <c r="A1351" s="35" t="s">
        <v>1827</v>
      </c>
      <c r="B1351" s="28" t="str">
        <f t="shared" ref="B1351:B1414" si="42">LEFT(A1351,FIND("County",A1351,1)-2)</f>
        <v>Jackson</v>
      </c>
      <c r="C1351" s="30">
        <v>10266</v>
      </c>
      <c r="D1351" s="30">
        <v>10266</v>
      </c>
      <c r="E1351" s="30">
        <v>10271</v>
      </c>
      <c r="F1351" s="30">
        <v>10195</v>
      </c>
      <c r="G1351" s="30">
        <v>10308</v>
      </c>
      <c r="H1351" s="30">
        <v>10281</v>
      </c>
      <c r="I1351" s="30">
        <v>10272</v>
      </c>
      <c r="J1351" s="30">
        <v>10096</v>
      </c>
      <c r="K1351" s="30">
        <v>9968</v>
      </c>
      <c r="L1351" s="30">
        <v>9965</v>
      </c>
      <c r="M1351" s="30">
        <v>9895</v>
      </c>
      <c r="N1351" s="30">
        <v>9846</v>
      </c>
      <c r="O1351" s="24" t="str">
        <f t="shared" ref="O1351:O1414" si="43">A1351</f>
        <v>Jackson County, Minnesota</v>
      </c>
    </row>
    <row r="1352" spans="1:15" x14ac:dyDescent="0.25">
      <c r="A1352" s="35" t="s">
        <v>1828</v>
      </c>
      <c r="B1352" s="28" t="str">
        <f t="shared" si="42"/>
        <v>Kanabec</v>
      </c>
      <c r="C1352" s="30">
        <v>16239</v>
      </c>
      <c r="D1352" s="30">
        <v>16244</v>
      </c>
      <c r="E1352" s="30">
        <v>16216</v>
      </c>
      <c r="F1352" s="30">
        <v>16225</v>
      </c>
      <c r="G1352" s="30">
        <v>15972</v>
      </c>
      <c r="H1352" s="30">
        <v>16008</v>
      </c>
      <c r="I1352" s="30">
        <v>15970</v>
      </c>
      <c r="J1352" s="30">
        <v>15888</v>
      </c>
      <c r="K1352" s="30">
        <v>15912</v>
      </c>
      <c r="L1352" s="30">
        <v>16060</v>
      </c>
      <c r="M1352" s="30">
        <v>16246</v>
      </c>
      <c r="N1352" s="30">
        <v>16337</v>
      </c>
      <c r="O1352" s="24" t="str">
        <f t="shared" si="43"/>
        <v>Kanabec County, Minnesota</v>
      </c>
    </row>
    <row r="1353" spans="1:15" x14ac:dyDescent="0.25">
      <c r="A1353" s="35" t="s">
        <v>1829</v>
      </c>
      <c r="B1353" s="28" t="str">
        <f t="shared" si="42"/>
        <v>Kandiyohi</v>
      </c>
      <c r="C1353" s="30">
        <v>42239</v>
      </c>
      <c r="D1353" s="30">
        <v>42239</v>
      </c>
      <c r="E1353" s="30">
        <v>42233</v>
      </c>
      <c r="F1353" s="30">
        <v>42202</v>
      </c>
      <c r="G1353" s="30">
        <v>42373</v>
      </c>
      <c r="H1353" s="30">
        <v>42450</v>
      </c>
      <c r="I1353" s="30">
        <v>42482</v>
      </c>
      <c r="J1353" s="30">
        <v>42623</v>
      </c>
      <c r="K1353" s="30">
        <v>42697</v>
      </c>
      <c r="L1353" s="30">
        <v>42778</v>
      </c>
      <c r="M1353" s="30">
        <v>42910</v>
      </c>
      <c r="N1353" s="30">
        <v>43199</v>
      </c>
      <c r="O1353" s="24" t="str">
        <f t="shared" si="43"/>
        <v>Kandiyohi County, Minnesota</v>
      </c>
    </row>
    <row r="1354" spans="1:15" x14ac:dyDescent="0.25">
      <c r="A1354" s="35" t="s">
        <v>1830</v>
      </c>
      <c r="B1354" s="28" t="str">
        <f t="shared" si="42"/>
        <v>Kittson</v>
      </c>
      <c r="C1354" s="30">
        <v>4552</v>
      </c>
      <c r="D1354" s="30">
        <v>4552</v>
      </c>
      <c r="E1354" s="30">
        <v>4553</v>
      </c>
      <c r="F1354" s="30">
        <v>4540</v>
      </c>
      <c r="G1354" s="30">
        <v>4497</v>
      </c>
      <c r="H1354" s="30">
        <v>4498</v>
      </c>
      <c r="I1354" s="30">
        <v>4455</v>
      </c>
      <c r="J1354" s="30">
        <v>4409</v>
      </c>
      <c r="K1354" s="30">
        <v>4320</v>
      </c>
      <c r="L1354" s="30">
        <v>4261</v>
      </c>
      <c r="M1354" s="30">
        <v>4268</v>
      </c>
      <c r="N1354" s="30">
        <v>4298</v>
      </c>
      <c r="O1354" s="24" t="str">
        <f t="shared" si="43"/>
        <v>Kittson County, Minnesota</v>
      </c>
    </row>
    <row r="1355" spans="1:15" x14ac:dyDescent="0.25">
      <c r="A1355" s="35" t="s">
        <v>1831</v>
      </c>
      <c r="B1355" s="28" t="str">
        <f t="shared" si="42"/>
        <v>Koochiching</v>
      </c>
      <c r="C1355" s="30">
        <v>13311</v>
      </c>
      <c r="D1355" s="30">
        <v>13314</v>
      </c>
      <c r="E1355" s="30">
        <v>13315</v>
      </c>
      <c r="F1355" s="30">
        <v>13235</v>
      </c>
      <c r="G1355" s="30">
        <v>13163</v>
      </c>
      <c r="H1355" s="30">
        <v>13088</v>
      </c>
      <c r="I1355" s="30">
        <v>12847</v>
      </c>
      <c r="J1355" s="30">
        <v>12797</v>
      </c>
      <c r="K1355" s="30">
        <v>12610</v>
      </c>
      <c r="L1355" s="30">
        <v>12506</v>
      </c>
      <c r="M1355" s="30">
        <v>12431</v>
      </c>
      <c r="N1355" s="30">
        <v>12229</v>
      </c>
      <c r="O1355" s="24" t="str">
        <f t="shared" si="43"/>
        <v>Koochiching County, Minnesota</v>
      </c>
    </row>
    <row r="1356" spans="1:15" x14ac:dyDescent="0.25">
      <c r="A1356" s="35" t="s">
        <v>1832</v>
      </c>
      <c r="B1356" s="28" t="str">
        <f t="shared" si="42"/>
        <v>Lac qui Parle</v>
      </c>
      <c r="C1356" s="30">
        <v>7259</v>
      </c>
      <c r="D1356" s="30">
        <v>7258</v>
      </c>
      <c r="E1356" s="30">
        <v>7245</v>
      </c>
      <c r="F1356" s="30">
        <v>7220</v>
      </c>
      <c r="G1356" s="30">
        <v>7121</v>
      </c>
      <c r="H1356" s="30">
        <v>7005</v>
      </c>
      <c r="I1356" s="30">
        <v>6902</v>
      </c>
      <c r="J1356" s="30">
        <v>6877</v>
      </c>
      <c r="K1356" s="30">
        <v>6746</v>
      </c>
      <c r="L1356" s="30">
        <v>6683</v>
      </c>
      <c r="M1356" s="30">
        <v>6664</v>
      </c>
      <c r="N1356" s="30">
        <v>6623</v>
      </c>
      <c r="O1356" s="24" t="str">
        <f t="shared" si="43"/>
        <v>Lac qui Parle County, Minnesota</v>
      </c>
    </row>
    <row r="1357" spans="1:15" x14ac:dyDescent="0.25">
      <c r="A1357" s="35" t="s">
        <v>1833</v>
      </c>
      <c r="B1357" s="28" t="str">
        <f t="shared" si="42"/>
        <v>Lake</v>
      </c>
      <c r="C1357" s="30">
        <v>10866</v>
      </c>
      <c r="D1357" s="30">
        <v>10862</v>
      </c>
      <c r="E1357" s="30">
        <v>10854</v>
      </c>
      <c r="F1357" s="30">
        <v>10779</v>
      </c>
      <c r="G1357" s="30">
        <v>10792</v>
      </c>
      <c r="H1357" s="30">
        <v>10706</v>
      </c>
      <c r="I1357" s="30">
        <v>10602</v>
      </c>
      <c r="J1357" s="30">
        <v>10541</v>
      </c>
      <c r="K1357" s="30">
        <v>10514</v>
      </c>
      <c r="L1357" s="30">
        <v>10493</v>
      </c>
      <c r="M1357" s="30">
        <v>10610</v>
      </c>
      <c r="N1357" s="30">
        <v>10641</v>
      </c>
      <c r="O1357" s="24" t="str">
        <f t="shared" si="43"/>
        <v>Lake County, Minnesota</v>
      </c>
    </row>
    <row r="1358" spans="1:15" x14ac:dyDescent="0.25">
      <c r="A1358" s="35" t="s">
        <v>1834</v>
      </c>
      <c r="B1358" s="28" t="str">
        <f t="shared" si="42"/>
        <v>Lake of the Woods</v>
      </c>
      <c r="C1358" s="30">
        <v>4045</v>
      </c>
      <c r="D1358" s="30">
        <v>4045</v>
      </c>
      <c r="E1358" s="30">
        <v>4035</v>
      </c>
      <c r="F1358" s="30">
        <v>4011</v>
      </c>
      <c r="G1358" s="30">
        <v>3947</v>
      </c>
      <c r="H1358" s="30">
        <v>3910</v>
      </c>
      <c r="I1358" s="30">
        <v>3889</v>
      </c>
      <c r="J1358" s="30">
        <v>3868</v>
      </c>
      <c r="K1358" s="30">
        <v>3781</v>
      </c>
      <c r="L1358" s="30">
        <v>3727</v>
      </c>
      <c r="M1358" s="30">
        <v>3737</v>
      </c>
      <c r="N1358" s="30">
        <v>3740</v>
      </c>
      <c r="O1358" s="24" t="str">
        <f t="shared" si="43"/>
        <v>Lake of the Woods County, Minnesota</v>
      </c>
    </row>
    <row r="1359" spans="1:15" x14ac:dyDescent="0.25">
      <c r="A1359" s="35" t="s">
        <v>1835</v>
      </c>
      <c r="B1359" s="28" t="str">
        <f t="shared" si="42"/>
        <v>Le Sueur</v>
      </c>
      <c r="C1359" s="30">
        <v>27703</v>
      </c>
      <c r="D1359" s="30">
        <v>27701</v>
      </c>
      <c r="E1359" s="30">
        <v>27731</v>
      </c>
      <c r="F1359" s="30">
        <v>27782</v>
      </c>
      <c r="G1359" s="30">
        <v>27661</v>
      </c>
      <c r="H1359" s="30">
        <v>27705</v>
      </c>
      <c r="I1359" s="30">
        <v>27814</v>
      </c>
      <c r="J1359" s="30">
        <v>27755</v>
      </c>
      <c r="K1359" s="30">
        <v>27772</v>
      </c>
      <c r="L1359" s="30">
        <v>28210</v>
      </c>
      <c r="M1359" s="30">
        <v>28588</v>
      </c>
      <c r="N1359" s="30">
        <v>28887</v>
      </c>
      <c r="O1359" s="24" t="str">
        <f t="shared" si="43"/>
        <v>Le Sueur County, Minnesota</v>
      </c>
    </row>
    <row r="1360" spans="1:15" x14ac:dyDescent="0.25">
      <c r="A1360" s="35" t="s">
        <v>1836</v>
      </c>
      <c r="B1360" s="28" t="str">
        <f t="shared" si="42"/>
        <v>Lincoln</v>
      </c>
      <c r="C1360" s="30">
        <v>5896</v>
      </c>
      <c r="D1360" s="30">
        <v>5895</v>
      </c>
      <c r="E1360" s="30">
        <v>5885</v>
      </c>
      <c r="F1360" s="30">
        <v>5808</v>
      </c>
      <c r="G1360" s="30">
        <v>5754</v>
      </c>
      <c r="H1360" s="30">
        <v>5755</v>
      </c>
      <c r="I1360" s="30">
        <v>5765</v>
      </c>
      <c r="J1360" s="30">
        <v>5710</v>
      </c>
      <c r="K1360" s="30">
        <v>5703</v>
      </c>
      <c r="L1360" s="30">
        <v>5665</v>
      </c>
      <c r="M1360" s="30">
        <v>5668</v>
      </c>
      <c r="N1360" s="30">
        <v>5639</v>
      </c>
      <c r="O1360" s="24" t="str">
        <f t="shared" si="43"/>
        <v>Lincoln County, Minnesota</v>
      </c>
    </row>
    <row r="1361" spans="1:15" x14ac:dyDescent="0.25">
      <c r="A1361" s="35" t="s">
        <v>1837</v>
      </c>
      <c r="B1361" s="28" t="str">
        <f t="shared" si="42"/>
        <v>Lyon</v>
      </c>
      <c r="C1361" s="30">
        <v>25857</v>
      </c>
      <c r="D1361" s="30">
        <v>25858</v>
      </c>
      <c r="E1361" s="30">
        <v>25849</v>
      </c>
      <c r="F1361" s="30">
        <v>25828</v>
      </c>
      <c r="G1361" s="30">
        <v>25633</v>
      </c>
      <c r="H1361" s="30">
        <v>25722</v>
      </c>
      <c r="I1361" s="30">
        <v>25778</v>
      </c>
      <c r="J1361" s="30">
        <v>25826</v>
      </c>
      <c r="K1361" s="30">
        <v>25971</v>
      </c>
      <c r="L1361" s="30">
        <v>25929</v>
      </c>
      <c r="M1361" s="30">
        <v>25583</v>
      </c>
      <c r="N1361" s="30">
        <v>25474</v>
      </c>
      <c r="O1361" s="24" t="str">
        <f t="shared" si="43"/>
        <v>Lyon County, Minnesota</v>
      </c>
    </row>
    <row r="1362" spans="1:15" x14ac:dyDescent="0.25">
      <c r="A1362" s="35" t="s">
        <v>1838</v>
      </c>
      <c r="B1362" s="28" t="str">
        <f t="shared" si="42"/>
        <v>McLeod</v>
      </c>
      <c r="C1362" s="30">
        <v>36651</v>
      </c>
      <c r="D1362" s="30">
        <v>36645</v>
      </c>
      <c r="E1362" s="30">
        <v>36589</v>
      </c>
      <c r="F1362" s="30">
        <v>36343</v>
      </c>
      <c r="G1362" s="30">
        <v>35933</v>
      </c>
      <c r="H1362" s="30">
        <v>35900</v>
      </c>
      <c r="I1362" s="30">
        <v>35775</v>
      </c>
      <c r="J1362" s="30">
        <v>35814</v>
      </c>
      <c r="K1362" s="30">
        <v>35749</v>
      </c>
      <c r="L1362" s="30">
        <v>35876</v>
      </c>
      <c r="M1362" s="30">
        <v>35827</v>
      </c>
      <c r="N1362" s="30">
        <v>35893</v>
      </c>
      <c r="O1362" s="24" t="str">
        <f t="shared" si="43"/>
        <v>McLeod County, Minnesota</v>
      </c>
    </row>
    <row r="1363" spans="1:15" x14ac:dyDescent="0.25">
      <c r="A1363" s="35" t="s">
        <v>1839</v>
      </c>
      <c r="B1363" s="28" t="str">
        <f t="shared" si="42"/>
        <v>Mahnomen</v>
      </c>
      <c r="C1363" s="30">
        <v>5413</v>
      </c>
      <c r="D1363" s="30">
        <v>5413</v>
      </c>
      <c r="E1363" s="30">
        <v>5440</v>
      </c>
      <c r="F1363" s="30">
        <v>5473</v>
      </c>
      <c r="G1363" s="30">
        <v>5505</v>
      </c>
      <c r="H1363" s="30">
        <v>5468</v>
      </c>
      <c r="I1363" s="30">
        <v>5499</v>
      </c>
      <c r="J1363" s="30">
        <v>5432</v>
      </c>
      <c r="K1363" s="30">
        <v>5484</v>
      </c>
      <c r="L1363" s="30">
        <v>5567</v>
      </c>
      <c r="M1363" s="30">
        <v>5497</v>
      </c>
      <c r="N1363" s="30">
        <v>5527</v>
      </c>
      <c r="O1363" s="24" t="str">
        <f t="shared" si="43"/>
        <v>Mahnomen County, Minnesota</v>
      </c>
    </row>
    <row r="1364" spans="1:15" x14ac:dyDescent="0.25">
      <c r="A1364" s="35" t="s">
        <v>1840</v>
      </c>
      <c r="B1364" s="28" t="str">
        <f t="shared" si="42"/>
        <v>Marshall</v>
      </c>
      <c r="C1364" s="30">
        <v>9439</v>
      </c>
      <c r="D1364" s="30">
        <v>9439</v>
      </c>
      <c r="E1364" s="30">
        <v>9441</v>
      </c>
      <c r="F1364" s="30">
        <v>9459</v>
      </c>
      <c r="G1364" s="30">
        <v>9471</v>
      </c>
      <c r="H1364" s="30">
        <v>9430</v>
      </c>
      <c r="I1364" s="30">
        <v>9420</v>
      </c>
      <c r="J1364" s="30">
        <v>9409</v>
      </c>
      <c r="K1364" s="30">
        <v>9369</v>
      </c>
      <c r="L1364" s="30">
        <v>9361</v>
      </c>
      <c r="M1364" s="30">
        <v>9383</v>
      </c>
      <c r="N1364" s="30">
        <v>9336</v>
      </c>
      <c r="O1364" s="24" t="str">
        <f t="shared" si="43"/>
        <v>Marshall County, Minnesota</v>
      </c>
    </row>
    <row r="1365" spans="1:15" x14ac:dyDescent="0.25">
      <c r="A1365" s="35" t="s">
        <v>1841</v>
      </c>
      <c r="B1365" s="28" t="str">
        <f t="shared" si="42"/>
        <v>Martin</v>
      </c>
      <c r="C1365" s="30">
        <v>20840</v>
      </c>
      <c r="D1365" s="30">
        <v>20843</v>
      </c>
      <c r="E1365" s="30">
        <v>20805</v>
      </c>
      <c r="F1365" s="30">
        <v>20624</v>
      </c>
      <c r="G1365" s="30">
        <v>20459</v>
      </c>
      <c r="H1365" s="30">
        <v>20422</v>
      </c>
      <c r="I1365" s="30">
        <v>20244</v>
      </c>
      <c r="J1365" s="30">
        <v>20036</v>
      </c>
      <c r="K1365" s="30">
        <v>19904</v>
      </c>
      <c r="L1365" s="30">
        <v>19866</v>
      </c>
      <c r="M1365" s="30">
        <v>19772</v>
      </c>
      <c r="N1365" s="30">
        <v>19683</v>
      </c>
      <c r="O1365" s="24" t="str">
        <f t="shared" si="43"/>
        <v>Martin County, Minnesota</v>
      </c>
    </row>
    <row r="1366" spans="1:15" x14ac:dyDescent="0.25">
      <c r="A1366" s="35" t="s">
        <v>1842</v>
      </c>
      <c r="B1366" s="28" t="str">
        <f t="shared" si="42"/>
        <v>Meeker</v>
      </c>
      <c r="C1366" s="30">
        <v>23300</v>
      </c>
      <c r="D1366" s="30">
        <v>23298</v>
      </c>
      <c r="E1366" s="30">
        <v>23329</v>
      </c>
      <c r="F1366" s="30">
        <v>23192</v>
      </c>
      <c r="G1366" s="30">
        <v>23037</v>
      </c>
      <c r="H1366" s="30">
        <v>23087</v>
      </c>
      <c r="I1366" s="30">
        <v>23126</v>
      </c>
      <c r="J1366" s="30">
        <v>23045</v>
      </c>
      <c r="K1366" s="30">
        <v>23064</v>
      </c>
      <c r="L1366" s="30">
        <v>23047</v>
      </c>
      <c r="M1366" s="30">
        <v>23145</v>
      </c>
      <c r="N1366" s="30">
        <v>23222</v>
      </c>
      <c r="O1366" s="24" t="str">
        <f t="shared" si="43"/>
        <v>Meeker County, Minnesota</v>
      </c>
    </row>
    <row r="1367" spans="1:15" x14ac:dyDescent="0.25">
      <c r="A1367" s="35" t="s">
        <v>1843</v>
      </c>
      <c r="B1367" s="28" t="str">
        <f t="shared" si="42"/>
        <v>Mille Lacs</v>
      </c>
      <c r="C1367" s="30">
        <v>26097</v>
      </c>
      <c r="D1367" s="30">
        <v>26097</v>
      </c>
      <c r="E1367" s="30">
        <v>26078</v>
      </c>
      <c r="F1367" s="30">
        <v>25847</v>
      </c>
      <c r="G1367" s="30">
        <v>25635</v>
      </c>
      <c r="H1367" s="30">
        <v>25658</v>
      </c>
      <c r="I1367" s="30">
        <v>25562</v>
      </c>
      <c r="J1367" s="30">
        <v>25494</v>
      </c>
      <c r="K1367" s="30">
        <v>25594</v>
      </c>
      <c r="L1367" s="30">
        <v>25861</v>
      </c>
      <c r="M1367" s="30">
        <v>26100</v>
      </c>
      <c r="N1367" s="30">
        <v>26277</v>
      </c>
      <c r="O1367" s="24" t="str">
        <f t="shared" si="43"/>
        <v>Mille Lacs County, Minnesota</v>
      </c>
    </row>
    <row r="1368" spans="1:15" x14ac:dyDescent="0.25">
      <c r="A1368" s="35" t="s">
        <v>1844</v>
      </c>
      <c r="B1368" s="28" t="str">
        <f t="shared" si="42"/>
        <v>Morrison</v>
      </c>
      <c r="C1368" s="30">
        <v>33198</v>
      </c>
      <c r="D1368" s="30">
        <v>33198</v>
      </c>
      <c r="E1368" s="30">
        <v>33244</v>
      </c>
      <c r="F1368" s="30">
        <v>33259</v>
      </c>
      <c r="G1368" s="30">
        <v>33103</v>
      </c>
      <c r="H1368" s="30">
        <v>32865</v>
      </c>
      <c r="I1368" s="30">
        <v>32816</v>
      </c>
      <c r="J1368" s="30">
        <v>32775</v>
      </c>
      <c r="K1368" s="30">
        <v>32918</v>
      </c>
      <c r="L1368" s="30">
        <v>33084</v>
      </c>
      <c r="M1368" s="30">
        <v>33158</v>
      </c>
      <c r="N1368" s="30">
        <v>33386</v>
      </c>
      <c r="O1368" s="24" t="str">
        <f t="shared" si="43"/>
        <v>Morrison County, Minnesota</v>
      </c>
    </row>
    <row r="1369" spans="1:15" x14ac:dyDescent="0.25">
      <c r="A1369" s="35" t="s">
        <v>1845</v>
      </c>
      <c r="B1369" s="28" t="str">
        <f t="shared" si="42"/>
        <v>Mower</v>
      </c>
      <c r="C1369" s="30">
        <v>39163</v>
      </c>
      <c r="D1369" s="30">
        <v>39167</v>
      </c>
      <c r="E1369" s="30">
        <v>39212</v>
      </c>
      <c r="F1369" s="30">
        <v>39351</v>
      </c>
      <c r="G1369" s="30">
        <v>39400</v>
      </c>
      <c r="H1369" s="30">
        <v>39330</v>
      </c>
      <c r="I1369" s="30">
        <v>39417</v>
      </c>
      <c r="J1369" s="30">
        <v>39492</v>
      </c>
      <c r="K1369" s="30">
        <v>39567</v>
      </c>
      <c r="L1369" s="30">
        <v>39773</v>
      </c>
      <c r="M1369" s="30">
        <v>40142</v>
      </c>
      <c r="N1369" s="30">
        <v>40062</v>
      </c>
      <c r="O1369" s="24" t="str">
        <f t="shared" si="43"/>
        <v>Mower County, Minnesota</v>
      </c>
    </row>
    <row r="1370" spans="1:15" x14ac:dyDescent="0.25">
      <c r="A1370" s="35" t="s">
        <v>1846</v>
      </c>
      <c r="B1370" s="28" t="str">
        <f t="shared" si="42"/>
        <v>Murray</v>
      </c>
      <c r="C1370" s="30">
        <v>8725</v>
      </c>
      <c r="D1370" s="30">
        <v>8725</v>
      </c>
      <c r="E1370" s="30">
        <v>8697</v>
      </c>
      <c r="F1370" s="30">
        <v>8632</v>
      </c>
      <c r="G1370" s="30">
        <v>8574</v>
      </c>
      <c r="H1370" s="30">
        <v>8507</v>
      </c>
      <c r="I1370" s="30">
        <v>8437</v>
      </c>
      <c r="J1370" s="30">
        <v>8394</v>
      </c>
      <c r="K1370" s="30">
        <v>8305</v>
      </c>
      <c r="L1370" s="30">
        <v>8332</v>
      </c>
      <c r="M1370" s="30">
        <v>8254</v>
      </c>
      <c r="N1370" s="30">
        <v>8194</v>
      </c>
      <c r="O1370" s="24" t="str">
        <f t="shared" si="43"/>
        <v>Murray County, Minnesota</v>
      </c>
    </row>
    <row r="1371" spans="1:15" x14ac:dyDescent="0.25">
      <c r="A1371" s="35" t="s">
        <v>1847</v>
      </c>
      <c r="B1371" s="28" t="str">
        <f t="shared" si="42"/>
        <v>Nicollet</v>
      </c>
      <c r="C1371" s="30">
        <v>32727</v>
      </c>
      <c r="D1371" s="30">
        <v>32729</v>
      </c>
      <c r="E1371" s="30">
        <v>32758</v>
      </c>
      <c r="F1371" s="30">
        <v>32966</v>
      </c>
      <c r="G1371" s="30">
        <v>33020</v>
      </c>
      <c r="H1371" s="30">
        <v>32981</v>
      </c>
      <c r="I1371" s="30">
        <v>33370</v>
      </c>
      <c r="J1371" s="30">
        <v>33526</v>
      </c>
      <c r="K1371" s="30">
        <v>33720</v>
      </c>
      <c r="L1371" s="30">
        <v>34052</v>
      </c>
      <c r="M1371" s="30">
        <v>34199</v>
      </c>
      <c r="N1371" s="30">
        <v>34274</v>
      </c>
      <c r="O1371" s="24" t="str">
        <f t="shared" si="43"/>
        <v>Nicollet County, Minnesota</v>
      </c>
    </row>
    <row r="1372" spans="1:15" x14ac:dyDescent="0.25">
      <c r="A1372" s="35" t="s">
        <v>1848</v>
      </c>
      <c r="B1372" s="28" t="str">
        <f t="shared" si="42"/>
        <v>Nobles</v>
      </c>
      <c r="C1372" s="30">
        <v>21378</v>
      </c>
      <c r="D1372" s="30">
        <v>21378</v>
      </c>
      <c r="E1372" s="30">
        <v>21425</v>
      </c>
      <c r="F1372" s="30">
        <v>21621</v>
      </c>
      <c r="G1372" s="30">
        <v>21736</v>
      </c>
      <c r="H1372" s="30">
        <v>21797</v>
      </c>
      <c r="I1372" s="30">
        <v>21698</v>
      </c>
      <c r="J1372" s="30">
        <v>21748</v>
      </c>
      <c r="K1372" s="30">
        <v>21878</v>
      </c>
      <c r="L1372" s="30">
        <v>21671</v>
      </c>
      <c r="M1372" s="30">
        <v>21744</v>
      </c>
      <c r="N1372" s="30">
        <v>21629</v>
      </c>
      <c r="O1372" s="24" t="str">
        <f t="shared" si="43"/>
        <v>Nobles County, Minnesota</v>
      </c>
    </row>
    <row r="1373" spans="1:15" x14ac:dyDescent="0.25">
      <c r="A1373" s="35" t="s">
        <v>1849</v>
      </c>
      <c r="B1373" s="28" t="str">
        <f t="shared" si="42"/>
        <v>Norman</v>
      </c>
      <c r="C1373" s="30">
        <v>6852</v>
      </c>
      <c r="D1373" s="30">
        <v>6845</v>
      </c>
      <c r="E1373" s="30">
        <v>6833</v>
      </c>
      <c r="F1373" s="30">
        <v>6806</v>
      </c>
      <c r="G1373" s="30">
        <v>6599</v>
      </c>
      <c r="H1373" s="30">
        <v>6596</v>
      </c>
      <c r="I1373" s="30">
        <v>6581</v>
      </c>
      <c r="J1373" s="30">
        <v>6621</v>
      </c>
      <c r="K1373" s="30">
        <v>6534</v>
      </c>
      <c r="L1373" s="30">
        <v>6589</v>
      </c>
      <c r="M1373" s="30">
        <v>6479</v>
      </c>
      <c r="N1373" s="30">
        <v>6375</v>
      </c>
      <c r="O1373" s="24" t="str">
        <f t="shared" si="43"/>
        <v>Norman County, Minnesota</v>
      </c>
    </row>
    <row r="1374" spans="1:15" x14ac:dyDescent="0.25">
      <c r="A1374" s="35" t="s">
        <v>1850</v>
      </c>
      <c r="B1374" s="28" t="str">
        <f t="shared" si="42"/>
        <v>Olmsted</v>
      </c>
      <c r="C1374" s="30">
        <v>144248</v>
      </c>
      <c r="D1374" s="30">
        <v>144268</v>
      </c>
      <c r="E1374" s="30">
        <v>144534</v>
      </c>
      <c r="F1374" s="30">
        <v>145829</v>
      </c>
      <c r="G1374" s="30">
        <v>146907</v>
      </c>
      <c r="H1374" s="30">
        <v>148851</v>
      </c>
      <c r="I1374" s="30">
        <v>150043</v>
      </c>
      <c r="J1374" s="30">
        <v>151397</v>
      </c>
      <c r="K1374" s="30">
        <v>153272</v>
      </c>
      <c r="L1374" s="30">
        <v>154727</v>
      </c>
      <c r="M1374" s="30">
        <v>156358</v>
      </c>
      <c r="N1374" s="30">
        <v>158293</v>
      </c>
      <c r="O1374" s="24" t="str">
        <f t="shared" si="43"/>
        <v>Olmsted County, Minnesota</v>
      </c>
    </row>
    <row r="1375" spans="1:15" x14ac:dyDescent="0.25">
      <c r="A1375" s="35" t="s">
        <v>1851</v>
      </c>
      <c r="B1375" s="28" t="str">
        <f t="shared" si="42"/>
        <v>Otter Tail</v>
      </c>
      <c r="C1375" s="30">
        <v>57303</v>
      </c>
      <c r="D1375" s="30">
        <v>57301</v>
      </c>
      <c r="E1375" s="30">
        <v>57288</v>
      </c>
      <c r="F1375" s="30">
        <v>57274</v>
      </c>
      <c r="G1375" s="30">
        <v>57216</v>
      </c>
      <c r="H1375" s="30">
        <v>57492</v>
      </c>
      <c r="I1375" s="30">
        <v>57482</v>
      </c>
      <c r="J1375" s="30">
        <v>57520</v>
      </c>
      <c r="K1375" s="30">
        <v>57820</v>
      </c>
      <c r="L1375" s="30">
        <v>58219</v>
      </c>
      <c r="M1375" s="30">
        <v>58670</v>
      </c>
      <c r="N1375" s="30">
        <v>58746</v>
      </c>
      <c r="O1375" s="24" t="str">
        <f t="shared" si="43"/>
        <v>Otter Tail County, Minnesota</v>
      </c>
    </row>
    <row r="1376" spans="1:15" x14ac:dyDescent="0.25">
      <c r="A1376" s="35" t="s">
        <v>1852</v>
      </c>
      <c r="B1376" s="28" t="str">
        <f t="shared" si="42"/>
        <v>Pennington</v>
      </c>
      <c r="C1376" s="30">
        <v>13930</v>
      </c>
      <c r="D1376" s="30">
        <v>13930</v>
      </c>
      <c r="E1376" s="30">
        <v>13968</v>
      </c>
      <c r="F1376" s="30">
        <v>14070</v>
      </c>
      <c r="G1376" s="30">
        <v>14119</v>
      </c>
      <c r="H1376" s="30">
        <v>14139</v>
      </c>
      <c r="I1376" s="30">
        <v>14111</v>
      </c>
      <c r="J1376" s="30">
        <v>14237</v>
      </c>
      <c r="K1376" s="30">
        <v>14206</v>
      </c>
      <c r="L1376" s="30">
        <v>14178</v>
      </c>
      <c r="M1376" s="30">
        <v>14173</v>
      </c>
      <c r="N1376" s="30">
        <v>14119</v>
      </c>
      <c r="O1376" s="24" t="str">
        <f t="shared" si="43"/>
        <v>Pennington County, Minnesota</v>
      </c>
    </row>
    <row r="1377" spans="1:15" x14ac:dyDescent="0.25">
      <c r="A1377" s="35" t="s">
        <v>1853</v>
      </c>
      <c r="B1377" s="28" t="str">
        <f t="shared" si="42"/>
        <v>Pine</v>
      </c>
      <c r="C1377" s="30">
        <v>29750</v>
      </c>
      <c r="D1377" s="30">
        <v>29747</v>
      </c>
      <c r="E1377" s="30">
        <v>29717</v>
      </c>
      <c r="F1377" s="30">
        <v>29621</v>
      </c>
      <c r="G1377" s="30">
        <v>29198</v>
      </c>
      <c r="H1377" s="30">
        <v>29076</v>
      </c>
      <c r="I1377" s="30">
        <v>29081</v>
      </c>
      <c r="J1377" s="30">
        <v>29045</v>
      </c>
      <c r="K1377" s="30">
        <v>28866</v>
      </c>
      <c r="L1377" s="30">
        <v>29159</v>
      </c>
      <c r="M1377" s="30">
        <v>29468</v>
      </c>
      <c r="N1377" s="30">
        <v>29579</v>
      </c>
      <c r="O1377" s="24" t="str">
        <f t="shared" si="43"/>
        <v>Pine County, Minnesota</v>
      </c>
    </row>
    <row r="1378" spans="1:15" x14ac:dyDescent="0.25">
      <c r="A1378" s="35" t="s">
        <v>1854</v>
      </c>
      <c r="B1378" s="28" t="str">
        <f t="shared" si="42"/>
        <v>Pipestone</v>
      </c>
      <c r="C1378" s="30">
        <v>9596</v>
      </c>
      <c r="D1378" s="30">
        <v>9597</v>
      </c>
      <c r="E1378" s="30">
        <v>9606</v>
      </c>
      <c r="F1378" s="30">
        <v>9529</v>
      </c>
      <c r="G1378" s="30">
        <v>9397</v>
      </c>
      <c r="H1378" s="30">
        <v>9302</v>
      </c>
      <c r="I1378" s="30">
        <v>9320</v>
      </c>
      <c r="J1378" s="30">
        <v>9295</v>
      </c>
      <c r="K1378" s="30">
        <v>9248</v>
      </c>
      <c r="L1378" s="30">
        <v>9157</v>
      </c>
      <c r="M1378" s="30">
        <v>9127</v>
      </c>
      <c r="N1378" s="30">
        <v>9126</v>
      </c>
      <c r="O1378" s="24" t="str">
        <f t="shared" si="43"/>
        <v>Pipestone County, Minnesota</v>
      </c>
    </row>
    <row r="1379" spans="1:15" x14ac:dyDescent="0.25">
      <c r="A1379" s="35" t="s">
        <v>1855</v>
      </c>
      <c r="B1379" s="28" t="str">
        <f t="shared" si="42"/>
        <v>Polk</v>
      </c>
      <c r="C1379" s="30">
        <v>31600</v>
      </c>
      <c r="D1379" s="30">
        <v>31600</v>
      </c>
      <c r="E1379" s="30">
        <v>31639</v>
      </c>
      <c r="F1379" s="30">
        <v>31540</v>
      </c>
      <c r="G1379" s="30">
        <v>31511</v>
      </c>
      <c r="H1379" s="30">
        <v>31639</v>
      </c>
      <c r="I1379" s="30">
        <v>31496</v>
      </c>
      <c r="J1379" s="30">
        <v>31497</v>
      </c>
      <c r="K1379" s="30">
        <v>31698</v>
      </c>
      <c r="L1379" s="30">
        <v>31637</v>
      </c>
      <c r="M1379" s="30">
        <v>31411</v>
      </c>
      <c r="N1379" s="30">
        <v>31364</v>
      </c>
      <c r="O1379" s="24" t="str">
        <f t="shared" si="43"/>
        <v>Polk County, Minnesota</v>
      </c>
    </row>
    <row r="1380" spans="1:15" x14ac:dyDescent="0.25">
      <c r="A1380" s="35" t="s">
        <v>1856</v>
      </c>
      <c r="B1380" s="28" t="str">
        <f t="shared" si="42"/>
        <v>Pope</v>
      </c>
      <c r="C1380" s="30">
        <v>10995</v>
      </c>
      <c r="D1380" s="30">
        <v>10993</v>
      </c>
      <c r="E1380" s="30">
        <v>10974</v>
      </c>
      <c r="F1380" s="30">
        <v>10911</v>
      </c>
      <c r="G1380" s="30">
        <v>10890</v>
      </c>
      <c r="H1380" s="30">
        <v>10879</v>
      </c>
      <c r="I1380" s="30">
        <v>10925</v>
      </c>
      <c r="J1380" s="30">
        <v>10936</v>
      </c>
      <c r="K1380" s="30">
        <v>10970</v>
      </c>
      <c r="L1380" s="30">
        <v>10988</v>
      </c>
      <c r="M1380" s="30">
        <v>11095</v>
      </c>
      <c r="N1380" s="30">
        <v>11249</v>
      </c>
      <c r="O1380" s="24" t="str">
        <f t="shared" si="43"/>
        <v>Pope County, Minnesota</v>
      </c>
    </row>
    <row r="1381" spans="1:15" x14ac:dyDescent="0.25">
      <c r="A1381" s="35" t="s">
        <v>1857</v>
      </c>
      <c r="B1381" s="28" t="str">
        <f t="shared" si="42"/>
        <v>Ramsey</v>
      </c>
      <c r="C1381" s="30">
        <v>508640</v>
      </c>
      <c r="D1381" s="30">
        <v>508639</v>
      </c>
      <c r="E1381" s="30">
        <v>509387</v>
      </c>
      <c r="F1381" s="30">
        <v>515826</v>
      </c>
      <c r="G1381" s="30">
        <v>521009</v>
      </c>
      <c r="H1381" s="30">
        <v>527131</v>
      </c>
      <c r="I1381" s="30">
        <v>532796</v>
      </c>
      <c r="J1381" s="30">
        <v>536631</v>
      </c>
      <c r="K1381" s="30">
        <v>541502</v>
      </c>
      <c r="L1381" s="30">
        <v>544886</v>
      </c>
      <c r="M1381" s="30">
        <v>548872</v>
      </c>
      <c r="N1381" s="30">
        <v>550321</v>
      </c>
      <c r="O1381" s="24" t="str">
        <f t="shared" si="43"/>
        <v>Ramsey County, Minnesota</v>
      </c>
    </row>
    <row r="1382" spans="1:15" x14ac:dyDescent="0.25">
      <c r="A1382" s="35" t="s">
        <v>1858</v>
      </c>
      <c r="B1382" s="28" t="str">
        <f t="shared" si="42"/>
        <v>Red Lake</v>
      </c>
      <c r="C1382" s="30">
        <v>4089</v>
      </c>
      <c r="D1382" s="30">
        <v>4089</v>
      </c>
      <c r="E1382" s="30">
        <v>4079</v>
      </c>
      <c r="F1382" s="30">
        <v>4084</v>
      </c>
      <c r="G1382" s="30">
        <v>4060</v>
      </c>
      <c r="H1382" s="30">
        <v>4031</v>
      </c>
      <c r="I1382" s="30">
        <v>3996</v>
      </c>
      <c r="J1382" s="30">
        <v>4031</v>
      </c>
      <c r="K1382" s="30">
        <v>3987</v>
      </c>
      <c r="L1382" s="30">
        <v>4009</v>
      </c>
      <c r="M1382" s="30">
        <v>3992</v>
      </c>
      <c r="N1382" s="30">
        <v>4055</v>
      </c>
      <c r="O1382" s="24" t="str">
        <f t="shared" si="43"/>
        <v>Red Lake County, Minnesota</v>
      </c>
    </row>
    <row r="1383" spans="1:15" x14ac:dyDescent="0.25">
      <c r="A1383" s="35" t="s">
        <v>1859</v>
      </c>
      <c r="B1383" s="28" t="str">
        <f t="shared" si="42"/>
        <v>Redwood</v>
      </c>
      <c r="C1383" s="30">
        <v>16059</v>
      </c>
      <c r="D1383" s="30">
        <v>16058</v>
      </c>
      <c r="E1383" s="30">
        <v>16079</v>
      </c>
      <c r="F1383" s="30">
        <v>16025</v>
      </c>
      <c r="G1383" s="30">
        <v>15820</v>
      </c>
      <c r="H1383" s="30">
        <v>15685</v>
      </c>
      <c r="I1383" s="30">
        <v>15529</v>
      </c>
      <c r="J1383" s="30">
        <v>15425</v>
      </c>
      <c r="K1383" s="30">
        <v>15216</v>
      </c>
      <c r="L1383" s="30">
        <v>15244</v>
      </c>
      <c r="M1383" s="30">
        <v>15252</v>
      </c>
      <c r="N1383" s="30">
        <v>15170</v>
      </c>
      <c r="O1383" s="24" t="str">
        <f t="shared" si="43"/>
        <v>Redwood County, Minnesota</v>
      </c>
    </row>
    <row r="1384" spans="1:15" x14ac:dyDescent="0.25">
      <c r="A1384" s="35" t="s">
        <v>1860</v>
      </c>
      <c r="B1384" s="28" t="str">
        <f t="shared" si="42"/>
        <v>Renville</v>
      </c>
      <c r="C1384" s="30">
        <v>15730</v>
      </c>
      <c r="D1384" s="30">
        <v>15728</v>
      </c>
      <c r="E1384" s="30">
        <v>15684</v>
      </c>
      <c r="F1384" s="30">
        <v>15427</v>
      </c>
      <c r="G1384" s="30">
        <v>15283</v>
      </c>
      <c r="H1384" s="30">
        <v>15069</v>
      </c>
      <c r="I1384" s="30">
        <v>14933</v>
      </c>
      <c r="J1384" s="30">
        <v>14798</v>
      </c>
      <c r="K1384" s="30">
        <v>14613</v>
      </c>
      <c r="L1384" s="30">
        <v>14693</v>
      </c>
      <c r="M1384" s="30">
        <v>14609</v>
      </c>
      <c r="N1384" s="30">
        <v>14548</v>
      </c>
      <c r="O1384" s="24" t="str">
        <f t="shared" si="43"/>
        <v>Renville County, Minnesota</v>
      </c>
    </row>
    <row r="1385" spans="1:15" x14ac:dyDescent="0.25">
      <c r="A1385" s="35" t="s">
        <v>1861</v>
      </c>
      <c r="B1385" s="28" t="str">
        <f t="shared" si="42"/>
        <v>Rice</v>
      </c>
      <c r="C1385" s="30">
        <v>64142</v>
      </c>
      <c r="D1385" s="30">
        <v>64143</v>
      </c>
      <c r="E1385" s="30">
        <v>64243</v>
      </c>
      <c r="F1385" s="30">
        <v>64466</v>
      </c>
      <c r="G1385" s="30">
        <v>64438</v>
      </c>
      <c r="H1385" s="30">
        <v>64639</v>
      </c>
      <c r="I1385" s="30">
        <v>64997</v>
      </c>
      <c r="J1385" s="30">
        <v>65323</v>
      </c>
      <c r="K1385" s="30">
        <v>65868</v>
      </c>
      <c r="L1385" s="30">
        <v>66196</v>
      </c>
      <c r="M1385" s="30">
        <v>66566</v>
      </c>
      <c r="N1385" s="30">
        <v>66972</v>
      </c>
      <c r="O1385" s="24" t="str">
        <f t="shared" si="43"/>
        <v>Rice County, Minnesota</v>
      </c>
    </row>
    <row r="1386" spans="1:15" x14ac:dyDescent="0.25">
      <c r="A1386" s="35" t="s">
        <v>1862</v>
      </c>
      <c r="B1386" s="28" t="str">
        <f t="shared" si="42"/>
        <v>Rock</v>
      </c>
      <c r="C1386" s="30">
        <v>9687</v>
      </c>
      <c r="D1386" s="30">
        <v>9686</v>
      </c>
      <c r="E1386" s="30">
        <v>9658</v>
      </c>
      <c r="F1386" s="30">
        <v>9599</v>
      </c>
      <c r="G1386" s="30">
        <v>9481</v>
      </c>
      <c r="H1386" s="30">
        <v>9428</v>
      </c>
      <c r="I1386" s="30">
        <v>9379</v>
      </c>
      <c r="J1386" s="30">
        <v>9442</v>
      </c>
      <c r="K1386" s="30">
        <v>9392</v>
      </c>
      <c r="L1386" s="30">
        <v>9459</v>
      </c>
      <c r="M1386" s="30">
        <v>9401</v>
      </c>
      <c r="N1386" s="30">
        <v>9315</v>
      </c>
      <c r="O1386" s="24" t="str">
        <f t="shared" si="43"/>
        <v>Rock County, Minnesota</v>
      </c>
    </row>
    <row r="1387" spans="1:15" x14ac:dyDescent="0.25">
      <c r="A1387" s="35" t="s">
        <v>1863</v>
      </c>
      <c r="B1387" s="28" t="str">
        <f t="shared" si="42"/>
        <v>Roseau</v>
      </c>
      <c r="C1387" s="30">
        <v>15629</v>
      </c>
      <c r="D1387" s="30">
        <v>15629</v>
      </c>
      <c r="E1387" s="30">
        <v>15558</v>
      </c>
      <c r="F1387" s="30">
        <v>15517</v>
      </c>
      <c r="G1387" s="30">
        <v>15512</v>
      </c>
      <c r="H1387" s="30">
        <v>15497</v>
      </c>
      <c r="I1387" s="30">
        <v>15680</v>
      </c>
      <c r="J1387" s="30">
        <v>15621</v>
      </c>
      <c r="K1387" s="30">
        <v>15557</v>
      </c>
      <c r="L1387" s="30">
        <v>15305</v>
      </c>
      <c r="M1387" s="30">
        <v>15158</v>
      </c>
      <c r="N1387" s="30">
        <v>15165</v>
      </c>
      <c r="O1387" s="24" t="str">
        <f t="shared" si="43"/>
        <v>Roseau County, Minnesota</v>
      </c>
    </row>
    <row r="1388" spans="1:15" x14ac:dyDescent="0.25">
      <c r="A1388" s="35" t="s">
        <v>1864</v>
      </c>
      <c r="B1388" s="28" t="str">
        <f t="shared" si="42"/>
        <v>St Louis</v>
      </c>
      <c r="C1388" s="30">
        <v>200226</v>
      </c>
      <c r="D1388" s="30">
        <v>200229</v>
      </c>
      <c r="E1388" s="30">
        <v>200138</v>
      </c>
      <c r="F1388" s="30">
        <v>200412</v>
      </c>
      <c r="G1388" s="30">
        <v>200361</v>
      </c>
      <c r="H1388" s="30">
        <v>200452</v>
      </c>
      <c r="I1388" s="30">
        <v>200651</v>
      </c>
      <c r="J1388" s="30">
        <v>200296</v>
      </c>
      <c r="K1388" s="30">
        <v>199967</v>
      </c>
      <c r="L1388" s="30">
        <v>199778</v>
      </c>
      <c r="M1388" s="30">
        <v>199685</v>
      </c>
      <c r="N1388" s="30">
        <v>199070</v>
      </c>
      <c r="O1388" s="24" t="str">
        <f t="shared" si="43"/>
        <v>St Louis County, Minnesota</v>
      </c>
    </row>
    <row r="1389" spans="1:15" x14ac:dyDescent="0.25">
      <c r="A1389" s="35" t="s">
        <v>1865</v>
      </c>
      <c r="B1389" s="28" t="str">
        <f t="shared" si="42"/>
        <v>Scott</v>
      </c>
      <c r="C1389" s="30">
        <v>129928</v>
      </c>
      <c r="D1389" s="30">
        <v>129908</v>
      </c>
      <c r="E1389" s="30">
        <v>130506</v>
      </c>
      <c r="F1389" s="30">
        <v>132565</v>
      </c>
      <c r="G1389" s="30">
        <v>135114</v>
      </c>
      <c r="H1389" s="30">
        <v>137244</v>
      </c>
      <c r="I1389" s="30">
        <v>139161</v>
      </c>
      <c r="J1389" s="30">
        <v>141329</v>
      </c>
      <c r="K1389" s="30">
        <v>143309</v>
      </c>
      <c r="L1389" s="30">
        <v>145535</v>
      </c>
      <c r="M1389" s="30">
        <v>147191</v>
      </c>
      <c r="N1389" s="30">
        <v>149013</v>
      </c>
      <c r="O1389" s="24" t="str">
        <f t="shared" si="43"/>
        <v>Scott County, Minnesota</v>
      </c>
    </row>
    <row r="1390" spans="1:15" x14ac:dyDescent="0.25">
      <c r="A1390" s="35" t="s">
        <v>1866</v>
      </c>
      <c r="B1390" s="28" t="str">
        <f t="shared" si="42"/>
        <v>Sherburne</v>
      </c>
      <c r="C1390" s="30">
        <v>88499</v>
      </c>
      <c r="D1390" s="30">
        <v>88492</v>
      </c>
      <c r="E1390" s="30">
        <v>88798</v>
      </c>
      <c r="F1390" s="30">
        <v>89268</v>
      </c>
      <c r="G1390" s="30">
        <v>89461</v>
      </c>
      <c r="H1390" s="30">
        <v>90069</v>
      </c>
      <c r="I1390" s="30">
        <v>90889</v>
      </c>
      <c r="J1390" s="30">
        <v>91415</v>
      </c>
      <c r="K1390" s="30">
        <v>93228</v>
      </c>
      <c r="L1390" s="30">
        <v>94476</v>
      </c>
      <c r="M1390" s="30">
        <v>95957</v>
      </c>
      <c r="N1390" s="30">
        <v>97238</v>
      </c>
      <c r="O1390" s="24" t="str">
        <f t="shared" si="43"/>
        <v>Sherburne County, Minnesota</v>
      </c>
    </row>
    <row r="1391" spans="1:15" x14ac:dyDescent="0.25">
      <c r="A1391" s="35" t="s">
        <v>1867</v>
      </c>
      <c r="B1391" s="28" t="str">
        <f t="shared" si="42"/>
        <v>Sibley</v>
      </c>
      <c r="C1391" s="30">
        <v>15226</v>
      </c>
      <c r="D1391" s="30">
        <v>15234</v>
      </c>
      <c r="E1391" s="30">
        <v>15256</v>
      </c>
      <c r="F1391" s="30">
        <v>15165</v>
      </c>
      <c r="G1391" s="30">
        <v>15080</v>
      </c>
      <c r="H1391" s="30">
        <v>15055</v>
      </c>
      <c r="I1391" s="30">
        <v>14931</v>
      </c>
      <c r="J1391" s="30">
        <v>14889</v>
      </c>
      <c r="K1391" s="30">
        <v>14812</v>
      </c>
      <c r="L1391" s="30">
        <v>14899</v>
      </c>
      <c r="M1391" s="30">
        <v>14997</v>
      </c>
      <c r="N1391" s="30">
        <v>14865</v>
      </c>
      <c r="O1391" s="24" t="str">
        <f t="shared" si="43"/>
        <v>Sibley County, Minnesota</v>
      </c>
    </row>
    <row r="1392" spans="1:15" x14ac:dyDescent="0.25">
      <c r="A1392" s="35" t="s">
        <v>1868</v>
      </c>
      <c r="B1392" s="28" t="str">
        <f t="shared" si="42"/>
        <v>Stearns</v>
      </c>
      <c r="C1392" s="30">
        <v>150642</v>
      </c>
      <c r="D1392" s="30">
        <v>150642</v>
      </c>
      <c r="E1392" s="30">
        <v>150756</v>
      </c>
      <c r="F1392" s="30">
        <v>151359</v>
      </c>
      <c r="G1392" s="30">
        <v>151891</v>
      </c>
      <c r="H1392" s="30">
        <v>152577</v>
      </c>
      <c r="I1392" s="30">
        <v>153972</v>
      </c>
      <c r="J1392" s="30">
        <v>156003</v>
      </c>
      <c r="K1392" s="30">
        <v>157225</v>
      </c>
      <c r="L1392" s="30">
        <v>158301</v>
      </c>
      <c r="M1392" s="30">
        <v>159656</v>
      </c>
      <c r="N1392" s="30">
        <v>161075</v>
      </c>
      <c r="O1392" s="24" t="str">
        <f t="shared" si="43"/>
        <v>Stearns County, Minnesota</v>
      </c>
    </row>
    <row r="1393" spans="1:15" x14ac:dyDescent="0.25">
      <c r="A1393" s="35" t="s">
        <v>1869</v>
      </c>
      <c r="B1393" s="28" t="str">
        <f t="shared" si="42"/>
        <v>Steele</v>
      </c>
      <c r="C1393" s="30">
        <v>36576</v>
      </c>
      <c r="D1393" s="30">
        <v>36581</v>
      </c>
      <c r="E1393" s="30">
        <v>36497</v>
      </c>
      <c r="F1393" s="30">
        <v>36568</v>
      </c>
      <c r="G1393" s="30">
        <v>36311</v>
      </c>
      <c r="H1393" s="30">
        <v>36363</v>
      </c>
      <c r="I1393" s="30">
        <v>36483</v>
      </c>
      <c r="J1393" s="30">
        <v>36599</v>
      </c>
      <c r="K1393" s="30">
        <v>36644</v>
      </c>
      <c r="L1393" s="30">
        <v>36787</v>
      </c>
      <c r="M1393" s="30">
        <v>36738</v>
      </c>
      <c r="N1393" s="30">
        <v>36649</v>
      </c>
      <c r="O1393" s="24" t="str">
        <f t="shared" si="43"/>
        <v>Steele County, Minnesota</v>
      </c>
    </row>
    <row r="1394" spans="1:15" x14ac:dyDescent="0.25">
      <c r="A1394" s="35" t="s">
        <v>1870</v>
      </c>
      <c r="B1394" s="28" t="str">
        <f t="shared" si="42"/>
        <v>Stevens</v>
      </c>
      <c r="C1394" s="30">
        <v>9726</v>
      </c>
      <c r="D1394" s="30">
        <v>9722</v>
      </c>
      <c r="E1394" s="30">
        <v>9705</v>
      </c>
      <c r="F1394" s="30">
        <v>9708</v>
      </c>
      <c r="G1394" s="30">
        <v>9733</v>
      </c>
      <c r="H1394" s="30">
        <v>9747</v>
      </c>
      <c r="I1394" s="30">
        <v>9852</v>
      </c>
      <c r="J1394" s="30">
        <v>9874</v>
      </c>
      <c r="K1394" s="30">
        <v>9810</v>
      </c>
      <c r="L1394" s="30">
        <v>9706</v>
      </c>
      <c r="M1394" s="30">
        <v>9752</v>
      </c>
      <c r="N1394" s="30">
        <v>9805</v>
      </c>
      <c r="O1394" s="24" t="str">
        <f t="shared" si="43"/>
        <v>Stevens County, Minnesota</v>
      </c>
    </row>
    <row r="1395" spans="1:15" x14ac:dyDescent="0.25">
      <c r="A1395" s="35" t="s">
        <v>1871</v>
      </c>
      <c r="B1395" s="28" t="str">
        <f t="shared" si="42"/>
        <v>Swift</v>
      </c>
      <c r="C1395" s="30">
        <v>9783</v>
      </c>
      <c r="D1395" s="30">
        <v>9781</v>
      </c>
      <c r="E1395" s="30">
        <v>9754</v>
      </c>
      <c r="F1395" s="30">
        <v>9676</v>
      </c>
      <c r="G1395" s="30">
        <v>9632</v>
      </c>
      <c r="H1395" s="30">
        <v>9552</v>
      </c>
      <c r="I1395" s="30">
        <v>9486</v>
      </c>
      <c r="J1395" s="30">
        <v>9376</v>
      </c>
      <c r="K1395" s="30">
        <v>9442</v>
      </c>
      <c r="L1395" s="30">
        <v>9387</v>
      </c>
      <c r="M1395" s="30">
        <v>9323</v>
      </c>
      <c r="N1395" s="30">
        <v>9266</v>
      </c>
      <c r="O1395" s="24" t="str">
        <f t="shared" si="43"/>
        <v>Swift County, Minnesota</v>
      </c>
    </row>
    <row r="1396" spans="1:15" x14ac:dyDescent="0.25">
      <c r="A1396" s="35" t="s">
        <v>1872</v>
      </c>
      <c r="B1396" s="28" t="str">
        <f t="shared" si="42"/>
        <v>Todd</v>
      </c>
      <c r="C1396" s="30">
        <v>24895</v>
      </c>
      <c r="D1396" s="30">
        <v>24895</v>
      </c>
      <c r="E1396" s="30">
        <v>24898</v>
      </c>
      <c r="F1396" s="30">
        <v>24890</v>
      </c>
      <c r="G1396" s="30">
        <v>24653</v>
      </c>
      <c r="H1396" s="30">
        <v>24488</v>
      </c>
      <c r="I1396" s="30">
        <v>24350</v>
      </c>
      <c r="J1396" s="30">
        <v>24328</v>
      </c>
      <c r="K1396" s="30">
        <v>24381</v>
      </c>
      <c r="L1396" s="30">
        <v>24526</v>
      </c>
      <c r="M1396" s="30">
        <v>24570</v>
      </c>
      <c r="N1396" s="30">
        <v>24664</v>
      </c>
      <c r="O1396" s="24" t="str">
        <f t="shared" si="43"/>
        <v>Todd County, Minnesota</v>
      </c>
    </row>
    <row r="1397" spans="1:15" x14ac:dyDescent="0.25">
      <c r="A1397" s="35" t="s">
        <v>1873</v>
      </c>
      <c r="B1397" s="28" t="str">
        <f t="shared" si="42"/>
        <v>Traverse</v>
      </c>
      <c r="C1397" s="30">
        <v>3558</v>
      </c>
      <c r="D1397" s="30">
        <v>3558</v>
      </c>
      <c r="E1397" s="30">
        <v>3534</v>
      </c>
      <c r="F1397" s="30">
        <v>3489</v>
      </c>
      <c r="G1397" s="30">
        <v>3404</v>
      </c>
      <c r="H1397" s="30">
        <v>3402</v>
      </c>
      <c r="I1397" s="30">
        <v>3379</v>
      </c>
      <c r="J1397" s="30">
        <v>3373</v>
      </c>
      <c r="K1397" s="30">
        <v>3330</v>
      </c>
      <c r="L1397" s="30">
        <v>3304</v>
      </c>
      <c r="M1397" s="30">
        <v>3291</v>
      </c>
      <c r="N1397" s="30">
        <v>3259</v>
      </c>
      <c r="O1397" s="24" t="str">
        <f t="shared" si="43"/>
        <v>Traverse County, Minnesota</v>
      </c>
    </row>
    <row r="1398" spans="1:15" x14ac:dyDescent="0.25">
      <c r="A1398" s="35" t="s">
        <v>1874</v>
      </c>
      <c r="B1398" s="28" t="str">
        <f t="shared" si="42"/>
        <v>Wabasha</v>
      </c>
      <c r="C1398" s="30">
        <v>21676</v>
      </c>
      <c r="D1398" s="30">
        <v>21665</v>
      </c>
      <c r="E1398" s="30">
        <v>21672</v>
      </c>
      <c r="F1398" s="30">
        <v>21610</v>
      </c>
      <c r="G1398" s="30">
        <v>21542</v>
      </c>
      <c r="H1398" s="30">
        <v>21566</v>
      </c>
      <c r="I1398" s="30">
        <v>21461</v>
      </c>
      <c r="J1398" s="30">
        <v>21387</v>
      </c>
      <c r="K1398" s="30">
        <v>21435</v>
      </c>
      <c r="L1398" s="30">
        <v>21590</v>
      </c>
      <c r="M1398" s="30">
        <v>21645</v>
      </c>
      <c r="N1398" s="30">
        <v>21627</v>
      </c>
      <c r="O1398" s="24" t="str">
        <f t="shared" si="43"/>
        <v>Wabasha County, Minnesota</v>
      </c>
    </row>
    <row r="1399" spans="1:15" x14ac:dyDescent="0.25">
      <c r="A1399" s="35" t="s">
        <v>1875</v>
      </c>
      <c r="B1399" s="28" t="str">
        <f t="shared" si="42"/>
        <v>Wadena</v>
      </c>
      <c r="C1399" s="30">
        <v>13843</v>
      </c>
      <c r="D1399" s="30">
        <v>13843</v>
      </c>
      <c r="E1399" s="30">
        <v>13816</v>
      </c>
      <c r="F1399" s="30">
        <v>13652</v>
      </c>
      <c r="G1399" s="30">
        <v>13607</v>
      </c>
      <c r="H1399" s="30">
        <v>13641</v>
      </c>
      <c r="I1399" s="30">
        <v>13589</v>
      </c>
      <c r="J1399" s="30">
        <v>13667</v>
      </c>
      <c r="K1399" s="30">
        <v>13550</v>
      </c>
      <c r="L1399" s="30">
        <v>13647</v>
      </c>
      <c r="M1399" s="30">
        <v>13723</v>
      </c>
      <c r="N1399" s="30">
        <v>13682</v>
      </c>
      <c r="O1399" s="24" t="str">
        <f t="shared" si="43"/>
        <v>Wadena County, Minnesota</v>
      </c>
    </row>
    <row r="1400" spans="1:15" x14ac:dyDescent="0.25">
      <c r="A1400" s="35" t="s">
        <v>1876</v>
      </c>
      <c r="B1400" s="28" t="str">
        <f t="shared" si="42"/>
        <v>Waseca</v>
      </c>
      <c r="C1400" s="30">
        <v>19136</v>
      </c>
      <c r="D1400" s="30">
        <v>19138</v>
      </c>
      <c r="E1400" s="30">
        <v>19145</v>
      </c>
      <c r="F1400" s="30">
        <v>19185</v>
      </c>
      <c r="G1400" s="30">
        <v>19176</v>
      </c>
      <c r="H1400" s="30">
        <v>19036</v>
      </c>
      <c r="I1400" s="30">
        <v>18925</v>
      </c>
      <c r="J1400" s="30">
        <v>18926</v>
      </c>
      <c r="K1400" s="30">
        <v>18783</v>
      </c>
      <c r="L1400" s="30">
        <v>18713</v>
      </c>
      <c r="M1400" s="30">
        <v>18664</v>
      </c>
      <c r="N1400" s="30">
        <v>18612</v>
      </c>
      <c r="O1400" s="24" t="str">
        <f t="shared" si="43"/>
        <v>Waseca County, Minnesota</v>
      </c>
    </row>
    <row r="1401" spans="1:15" x14ac:dyDescent="0.25">
      <c r="A1401" s="35" t="s">
        <v>1877</v>
      </c>
      <c r="B1401" s="28" t="str">
        <f t="shared" si="42"/>
        <v>Washington</v>
      </c>
      <c r="C1401" s="30">
        <v>238136</v>
      </c>
      <c r="D1401" s="30">
        <v>238109</v>
      </c>
      <c r="E1401" s="30">
        <v>238930</v>
      </c>
      <c r="F1401" s="30">
        <v>241410</v>
      </c>
      <c r="G1401" s="30">
        <v>243682</v>
      </c>
      <c r="H1401" s="30">
        <v>245946</v>
      </c>
      <c r="I1401" s="30">
        <v>248501</v>
      </c>
      <c r="J1401" s="30">
        <v>250386</v>
      </c>
      <c r="K1401" s="30">
        <v>252502</v>
      </c>
      <c r="L1401" s="30">
        <v>255464</v>
      </c>
      <c r="M1401" s="30">
        <v>258899</v>
      </c>
      <c r="N1401" s="30">
        <v>262440</v>
      </c>
      <c r="O1401" s="24" t="str">
        <f t="shared" si="43"/>
        <v>Washington County, Minnesota</v>
      </c>
    </row>
    <row r="1402" spans="1:15" x14ac:dyDescent="0.25">
      <c r="A1402" s="35" t="s">
        <v>1878</v>
      </c>
      <c r="B1402" s="28" t="str">
        <f t="shared" si="42"/>
        <v>Watonwan</v>
      </c>
      <c r="C1402" s="30">
        <v>11211</v>
      </c>
      <c r="D1402" s="30">
        <v>11211</v>
      </c>
      <c r="E1402" s="30">
        <v>11194</v>
      </c>
      <c r="F1402" s="30">
        <v>11167</v>
      </c>
      <c r="G1402" s="30">
        <v>11115</v>
      </c>
      <c r="H1402" s="30">
        <v>11049</v>
      </c>
      <c r="I1402" s="30">
        <v>10982</v>
      </c>
      <c r="J1402" s="30">
        <v>11018</v>
      </c>
      <c r="K1402" s="30">
        <v>11002</v>
      </c>
      <c r="L1402" s="30">
        <v>10934</v>
      </c>
      <c r="M1402" s="30">
        <v>11007</v>
      </c>
      <c r="N1402" s="30">
        <v>10897</v>
      </c>
      <c r="O1402" s="24" t="str">
        <f t="shared" si="43"/>
        <v>Watonwan County, Minnesota</v>
      </c>
    </row>
    <row r="1403" spans="1:15" x14ac:dyDescent="0.25">
      <c r="A1403" s="35" t="s">
        <v>1879</v>
      </c>
      <c r="B1403" s="28" t="str">
        <f t="shared" si="42"/>
        <v>Wilkin</v>
      </c>
      <c r="C1403" s="30">
        <v>6576</v>
      </c>
      <c r="D1403" s="30">
        <v>6576</v>
      </c>
      <c r="E1403" s="30">
        <v>6591</v>
      </c>
      <c r="F1403" s="30">
        <v>6578</v>
      </c>
      <c r="G1403" s="30">
        <v>6592</v>
      </c>
      <c r="H1403" s="30">
        <v>6496</v>
      </c>
      <c r="I1403" s="30">
        <v>6462</v>
      </c>
      <c r="J1403" s="30">
        <v>6357</v>
      </c>
      <c r="K1403" s="30">
        <v>6323</v>
      </c>
      <c r="L1403" s="30">
        <v>6322</v>
      </c>
      <c r="M1403" s="30">
        <v>6244</v>
      </c>
      <c r="N1403" s="30">
        <v>6207</v>
      </c>
      <c r="O1403" s="24" t="str">
        <f t="shared" si="43"/>
        <v>Wilkin County, Minnesota</v>
      </c>
    </row>
    <row r="1404" spans="1:15" x14ac:dyDescent="0.25">
      <c r="A1404" s="35" t="s">
        <v>1880</v>
      </c>
      <c r="B1404" s="28" t="str">
        <f t="shared" si="42"/>
        <v>Winona</v>
      </c>
      <c r="C1404" s="30">
        <v>51461</v>
      </c>
      <c r="D1404" s="30">
        <v>51461</v>
      </c>
      <c r="E1404" s="30">
        <v>51435</v>
      </c>
      <c r="F1404" s="30">
        <v>51355</v>
      </c>
      <c r="G1404" s="30">
        <v>51343</v>
      </c>
      <c r="H1404" s="30">
        <v>51332</v>
      </c>
      <c r="I1404" s="30">
        <v>51059</v>
      </c>
      <c r="J1404" s="30">
        <v>50827</v>
      </c>
      <c r="K1404" s="30">
        <v>50861</v>
      </c>
      <c r="L1404" s="30">
        <v>50718</v>
      </c>
      <c r="M1404" s="30">
        <v>50735</v>
      </c>
      <c r="N1404" s="30">
        <v>50484</v>
      </c>
      <c r="O1404" s="24" t="str">
        <f t="shared" si="43"/>
        <v>Winona County, Minnesota</v>
      </c>
    </row>
    <row r="1405" spans="1:15" x14ac:dyDescent="0.25">
      <c r="A1405" s="35" t="s">
        <v>1881</v>
      </c>
      <c r="B1405" s="28" t="str">
        <f t="shared" si="42"/>
        <v>Wright</v>
      </c>
      <c r="C1405" s="30">
        <v>124700</v>
      </c>
      <c r="D1405" s="30">
        <v>124697</v>
      </c>
      <c r="E1405" s="30">
        <v>125093</v>
      </c>
      <c r="F1405" s="30">
        <v>126229</v>
      </c>
      <c r="G1405" s="30">
        <v>127249</v>
      </c>
      <c r="H1405" s="30">
        <v>128199</v>
      </c>
      <c r="I1405" s="30">
        <v>129798</v>
      </c>
      <c r="J1405" s="30">
        <v>130973</v>
      </c>
      <c r="K1405" s="30">
        <v>132324</v>
      </c>
      <c r="L1405" s="30">
        <v>134205</v>
      </c>
      <c r="M1405" s="30">
        <v>136313</v>
      </c>
      <c r="N1405" s="30">
        <v>138377</v>
      </c>
      <c r="O1405" s="24" t="str">
        <f t="shared" si="43"/>
        <v>Wright County, Minnesota</v>
      </c>
    </row>
    <row r="1406" spans="1:15" x14ac:dyDescent="0.25">
      <c r="A1406" s="35" t="s">
        <v>1882</v>
      </c>
      <c r="B1406" s="28" t="str">
        <f t="shared" si="42"/>
        <v>Yellow Medicine</v>
      </c>
      <c r="C1406" s="30">
        <v>10438</v>
      </c>
      <c r="D1406" s="30">
        <v>10438</v>
      </c>
      <c r="E1406" s="30">
        <v>10423</v>
      </c>
      <c r="F1406" s="30">
        <v>10284</v>
      </c>
      <c r="G1406" s="30">
        <v>10153</v>
      </c>
      <c r="H1406" s="30">
        <v>10078</v>
      </c>
      <c r="I1406" s="30">
        <v>9982</v>
      </c>
      <c r="J1406" s="30">
        <v>9837</v>
      </c>
      <c r="K1406" s="30">
        <v>9888</v>
      </c>
      <c r="L1406" s="30">
        <v>9836</v>
      </c>
      <c r="M1406" s="30">
        <v>9799</v>
      </c>
      <c r="N1406" s="30">
        <v>9709</v>
      </c>
      <c r="O1406" s="24" t="str">
        <f t="shared" si="43"/>
        <v>Yellow Medicine County, Minnesota</v>
      </c>
    </row>
    <row r="1407" spans="1:15" x14ac:dyDescent="0.25">
      <c r="A1407" s="35" t="s">
        <v>1883</v>
      </c>
      <c r="B1407" s="28" t="str">
        <f t="shared" si="42"/>
        <v>Adams</v>
      </c>
      <c r="C1407" s="30">
        <v>32297</v>
      </c>
      <c r="D1407" s="30">
        <v>32300</v>
      </c>
      <c r="E1407" s="30">
        <v>32574</v>
      </c>
      <c r="F1407" s="30">
        <v>32435</v>
      </c>
      <c r="G1407" s="30">
        <v>32191</v>
      </c>
      <c r="H1407" s="30">
        <v>32111</v>
      </c>
      <c r="I1407" s="30">
        <v>32072</v>
      </c>
      <c r="J1407" s="30">
        <v>31561</v>
      </c>
      <c r="K1407" s="30">
        <v>31569</v>
      </c>
      <c r="L1407" s="30">
        <v>31462</v>
      </c>
      <c r="M1407" s="30">
        <v>31044</v>
      </c>
      <c r="N1407" s="30">
        <v>30693</v>
      </c>
      <c r="O1407" s="24" t="str">
        <f t="shared" si="43"/>
        <v>Adams County, Mississippi</v>
      </c>
    </row>
    <row r="1408" spans="1:15" x14ac:dyDescent="0.25">
      <c r="A1408" s="35" t="s">
        <v>1884</v>
      </c>
      <c r="B1408" s="28" t="str">
        <f t="shared" si="42"/>
        <v>Alcorn</v>
      </c>
      <c r="C1408" s="30">
        <v>37057</v>
      </c>
      <c r="D1408" s="30">
        <v>37062</v>
      </c>
      <c r="E1408" s="30">
        <v>37107</v>
      </c>
      <c r="F1408" s="30">
        <v>37282</v>
      </c>
      <c r="G1408" s="30">
        <v>37209</v>
      </c>
      <c r="H1408" s="30">
        <v>37281</v>
      </c>
      <c r="I1408" s="30">
        <v>37254</v>
      </c>
      <c r="J1408" s="30">
        <v>37276</v>
      </c>
      <c r="K1408" s="30">
        <v>37246</v>
      </c>
      <c r="L1408" s="30">
        <v>37165</v>
      </c>
      <c r="M1408" s="30">
        <v>36810</v>
      </c>
      <c r="N1408" s="30">
        <v>36953</v>
      </c>
      <c r="O1408" s="24" t="str">
        <f t="shared" si="43"/>
        <v>Alcorn County, Mississippi</v>
      </c>
    </row>
    <row r="1409" spans="1:15" x14ac:dyDescent="0.25">
      <c r="A1409" s="35" t="s">
        <v>1885</v>
      </c>
      <c r="B1409" s="28" t="str">
        <f t="shared" si="42"/>
        <v>Amite</v>
      </c>
      <c r="C1409" s="30">
        <v>13131</v>
      </c>
      <c r="D1409" s="30">
        <v>13136</v>
      </c>
      <c r="E1409" s="30">
        <v>13138</v>
      </c>
      <c r="F1409" s="30">
        <v>13142</v>
      </c>
      <c r="G1409" s="30">
        <v>12939</v>
      </c>
      <c r="H1409" s="30">
        <v>12856</v>
      </c>
      <c r="I1409" s="30">
        <v>12605</v>
      </c>
      <c r="J1409" s="30">
        <v>12553</v>
      </c>
      <c r="K1409" s="30">
        <v>12433</v>
      </c>
      <c r="L1409" s="30">
        <v>12448</v>
      </c>
      <c r="M1409" s="30">
        <v>12327</v>
      </c>
      <c r="N1409" s="30">
        <v>12297</v>
      </c>
      <c r="O1409" s="24" t="str">
        <f t="shared" si="43"/>
        <v>Amite County, Mississippi</v>
      </c>
    </row>
    <row r="1410" spans="1:15" x14ac:dyDescent="0.25">
      <c r="A1410" s="35" t="s">
        <v>1886</v>
      </c>
      <c r="B1410" s="28" t="str">
        <f t="shared" si="42"/>
        <v>Attala</v>
      </c>
      <c r="C1410" s="30">
        <v>19564</v>
      </c>
      <c r="D1410" s="30">
        <v>19562</v>
      </c>
      <c r="E1410" s="30">
        <v>19485</v>
      </c>
      <c r="F1410" s="30">
        <v>19385</v>
      </c>
      <c r="G1410" s="30">
        <v>19145</v>
      </c>
      <c r="H1410" s="30">
        <v>19110</v>
      </c>
      <c r="I1410" s="30">
        <v>18820</v>
      </c>
      <c r="J1410" s="30">
        <v>18665</v>
      </c>
      <c r="K1410" s="30">
        <v>18551</v>
      </c>
      <c r="L1410" s="30">
        <v>18467</v>
      </c>
      <c r="M1410" s="30">
        <v>18328</v>
      </c>
      <c r="N1410" s="30">
        <v>18174</v>
      </c>
      <c r="O1410" s="24" t="str">
        <f t="shared" si="43"/>
        <v>Attala County, Mississippi</v>
      </c>
    </row>
    <row r="1411" spans="1:15" x14ac:dyDescent="0.25">
      <c r="A1411" s="35" t="s">
        <v>1887</v>
      </c>
      <c r="B1411" s="28" t="str">
        <f t="shared" si="42"/>
        <v>Benton</v>
      </c>
      <c r="C1411" s="30">
        <v>8729</v>
      </c>
      <c r="D1411" s="30">
        <v>8728</v>
      </c>
      <c r="E1411" s="30">
        <v>8694</v>
      </c>
      <c r="F1411" s="30">
        <v>8715</v>
      </c>
      <c r="G1411" s="30">
        <v>8644</v>
      </c>
      <c r="H1411" s="30">
        <v>8493</v>
      </c>
      <c r="I1411" s="30">
        <v>8295</v>
      </c>
      <c r="J1411" s="30">
        <v>8155</v>
      </c>
      <c r="K1411" s="30">
        <v>8247</v>
      </c>
      <c r="L1411" s="30">
        <v>8255</v>
      </c>
      <c r="M1411" s="30">
        <v>8243</v>
      </c>
      <c r="N1411" s="30">
        <v>8259</v>
      </c>
      <c r="O1411" s="24" t="str">
        <f t="shared" si="43"/>
        <v>Benton County, Mississippi</v>
      </c>
    </row>
    <row r="1412" spans="1:15" x14ac:dyDescent="0.25">
      <c r="A1412" s="35" t="s">
        <v>1888</v>
      </c>
      <c r="B1412" s="28" t="str">
        <f t="shared" si="42"/>
        <v>Bolivar</v>
      </c>
      <c r="C1412" s="30">
        <v>34145</v>
      </c>
      <c r="D1412" s="30">
        <v>34153</v>
      </c>
      <c r="E1412" s="30">
        <v>34106</v>
      </c>
      <c r="F1412" s="30">
        <v>33807</v>
      </c>
      <c r="G1412" s="30">
        <v>33997</v>
      </c>
      <c r="H1412" s="30">
        <v>33979</v>
      </c>
      <c r="I1412" s="30">
        <v>33818</v>
      </c>
      <c r="J1412" s="30">
        <v>33230</v>
      </c>
      <c r="K1412" s="30">
        <v>32549</v>
      </c>
      <c r="L1412" s="30">
        <v>31718</v>
      </c>
      <c r="M1412" s="30">
        <v>31115</v>
      </c>
      <c r="N1412" s="30">
        <v>30628</v>
      </c>
      <c r="O1412" s="24" t="str">
        <f t="shared" si="43"/>
        <v>Bolivar County, Mississippi</v>
      </c>
    </row>
    <row r="1413" spans="1:15" x14ac:dyDescent="0.25">
      <c r="A1413" s="35" t="s">
        <v>1889</v>
      </c>
      <c r="B1413" s="28" t="str">
        <f t="shared" si="42"/>
        <v>Calhoun</v>
      </c>
      <c r="C1413" s="30">
        <v>14962</v>
      </c>
      <c r="D1413" s="30">
        <v>14957</v>
      </c>
      <c r="E1413" s="30">
        <v>14968</v>
      </c>
      <c r="F1413" s="30">
        <v>14905</v>
      </c>
      <c r="G1413" s="30">
        <v>14829</v>
      </c>
      <c r="H1413" s="30">
        <v>14708</v>
      </c>
      <c r="I1413" s="30">
        <v>14699</v>
      </c>
      <c r="J1413" s="30">
        <v>14639</v>
      </c>
      <c r="K1413" s="30">
        <v>14553</v>
      </c>
      <c r="L1413" s="30">
        <v>14508</v>
      </c>
      <c r="M1413" s="30">
        <v>14432</v>
      </c>
      <c r="N1413" s="30">
        <v>14361</v>
      </c>
      <c r="O1413" s="24" t="str">
        <f t="shared" si="43"/>
        <v>Calhoun County, Mississippi</v>
      </c>
    </row>
    <row r="1414" spans="1:15" x14ac:dyDescent="0.25">
      <c r="A1414" s="35" t="s">
        <v>1890</v>
      </c>
      <c r="B1414" s="28" t="str">
        <f t="shared" si="42"/>
        <v>Carroll</v>
      </c>
      <c r="C1414" s="30">
        <v>10597</v>
      </c>
      <c r="D1414" s="30">
        <v>10597</v>
      </c>
      <c r="E1414" s="30">
        <v>10602</v>
      </c>
      <c r="F1414" s="30">
        <v>10435</v>
      </c>
      <c r="G1414" s="30">
        <v>10400</v>
      </c>
      <c r="H1414" s="30">
        <v>10323</v>
      </c>
      <c r="I1414" s="30">
        <v>10235</v>
      </c>
      <c r="J1414" s="30">
        <v>10203</v>
      </c>
      <c r="K1414" s="30">
        <v>10186</v>
      </c>
      <c r="L1414" s="30">
        <v>10094</v>
      </c>
      <c r="M1414" s="30">
        <v>9920</v>
      </c>
      <c r="N1414" s="30">
        <v>9947</v>
      </c>
      <c r="O1414" s="24" t="str">
        <f t="shared" si="43"/>
        <v>Carroll County, Mississippi</v>
      </c>
    </row>
    <row r="1415" spans="1:15" x14ac:dyDescent="0.25">
      <c r="A1415" s="35" t="s">
        <v>1891</v>
      </c>
      <c r="B1415" s="28" t="str">
        <f t="shared" ref="B1415:B1478" si="44">LEFT(A1415,FIND("County",A1415,1)-2)</f>
        <v>Chickasaw</v>
      </c>
      <c r="C1415" s="30">
        <v>17392</v>
      </c>
      <c r="D1415" s="30">
        <v>17392</v>
      </c>
      <c r="E1415" s="30">
        <v>17440</v>
      </c>
      <c r="F1415" s="30">
        <v>17500</v>
      </c>
      <c r="G1415" s="30">
        <v>17502</v>
      </c>
      <c r="H1415" s="30">
        <v>17384</v>
      </c>
      <c r="I1415" s="30">
        <v>17404</v>
      </c>
      <c r="J1415" s="30">
        <v>17395</v>
      </c>
      <c r="K1415" s="30">
        <v>17224</v>
      </c>
      <c r="L1415" s="30">
        <v>17144</v>
      </c>
      <c r="M1415" s="30">
        <v>17100</v>
      </c>
      <c r="N1415" s="30">
        <v>17103</v>
      </c>
      <c r="O1415" s="24" t="str">
        <f t="shared" ref="O1415:O1478" si="45">A1415</f>
        <v>Chickasaw County, Mississippi</v>
      </c>
    </row>
    <row r="1416" spans="1:15" x14ac:dyDescent="0.25">
      <c r="A1416" s="35" t="s">
        <v>1892</v>
      </c>
      <c r="B1416" s="28" t="str">
        <f t="shared" si="44"/>
        <v>Choctaw</v>
      </c>
      <c r="C1416" s="30">
        <v>8547</v>
      </c>
      <c r="D1416" s="30">
        <v>8551</v>
      </c>
      <c r="E1416" s="30">
        <v>8572</v>
      </c>
      <c r="F1416" s="30">
        <v>8450</v>
      </c>
      <c r="G1416" s="30">
        <v>8428</v>
      </c>
      <c r="H1416" s="30">
        <v>8461</v>
      </c>
      <c r="I1416" s="30">
        <v>8388</v>
      </c>
      <c r="J1416" s="30">
        <v>8372</v>
      </c>
      <c r="K1416" s="30">
        <v>8299</v>
      </c>
      <c r="L1416" s="30">
        <v>8240</v>
      </c>
      <c r="M1416" s="30">
        <v>8265</v>
      </c>
      <c r="N1416" s="30">
        <v>8210</v>
      </c>
      <c r="O1416" s="24" t="str">
        <f t="shared" si="45"/>
        <v>Choctaw County, Mississippi</v>
      </c>
    </row>
    <row r="1417" spans="1:15" x14ac:dyDescent="0.25">
      <c r="A1417" s="35" t="s">
        <v>1893</v>
      </c>
      <c r="B1417" s="28" t="str">
        <f t="shared" si="44"/>
        <v>Claiborne</v>
      </c>
      <c r="C1417" s="30">
        <v>9604</v>
      </c>
      <c r="D1417" s="30">
        <v>9597</v>
      </c>
      <c r="E1417" s="30">
        <v>9581</v>
      </c>
      <c r="F1417" s="30">
        <v>9780</v>
      </c>
      <c r="G1417" s="30">
        <v>9353</v>
      </c>
      <c r="H1417" s="30">
        <v>9143</v>
      </c>
      <c r="I1417" s="30">
        <v>9167</v>
      </c>
      <c r="J1417" s="30">
        <v>9209</v>
      </c>
      <c r="K1417" s="30">
        <v>9152</v>
      </c>
      <c r="L1417" s="30">
        <v>9026</v>
      </c>
      <c r="M1417" s="30">
        <v>9072</v>
      </c>
      <c r="N1417" s="30">
        <v>8988</v>
      </c>
      <c r="O1417" s="24" t="str">
        <f t="shared" si="45"/>
        <v>Claiborne County, Mississippi</v>
      </c>
    </row>
    <row r="1418" spans="1:15" x14ac:dyDescent="0.25">
      <c r="A1418" s="35" t="s">
        <v>1894</v>
      </c>
      <c r="B1418" s="28" t="str">
        <f t="shared" si="44"/>
        <v>Clarke</v>
      </c>
      <c r="C1418" s="30">
        <v>16732</v>
      </c>
      <c r="D1418" s="30">
        <v>16728</v>
      </c>
      <c r="E1418" s="30">
        <v>16727</v>
      </c>
      <c r="F1418" s="30">
        <v>16695</v>
      </c>
      <c r="G1418" s="30">
        <v>16529</v>
      </c>
      <c r="H1418" s="30">
        <v>16417</v>
      </c>
      <c r="I1418" s="30">
        <v>16276</v>
      </c>
      <c r="J1418" s="30">
        <v>16022</v>
      </c>
      <c r="K1418" s="30">
        <v>15896</v>
      </c>
      <c r="L1418" s="30">
        <v>15805</v>
      </c>
      <c r="M1418" s="30">
        <v>15585</v>
      </c>
      <c r="N1418" s="30">
        <v>15541</v>
      </c>
      <c r="O1418" s="24" t="str">
        <f t="shared" si="45"/>
        <v>Clarke County, Mississippi</v>
      </c>
    </row>
    <row r="1419" spans="1:15" x14ac:dyDescent="0.25">
      <c r="A1419" s="35" t="s">
        <v>1895</v>
      </c>
      <c r="B1419" s="28" t="str">
        <f t="shared" si="44"/>
        <v>Clay</v>
      </c>
      <c r="C1419" s="30">
        <v>20634</v>
      </c>
      <c r="D1419" s="30">
        <v>20648</v>
      </c>
      <c r="E1419" s="30">
        <v>20560</v>
      </c>
      <c r="F1419" s="30">
        <v>20496</v>
      </c>
      <c r="G1419" s="30">
        <v>20397</v>
      </c>
      <c r="H1419" s="30">
        <v>20355</v>
      </c>
      <c r="I1419" s="30">
        <v>20146</v>
      </c>
      <c r="J1419" s="30">
        <v>20005</v>
      </c>
      <c r="K1419" s="30">
        <v>19854</v>
      </c>
      <c r="L1419" s="30">
        <v>19621</v>
      </c>
      <c r="M1419" s="30">
        <v>19404</v>
      </c>
      <c r="N1419" s="30">
        <v>19316</v>
      </c>
      <c r="O1419" s="24" t="str">
        <f t="shared" si="45"/>
        <v>Clay County, Mississippi</v>
      </c>
    </row>
    <row r="1420" spans="1:15" x14ac:dyDescent="0.25">
      <c r="A1420" s="35" t="s">
        <v>1896</v>
      </c>
      <c r="B1420" s="28" t="str">
        <f t="shared" si="44"/>
        <v>Coahoma</v>
      </c>
      <c r="C1420" s="30">
        <v>26151</v>
      </c>
      <c r="D1420" s="30">
        <v>26145</v>
      </c>
      <c r="E1420" s="30">
        <v>26106</v>
      </c>
      <c r="F1420" s="30">
        <v>25851</v>
      </c>
      <c r="G1420" s="30">
        <v>25616</v>
      </c>
      <c r="H1420" s="30">
        <v>25182</v>
      </c>
      <c r="I1420" s="30">
        <v>24840</v>
      </c>
      <c r="J1420" s="30">
        <v>24500</v>
      </c>
      <c r="K1420" s="30">
        <v>23834</v>
      </c>
      <c r="L1420" s="30">
        <v>23214</v>
      </c>
      <c r="M1420" s="30">
        <v>22605</v>
      </c>
      <c r="N1420" s="30">
        <v>22124</v>
      </c>
      <c r="O1420" s="24" t="str">
        <f t="shared" si="45"/>
        <v>Coahoma County, Mississippi</v>
      </c>
    </row>
    <row r="1421" spans="1:15" x14ac:dyDescent="0.25">
      <c r="A1421" s="35" t="s">
        <v>1897</v>
      </c>
      <c r="B1421" s="28" t="str">
        <f t="shared" si="44"/>
        <v>Copiah</v>
      </c>
      <c r="C1421" s="30">
        <v>29449</v>
      </c>
      <c r="D1421" s="30">
        <v>29448</v>
      </c>
      <c r="E1421" s="30">
        <v>29434</v>
      </c>
      <c r="F1421" s="30">
        <v>29278</v>
      </c>
      <c r="G1421" s="30">
        <v>29047</v>
      </c>
      <c r="H1421" s="30">
        <v>28941</v>
      </c>
      <c r="I1421" s="30">
        <v>28977</v>
      </c>
      <c r="J1421" s="30">
        <v>28865</v>
      </c>
      <c r="K1421" s="30">
        <v>28647</v>
      </c>
      <c r="L1421" s="30">
        <v>28528</v>
      </c>
      <c r="M1421" s="30">
        <v>28400</v>
      </c>
      <c r="N1421" s="30">
        <v>28065</v>
      </c>
      <c r="O1421" s="24" t="str">
        <f t="shared" si="45"/>
        <v>Copiah County, Mississippi</v>
      </c>
    </row>
    <row r="1422" spans="1:15" x14ac:dyDescent="0.25">
      <c r="A1422" s="35" t="s">
        <v>1898</v>
      </c>
      <c r="B1422" s="28" t="str">
        <f t="shared" si="44"/>
        <v>Covington</v>
      </c>
      <c r="C1422" s="30">
        <v>19568</v>
      </c>
      <c r="D1422" s="30">
        <v>19573</v>
      </c>
      <c r="E1422" s="30">
        <v>19577</v>
      </c>
      <c r="F1422" s="30">
        <v>19485</v>
      </c>
      <c r="G1422" s="30">
        <v>19443</v>
      </c>
      <c r="H1422" s="30">
        <v>19208</v>
      </c>
      <c r="I1422" s="30">
        <v>19151</v>
      </c>
      <c r="J1422" s="30">
        <v>19243</v>
      </c>
      <c r="K1422" s="30">
        <v>19174</v>
      </c>
      <c r="L1422" s="30">
        <v>19014</v>
      </c>
      <c r="M1422" s="30">
        <v>18825</v>
      </c>
      <c r="N1422" s="30">
        <v>18636</v>
      </c>
      <c r="O1422" s="24" t="str">
        <f t="shared" si="45"/>
        <v>Covington County, Mississippi</v>
      </c>
    </row>
    <row r="1423" spans="1:15" x14ac:dyDescent="0.25">
      <c r="A1423" s="35" t="s">
        <v>1899</v>
      </c>
      <c r="B1423" s="28" t="str">
        <f t="shared" si="44"/>
        <v>DeSoto</v>
      </c>
      <c r="C1423" s="30">
        <v>161252</v>
      </c>
      <c r="D1423" s="30">
        <v>161267</v>
      </c>
      <c r="E1423" s="30">
        <v>161778</v>
      </c>
      <c r="F1423" s="30">
        <v>164075</v>
      </c>
      <c r="G1423" s="30">
        <v>166426</v>
      </c>
      <c r="H1423" s="30">
        <v>168370</v>
      </c>
      <c r="I1423" s="30">
        <v>170760</v>
      </c>
      <c r="J1423" s="30">
        <v>173271</v>
      </c>
      <c r="K1423" s="30">
        <v>175721</v>
      </c>
      <c r="L1423" s="30">
        <v>179005</v>
      </c>
      <c r="M1423" s="30">
        <v>181932</v>
      </c>
      <c r="N1423" s="30">
        <v>184945</v>
      </c>
      <c r="O1423" s="24" t="str">
        <f t="shared" si="45"/>
        <v>DeSoto County, Mississippi</v>
      </c>
    </row>
    <row r="1424" spans="1:15" x14ac:dyDescent="0.25">
      <c r="A1424" s="35" t="s">
        <v>1900</v>
      </c>
      <c r="B1424" s="28" t="str">
        <f t="shared" si="44"/>
        <v>Forrest</v>
      </c>
      <c r="C1424" s="30">
        <v>74934</v>
      </c>
      <c r="D1424" s="30">
        <v>74862</v>
      </c>
      <c r="E1424" s="30">
        <v>74941</v>
      </c>
      <c r="F1424" s="30">
        <v>75790</v>
      </c>
      <c r="G1424" s="30">
        <v>76412</v>
      </c>
      <c r="H1424" s="30">
        <v>76584</v>
      </c>
      <c r="I1424" s="30">
        <v>75822</v>
      </c>
      <c r="J1424" s="30">
        <v>75593</v>
      </c>
      <c r="K1424" s="30">
        <v>75564</v>
      </c>
      <c r="L1424" s="30">
        <v>75155</v>
      </c>
      <c r="M1424" s="30">
        <v>74912</v>
      </c>
      <c r="N1424" s="30">
        <v>74897</v>
      </c>
      <c r="O1424" s="24" t="str">
        <f t="shared" si="45"/>
        <v>Forrest County, Mississippi</v>
      </c>
    </row>
    <row r="1425" spans="1:15" x14ac:dyDescent="0.25">
      <c r="A1425" s="35" t="s">
        <v>1901</v>
      </c>
      <c r="B1425" s="28" t="str">
        <f t="shared" si="44"/>
        <v>Franklin</v>
      </c>
      <c r="C1425" s="30">
        <v>8118</v>
      </c>
      <c r="D1425" s="30">
        <v>8118</v>
      </c>
      <c r="E1425" s="30">
        <v>8110</v>
      </c>
      <c r="F1425" s="30">
        <v>7984</v>
      </c>
      <c r="G1425" s="30">
        <v>7901</v>
      </c>
      <c r="H1425" s="30">
        <v>7876</v>
      </c>
      <c r="I1425" s="30">
        <v>7775</v>
      </c>
      <c r="J1425" s="30">
        <v>7729</v>
      </c>
      <c r="K1425" s="30">
        <v>7709</v>
      </c>
      <c r="L1425" s="30">
        <v>7754</v>
      </c>
      <c r="M1425" s="30">
        <v>7758</v>
      </c>
      <c r="N1425" s="30">
        <v>7713</v>
      </c>
      <c r="O1425" s="24" t="str">
        <f t="shared" si="45"/>
        <v>Franklin County, Mississippi</v>
      </c>
    </row>
    <row r="1426" spans="1:15" x14ac:dyDescent="0.25">
      <c r="A1426" s="35" t="s">
        <v>1902</v>
      </c>
      <c r="B1426" s="28" t="str">
        <f t="shared" si="44"/>
        <v>George</v>
      </c>
      <c r="C1426" s="30">
        <v>22578</v>
      </c>
      <c r="D1426" s="30">
        <v>22583</v>
      </c>
      <c r="E1426" s="30">
        <v>22655</v>
      </c>
      <c r="F1426" s="30">
        <v>22856</v>
      </c>
      <c r="G1426" s="30">
        <v>22915</v>
      </c>
      <c r="H1426" s="30">
        <v>23213</v>
      </c>
      <c r="I1426" s="30">
        <v>23321</v>
      </c>
      <c r="J1426" s="30">
        <v>23378</v>
      </c>
      <c r="K1426" s="30">
        <v>23645</v>
      </c>
      <c r="L1426" s="30">
        <v>23951</v>
      </c>
      <c r="M1426" s="30">
        <v>24110</v>
      </c>
      <c r="N1426" s="30">
        <v>24500</v>
      </c>
      <c r="O1426" s="24" t="str">
        <f t="shared" si="45"/>
        <v>George County, Mississippi</v>
      </c>
    </row>
    <row r="1427" spans="1:15" x14ac:dyDescent="0.25">
      <c r="A1427" s="35" t="s">
        <v>1903</v>
      </c>
      <c r="B1427" s="28" t="str">
        <f t="shared" si="44"/>
        <v>Greene</v>
      </c>
      <c r="C1427" s="30">
        <v>14400</v>
      </c>
      <c r="D1427" s="30">
        <v>14391</v>
      </c>
      <c r="E1427" s="30">
        <v>14389</v>
      </c>
      <c r="F1427" s="30">
        <v>14323</v>
      </c>
      <c r="G1427" s="30">
        <v>14333</v>
      </c>
      <c r="H1427" s="30">
        <v>14288</v>
      </c>
      <c r="I1427" s="30">
        <v>14340</v>
      </c>
      <c r="J1427" s="30">
        <v>13549</v>
      </c>
      <c r="K1427" s="30">
        <v>13566</v>
      </c>
      <c r="L1427" s="30">
        <v>13529</v>
      </c>
      <c r="M1427" s="30">
        <v>13996</v>
      </c>
      <c r="N1427" s="30">
        <v>13586</v>
      </c>
      <c r="O1427" s="24" t="str">
        <f t="shared" si="45"/>
        <v>Greene County, Mississippi</v>
      </c>
    </row>
    <row r="1428" spans="1:15" x14ac:dyDescent="0.25">
      <c r="A1428" s="35" t="s">
        <v>1904</v>
      </c>
      <c r="B1428" s="28" t="str">
        <f t="shared" si="44"/>
        <v>Grenada</v>
      </c>
      <c r="C1428" s="30">
        <v>21906</v>
      </c>
      <c r="D1428" s="30">
        <v>21898</v>
      </c>
      <c r="E1428" s="30">
        <v>21835</v>
      </c>
      <c r="F1428" s="30">
        <v>21603</v>
      </c>
      <c r="G1428" s="30">
        <v>21614</v>
      </c>
      <c r="H1428" s="30">
        <v>21529</v>
      </c>
      <c r="I1428" s="30">
        <v>21596</v>
      </c>
      <c r="J1428" s="30">
        <v>21444</v>
      </c>
      <c r="K1428" s="30">
        <v>21219</v>
      </c>
      <c r="L1428" s="30">
        <v>21037</v>
      </c>
      <c r="M1428" s="30">
        <v>20984</v>
      </c>
      <c r="N1428" s="30">
        <v>20758</v>
      </c>
      <c r="O1428" s="24" t="str">
        <f t="shared" si="45"/>
        <v>Grenada County, Mississippi</v>
      </c>
    </row>
    <row r="1429" spans="1:15" x14ac:dyDescent="0.25">
      <c r="A1429" s="35" t="s">
        <v>1905</v>
      </c>
      <c r="B1429" s="28" t="str">
        <f t="shared" si="44"/>
        <v>Hancock</v>
      </c>
      <c r="C1429" s="30">
        <v>43929</v>
      </c>
      <c r="D1429" s="30">
        <v>44023</v>
      </c>
      <c r="E1429" s="30">
        <v>44089</v>
      </c>
      <c r="F1429" s="30">
        <v>44744</v>
      </c>
      <c r="G1429" s="30">
        <v>45263</v>
      </c>
      <c r="H1429" s="30">
        <v>45522</v>
      </c>
      <c r="I1429" s="30">
        <v>45980</v>
      </c>
      <c r="J1429" s="30">
        <v>46305</v>
      </c>
      <c r="K1429" s="30">
        <v>46643</v>
      </c>
      <c r="L1429" s="30">
        <v>46949</v>
      </c>
      <c r="M1429" s="30">
        <v>47278</v>
      </c>
      <c r="N1429" s="30">
        <v>47632</v>
      </c>
      <c r="O1429" s="24" t="str">
        <f t="shared" si="45"/>
        <v>Hancock County, Mississippi</v>
      </c>
    </row>
    <row r="1430" spans="1:15" x14ac:dyDescent="0.25">
      <c r="A1430" s="35" t="s">
        <v>1906</v>
      </c>
      <c r="B1430" s="28" t="str">
        <f t="shared" si="44"/>
        <v>Harrison</v>
      </c>
      <c r="C1430" s="30">
        <v>187105</v>
      </c>
      <c r="D1430" s="30">
        <v>187109</v>
      </c>
      <c r="E1430" s="30">
        <v>187859</v>
      </c>
      <c r="F1430" s="30">
        <v>191070</v>
      </c>
      <c r="G1430" s="30">
        <v>193540</v>
      </c>
      <c r="H1430" s="30">
        <v>196134</v>
      </c>
      <c r="I1430" s="30">
        <v>198340</v>
      </c>
      <c r="J1430" s="30">
        <v>200674</v>
      </c>
      <c r="K1430" s="30">
        <v>202504</v>
      </c>
      <c r="L1430" s="30">
        <v>204966</v>
      </c>
      <c r="M1430" s="30">
        <v>206284</v>
      </c>
      <c r="N1430" s="30">
        <v>208080</v>
      </c>
      <c r="O1430" s="24" t="str">
        <f t="shared" si="45"/>
        <v>Harrison County, Mississippi</v>
      </c>
    </row>
    <row r="1431" spans="1:15" x14ac:dyDescent="0.25">
      <c r="A1431" s="35" t="s">
        <v>1907</v>
      </c>
      <c r="B1431" s="28" t="str">
        <f t="shared" si="44"/>
        <v>Hinds</v>
      </c>
      <c r="C1431" s="30">
        <v>245285</v>
      </c>
      <c r="D1431" s="30">
        <v>245364</v>
      </c>
      <c r="E1431" s="30">
        <v>245720</v>
      </c>
      <c r="F1431" s="30">
        <v>248205</v>
      </c>
      <c r="G1431" s="30">
        <v>247997</v>
      </c>
      <c r="H1431" s="30">
        <v>246250</v>
      </c>
      <c r="I1431" s="30">
        <v>245291</v>
      </c>
      <c r="J1431" s="30">
        <v>244216</v>
      </c>
      <c r="K1431" s="30">
        <v>242176</v>
      </c>
      <c r="L1431" s="30">
        <v>239929</v>
      </c>
      <c r="M1431" s="30">
        <v>235824</v>
      </c>
      <c r="N1431" s="30">
        <v>231840</v>
      </c>
      <c r="O1431" s="24" t="str">
        <f t="shared" si="45"/>
        <v>Hinds County, Mississippi</v>
      </c>
    </row>
    <row r="1432" spans="1:15" x14ac:dyDescent="0.25">
      <c r="A1432" s="35" t="s">
        <v>1908</v>
      </c>
      <c r="B1432" s="28" t="str">
        <f t="shared" si="44"/>
        <v>Holmes</v>
      </c>
      <c r="C1432" s="30">
        <v>19198</v>
      </c>
      <c r="D1432" s="30">
        <v>19483</v>
      </c>
      <c r="E1432" s="30">
        <v>19405</v>
      </c>
      <c r="F1432" s="30">
        <v>19081</v>
      </c>
      <c r="G1432" s="30">
        <v>18919</v>
      </c>
      <c r="H1432" s="30">
        <v>18802</v>
      </c>
      <c r="I1432" s="30">
        <v>18510</v>
      </c>
      <c r="J1432" s="30">
        <v>18367</v>
      </c>
      <c r="K1432" s="30">
        <v>18017</v>
      </c>
      <c r="L1432" s="30">
        <v>17849</v>
      </c>
      <c r="M1432" s="30">
        <v>17444</v>
      </c>
      <c r="N1432" s="30">
        <v>17010</v>
      </c>
      <c r="O1432" s="24" t="str">
        <f t="shared" si="45"/>
        <v>Holmes County, Mississippi</v>
      </c>
    </row>
    <row r="1433" spans="1:15" x14ac:dyDescent="0.25">
      <c r="A1433" s="35" t="s">
        <v>1909</v>
      </c>
      <c r="B1433" s="28" t="str">
        <f t="shared" si="44"/>
        <v>Humphreys</v>
      </c>
      <c r="C1433" s="30">
        <v>9375</v>
      </c>
      <c r="D1433" s="30">
        <v>9373</v>
      </c>
      <c r="E1433" s="30">
        <v>9334</v>
      </c>
      <c r="F1433" s="30">
        <v>9315</v>
      </c>
      <c r="G1433" s="30">
        <v>9211</v>
      </c>
      <c r="H1433" s="30">
        <v>8963</v>
      </c>
      <c r="I1433" s="30">
        <v>8793</v>
      </c>
      <c r="J1433" s="30">
        <v>8705</v>
      </c>
      <c r="K1433" s="30">
        <v>8588</v>
      </c>
      <c r="L1433" s="30">
        <v>8333</v>
      </c>
      <c r="M1433" s="30">
        <v>8256</v>
      </c>
      <c r="N1433" s="30">
        <v>8064</v>
      </c>
      <c r="O1433" s="24" t="str">
        <f t="shared" si="45"/>
        <v>Humphreys County, Mississippi</v>
      </c>
    </row>
    <row r="1434" spans="1:15" x14ac:dyDescent="0.25">
      <c r="A1434" s="35" t="s">
        <v>1910</v>
      </c>
      <c r="B1434" s="28" t="str">
        <f t="shared" si="44"/>
        <v>Issaquena</v>
      </c>
      <c r="C1434" s="30">
        <v>1406</v>
      </c>
      <c r="D1434" s="30">
        <v>1399</v>
      </c>
      <c r="E1434" s="30">
        <v>1386</v>
      </c>
      <c r="F1434" s="30">
        <v>1388</v>
      </c>
      <c r="G1434" s="30">
        <v>1396</v>
      </c>
      <c r="H1434" s="30">
        <v>1406</v>
      </c>
      <c r="I1434" s="30">
        <v>1387</v>
      </c>
      <c r="J1434" s="30">
        <v>1337</v>
      </c>
      <c r="K1434" s="30">
        <v>1326</v>
      </c>
      <c r="L1434" s="30">
        <v>1341</v>
      </c>
      <c r="M1434" s="30">
        <v>1307</v>
      </c>
      <c r="N1434" s="30">
        <v>1327</v>
      </c>
      <c r="O1434" s="24" t="str">
        <f t="shared" si="45"/>
        <v>Issaquena County, Mississippi</v>
      </c>
    </row>
    <row r="1435" spans="1:15" x14ac:dyDescent="0.25">
      <c r="A1435" s="35" t="s">
        <v>1911</v>
      </c>
      <c r="B1435" s="28" t="str">
        <f t="shared" si="44"/>
        <v>Itawamba</v>
      </c>
      <c r="C1435" s="30">
        <v>23401</v>
      </c>
      <c r="D1435" s="30">
        <v>23401</v>
      </c>
      <c r="E1435" s="30">
        <v>23419</v>
      </c>
      <c r="F1435" s="30">
        <v>23269</v>
      </c>
      <c r="G1435" s="30">
        <v>23299</v>
      </c>
      <c r="H1435" s="30">
        <v>23373</v>
      </c>
      <c r="I1435" s="30">
        <v>23397</v>
      </c>
      <c r="J1435" s="30">
        <v>23543</v>
      </c>
      <c r="K1435" s="30">
        <v>23416</v>
      </c>
      <c r="L1435" s="30">
        <v>23499</v>
      </c>
      <c r="M1435" s="30">
        <v>23461</v>
      </c>
      <c r="N1435" s="30">
        <v>23390</v>
      </c>
      <c r="O1435" s="24" t="str">
        <f t="shared" si="45"/>
        <v>Itawamba County, Mississippi</v>
      </c>
    </row>
    <row r="1436" spans="1:15" x14ac:dyDescent="0.25">
      <c r="A1436" s="35" t="s">
        <v>1912</v>
      </c>
      <c r="B1436" s="28" t="str">
        <f t="shared" si="44"/>
        <v>Jackson</v>
      </c>
      <c r="C1436" s="30">
        <v>139668</v>
      </c>
      <c r="D1436" s="30">
        <v>139669</v>
      </c>
      <c r="E1436" s="30">
        <v>139469</v>
      </c>
      <c r="F1436" s="30">
        <v>140029</v>
      </c>
      <c r="G1436" s="30">
        <v>139949</v>
      </c>
      <c r="H1436" s="30">
        <v>140324</v>
      </c>
      <c r="I1436" s="30">
        <v>141432</v>
      </c>
      <c r="J1436" s="30">
        <v>141354</v>
      </c>
      <c r="K1436" s="30">
        <v>141535</v>
      </c>
      <c r="L1436" s="30">
        <v>142246</v>
      </c>
      <c r="M1436" s="30">
        <v>143127</v>
      </c>
      <c r="N1436" s="30">
        <v>143617</v>
      </c>
      <c r="O1436" s="24" t="str">
        <f t="shared" si="45"/>
        <v>Jackson County, Mississippi</v>
      </c>
    </row>
    <row r="1437" spans="1:15" x14ac:dyDescent="0.25">
      <c r="A1437" s="35" t="s">
        <v>1913</v>
      </c>
      <c r="B1437" s="28" t="str">
        <f t="shared" si="44"/>
        <v>Jasper</v>
      </c>
      <c r="C1437" s="30">
        <v>17062</v>
      </c>
      <c r="D1437" s="30">
        <v>17073</v>
      </c>
      <c r="E1437" s="30">
        <v>17018</v>
      </c>
      <c r="F1437" s="30">
        <v>16862</v>
      </c>
      <c r="G1437" s="30">
        <v>16564</v>
      </c>
      <c r="H1437" s="30">
        <v>16496</v>
      </c>
      <c r="I1437" s="30">
        <v>16536</v>
      </c>
      <c r="J1437" s="30">
        <v>16554</v>
      </c>
      <c r="K1437" s="30">
        <v>16588</v>
      </c>
      <c r="L1437" s="30">
        <v>16574</v>
      </c>
      <c r="M1437" s="30">
        <v>16425</v>
      </c>
      <c r="N1437" s="30">
        <v>16383</v>
      </c>
      <c r="O1437" s="24" t="str">
        <f t="shared" si="45"/>
        <v>Jasper County, Mississippi</v>
      </c>
    </row>
    <row r="1438" spans="1:15" x14ac:dyDescent="0.25">
      <c r="A1438" s="35" t="s">
        <v>1914</v>
      </c>
      <c r="B1438" s="28" t="str">
        <f t="shared" si="44"/>
        <v>Jefferson</v>
      </c>
      <c r="C1438" s="30">
        <v>7726</v>
      </c>
      <c r="D1438" s="30">
        <v>7732</v>
      </c>
      <c r="E1438" s="30">
        <v>7721</v>
      </c>
      <c r="F1438" s="30">
        <v>7595</v>
      </c>
      <c r="G1438" s="30">
        <v>7679</v>
      </c>
      <c r="H1438" s="30">
        <v>7655</v>
      </c>
      <c r="I1438" s="30">
        <v>7579</v>
      </c>
      <c r="J1438" s="30">
        <v>7503</v>
      </c>
      <c r="K1438" s="30">
        <v>7312</v>
      </c>
      <c r="L1438" s="30">
        <v>7227</v>
      </c>
      <c r="M1438" s="30">
        <v>7093</v>
      </c>
      <c r="N1438" s="30">
        <v>6990</v>
      </c>
      <c r="O1438" s="24" t="str">
        <f t="shared" si="45"/>
        <v>Jefferson County, Mississippi</v>
      </c>
    </row>
    <row r="1439" spans="1:15" x14ac:dyDescent="0.25">
      <c r="A1439" s="35" t="s">
        <v>1915</v>
      </c>
      <c r="B1439" s="28" t="str">
        <f t="shared" si="44"/>
        <v>Jefferson Davis</v>
      </c>
      <c r="C1439" s="30">
        <v>12487</v>
      </c>
      <c r="D1439" s="30">
        <v>12471</v>
      </c>
      <c r="E1439" s="30">
        <v>12462</v>
      </c>
      <c r="F1439" s="30">
        <v>12161</v>
      </c>
      <c r="G1439" s="30">
        <v>12067</v>
      </c>
      <c r="H1439" s="30">
        <v>11944</v>
      </c>
      <c r="I1439" s="30">
        <v>11815</v>
      </c>
      <c r="J1439" s="30">
        <v>11632</v>
      </c>
      <c r="K1439" s="30">
        <v>11436</v>
      </c>
      <c r="L1439" s="30">
        <v>11284</v>
      </c>
      <c r="M1439" s="30">
        <v>11215</v>
      </c>
      <c r="N1439" s="30">
        <v>11128</v>
      </c>
      <c r="O1439" s="24" t="str">
        <f t="shared" si="45"/>
        <v>Jefferson Davis County, Mississippi</v>
      </c>
    </row>
    <row r="1440" spans="1:15" x14ac:dyDescent="0.25">
      <c r="A1440" s="35" t="s">
        <v>1916</v>
      </c>
      <c r="B1440" s="28" t="str">
        <f t="shared" si="44"/>
        <v>Jones</v>
      </c>
      <c r="C1440" s="30">
        <v>67761</v>
      </c>
      <c r="D1440" s="30">
        <v>67768</v>
      </c>
      <c r="E1440" s="30">
        <v>67809</v>
      </c>
      <c r="F1440" s="30">
        <v>67927</v>
      </c>
      <c r="G1440" s="30">
        <v>68419</v>
      </c>
      <c r="H1440" s="30">
        <v>68954</v>
      </c>
      <c r="I1440" s="30">
        <v>68396</v>
      </c>
      <c r="J1440" s="30">
        <v>68629</v>
      </c>
      <c r="K1440" s="30">
        <v>68473</v>
      </c>
      <c r="L1440" s="30">
        <v>68364</v>
      </c>
      <c r="M1440" s="30">
        <v>68196</v>
      </c>
      <c r="N1440" s="30">
        <v>68098</v>
      </c>
      <c r="O1440" s="24" t="str">
        <f t="shared" si="45"/>
        <v>Jones County, Mississippi</v>
      </c>
    </row>
    <row r="1441" spans="1:15" x14ac:dyDescent="0.25">
      <c r="A1441" s="35" t="s">
        <v>1917</v>
      </c>
      <c r="B1441" s="28" t="str">
        <f t="shared" si="44"/>
        <v>Kemper</v>
      </c>
      <c r="C1441" s="30">
        <v>10456</v>
      </c>
      <c r="D1441" s="30">
        <v>10438</v>
      </c>
      <c r="E1441" s="30">
        <v>10449</v>
      </c>
      <c r="F1441" s="30">
        <v>10289</v>
      </c>
      <c r="G1441" s="30">
        <v>10389</v>
      </c>
      <c r="H1441" s="30">
        <v>10294</v>
      </c>
      <c r="I1441" s="30">
        <v>10222</v>
      </c>
      <c r="J1441" s="30">
        <v>10111</v>
      </c>
      <c r="K1441" s="30">
        <v>10035</v>
      </c>
      <c r="L1441" s="30">
        <v>10093</v>
      </c>
      <c r="M1441" s="30">
        <v>9733</v>
      </c>
      <c r="N1441" s="30">
        <v>9742</v>
      </c>
      <c r="O1441" s="24" t="str">
        <f t="shared" si="45"/>
        <v>Kemper County, Mississippi</v>
      </c>
    </row>
    <row r="1442" spans="1:15" x14ac:dyDescent="0.25">
      <c r="A1442" s="35" t="s">
        <v>1918</v>
      </c>
      <c r="B1442" s="28" t="str">
        <f t="shared" si="44"/>
        <v>Lafayette</v>
      </c>
      <c r="C1442" s="30">
        <v>47351</v>
      </c>
      <c r="D1442" s="30">
        <v>47361</v>
      </c>
      <c r="E1442" s="30">
        <v>47568</v>
      </c>
      <c r="F1442" s="30">
        <v>48403</v>
      </c>
      <c r="G1442" s="30">
        <v>50221</v>
      </c>
      <c r="H1442" s="30">
        <v>51565</v>
      </c>
      <c r="I1442" s="30">
        <v>52032</v>
      </c>
      <c r="J1442" s="30">
        <v>52736</v>
      </c>
      <c r="K1442" s="30">
        <v>53476</v>
      </c>
      <c r="L1442" s="30">
        <v>54178</v>
      </c>
      <c r="M1442" s="30">
        <v>53542</v>
      </c>
      <c r="N1442" s="30">
        <v>54019</v>
      </c>
      <c r="O1442" s="24" t="str">
        <f t="shared" si="45"/>
        <v>Lafayette County, Mississippi</v>
      </c>
    </row>
    <row r="1443" spans="1:15" x14ac:dyDescent="0.25">
      <c r="A1443" s="35" t="s">
        <v>1919</v>
      </c>
      <c r="B1443" s="28" t="str">
        <f t="shared" si="44"/>
        <v>Lamar</v>
      </c>
      <c r="C1443" s="30">
        <v>55658</v>
      </c>
      <c r="D1443" s="30">
        <v>55732</v>
      </c>
      <c r="E1443" s="30">
        <v>56104</v>
      </c>
      <c r="F1443" s="30">
        <v>57375</v>
      </c>
      <c r="G1443" s="30">
        <v>58143</v>
      </c>
      <c r="H1443" s="30">
        <v>59170</v>
      </c>
      <c r="I1443" s="30">
        <v>60153</v>
      </c>
      <c r="J1443" s="30">
        <v>60966</v>
      </c>
      <c r="K1443" s="30">
        <v>61364</v>
      </c>
      <c r="L1443" s="30">
        <v>61536</v>
      </c>
      <c r="M1443" s="30">
        <v>62637</v>
      </c>
      <c r="N1443" s="30">
        <v>63343</v>
      </c>
      <c r="O1443" s="24" t="str">
        <f t="shared" si="45"/>
        <v>Lamar County, Mississippi</v>
      </c>
    </row>
    <row r="1444" spans="1:15" x14ac:dyDescent="0.25">
      <c r="A1444" s="35" t="s">
        <v>1920</v>
      </c>
      <c r="B1444" s="28" t="str">
        <f t="shared" si="44"/>
        <v>Lauderdale</v>
      </c>
      <c r="C1444" s="30">
        <v>80261</v>
      </c>
      <c r="D1444" s="30">
        <v>80280</v>
      </c>
      <c r="E1444" s="30">
        <v>80396</v>
      </c>
      <c r="F1444" s="30">
        <v>80648</v>
      </c>
      <c r="G1444" s="30">
        <v>80259</v>
      </c>
      <c r="H1444" s="30">
        <v>80228</v>
      </c>
      <c r="I1444" s="30">
        <v>79266</v>
      </c>
      <c r="J1444" s="30">
        <v>78348</v>
      </c>
      <c r="K1444" s="30">
        <v>77376</v>
      </c>
      <c r="L1444" s="30">
        <v>76309</v>
      </c>
      <c r="M1444" s="30">
        <v>75238</v>
      </c>
      <c r="N1444" s="30">
        <v>74125</v>
      </c>
      <c r="O1444" s="24" t="str">
        <f t="shared" si="45"/>
        <v>Lauderdale County, Mississippi</v>
      </c>
    </row>
    <row r="1445" spans="1:15" x14ac:dyDescent="0.25">
      <c r="A1445" s="35" t="s">
        <v>1921</v>
      </c>
      <c r="B1445" s="28" t="str">
        <f t="shared" si="44"/>
        <v>Lawrence</v>
      </c>
      <c r="C1445" s="30">
        <v>12929</v>
      </c>
      <c r="D1445" s="30">
        <v>12951</v>
      </c>
      <c r="E1445" s="30">
        <v>12928</v>
      </c>
      <c r="F1445" s="30">
        <v>12748</v>
      </c>
      <c r="G1445" s="30">
        <v>12688</v>
      </c>
      <c r="H1445" s="30">
        <v>12597</v>
      </c>
      <c r="I1445" s="30">
        <v>12623</v>
      </c>
      <c r="J1445" s="30">
        <v>12691</v>
      </c>
      <c r="K1445" s="30">
        <v>12812</v>
      </c>
      <c r="L1445" s="30">
        <v>12629</v>
      </c>
      <c r="M1445" s="30">
        <v>12448</v>
      </c>
      <c r="N1445" s="30">
        <v>12586</v>
      </c>
      <c r="O1445" s="24" t="str">
        <f t="shared" si="45"/>
        <v>Lawrence County, Mississippi</v>
      </c>
    </row>
    <row r="1446" spans="1:15" x14ac:dyDescent="0.25">
      <c r="A1446" s="35" t="s">
        <v>1922</v>
      </c>
      <c r="B1446" s="28" t="str">
        <f t="shared" si="44"/>
        <v>Leake</v>
      </c>
      <c r="C1446" s="30">
        <v>23805</v>
      </c>
      <c r="D1446" s="30">
        <v>23803</v>
      </c>
      <c r="E1446" s="30">
        <v>23738</v>
      </c>
      <c r="F1446" s="30">
        <v>23256</v>
      </c>
      <c r="G1446" s="30">
        <v>23195</v>
      </c>
      <c r="H1446" s="30">
        <v>23267</v>
      </c>
      <c r="I1446" s="30">
        <v>23181</v>
      </c>
      <c r="J1446" s="30">
        <v>22777</v>
      </c>
      <c r="K1446" s="30">
        <v>22789</v>
      </c>
      <c r="L1446" s="30">
        <v>22819</v>
      </c>
      <c r="M1446" s="30">
        <v>22791</v>
      </c>
      <c r="N1446" s="30">
        <v>22786</v>
      </c>
      <c r="O1446" s="24" t="str">
        <f t="shared" si="45"/>
        <v>Leake County, Mississippi</v>
      </c>
    </row>
    <row r="1447" spans="1:15" x14ac:dyDescent="0.25">
      <c r="A1447" s="35" t="s">
        <v>1923</v>
      </c>
      <c r="B1447" s="28" t="str">
        <f t="shared" si="44"/>
        <v>Lee</v>
      </c>
      <c r="C1447" s="30">
        <v>82910</v>
      </c>
      <c r="D1447" s="30">
        <v>82910</v>
      </c>
      <c r="E1447" s="30">
        <v>82880</v>
      </c>
      <c r="F1447" s="30">
        <v>84033</v>
      </c>
      <c r="G1447" s="30">
        <v>84798</v>
      </c>
      <c r="H1447" s="30">
        <v>84970</v>
      </c>
      <c r="I1447" s="30">
        <v>84763</v>
      </c>
      <c r="J1447" s="30">
        <v>84740</v>
      </c>
      <c r="K1447" s="30">
        <v>84837</v>
      </c>
      <c r="L1447" s="30">
        <v>85071</v>
      </c>
      <c r="M1447" s="30">
        <v>85276</v>
      </c>
      <c r="N1447" s="30">
        <v>85436</v>
      </c>
      <c r="O1447" s="24" t="str">
        <f t="shared" si="45"/>
        <v>Lee County, Mississippi</v>
      </c>
    </row>
    <row r="1448" spans="1:15" x14ac:dyDescent="0.25">
      <c r="A1448" s="35" t="s">
        <v>1924</v>
      </c>
      <c r="B1448" s="28" t="str">
        <f t="shared" si="44"/>
        <v>Leflore</v>
      </c>
      <c r="C1448" s="30">
        <v>32317</v>
      </c>
      <c r="D1448" s="30">
        <v>32382</v>
      </c>
      <c r="E1448" s="30">
        <v>32418</v>
      </c>
      <c r="F1448" s="30">
        <v>32065</v>
      </c>
      <c r="G1448" s="30">
        <v>30793</v>
      </c>
      <c r="H1448" s="30">
        <v>30746</v>
      </c>
      <c r="I1448" s="30">
        <v>30707</v>
      </c>
      <c r="J1448" s="30">
        <v>30241</v>
      </c>
      <c r="K1448" s="30">
        <v>29779</v>
      </c>
      <c r="L1448" s="30">
        <v>29292</v>
      </c>
      <c r="M1448" s="30">
        <v>28616</v>
      </c>
      <c r="N1448" s="30">
        <v>28183</v>
      </c>
      <c r="O1448" s="24" t="str">
        <f t="shared" si="45"/>
        <v>Leflore County, Mississippi</v>
      </c>
    </row>
    <row r="1449" spans="1:15" x14ac:dyDescent="0.25">
      <c r="A1449" s="35" t="s">
        <v>1925</v>
      </c>
      <c r="B1449" s="28" t="str">
        <f t="shared" si="44"/>
        <v>Lincoln</v>
      </c>
      <c r="C1449" s="30">
        <v>34869</v>
      </c>
      <c r="D1449" s="30">
        <v>34866</v>
      </c>
      <c r="E1449" s="30">
        <v>34896</v>
      </c>
      <c r="F1449" s="30">
        <v>34871</v>
      </c>
      <c r="G1449" s="30">
        <v>34846</v>
      </c>
      <c r="H1449" s="30">
        <v>34725</v>
      </c>
      <c r="I1449" s="30">
        <v>34733</v>
      </c>
      <c r="J1449" s="30">
        <v>34522</v>
      </c>
      <c r="K1449" s="30">
        <v>34375</v>
      </c>
      <c r="L1449" s="30">
        <v>34340</v>
      </c>
      <c r="M1449" s="30">
        <v>34210</v>
      </c>
      <c r="N1449" s="30">
        <v>34153</v>
      </c>
      <c r="O1449" s="24" t="str">
        <f t="shared" si="45"/>
        <v>Lincoln County, Mississippi</v>
      </c>
    </row>
    <row r="1450" spans="1:15" x14ac:dyDescent="0.25">
      <c r="A1450" s="35" t="s">
        <v>1926</v>
      </c>
      <c r="B1450" s="28" t="str">
        <f t="shared" si="44"/>
        <v>Lowndes</v>
      </c>
      <c r="C1450" s="30">
        <v>59779</v>
      </c>
      <c r="D1450" s="30">
        <v>59779</v>
      </c>
      <c r="E1450" s="30">
        <v>59796</v>
      </c>
      <c r="F1450" s="30">
        <v>59615</v>
      </c>
      <c r="G1450" s="30">
        <v>59604</v>
      </c>
      <c r="H1450" s="30">
        <v>59803</v>
      </c>
      <c r="I1450" s="30">
        <v>59804</v>
      </c>
      <c r="J1450" s="30">
        <v>59697</v>
      </c>
      <c r="K1450" s="30">
        <v>59549</v>
      </c>
      <c r="L1450" s="30">
        <v>59147</v>
      </c>
      <c r="M1450" s="30">
        <v>58760</v>
      </c>
      <c r="N1450" s="30">
        <v>58595</v>
      </c>
      <c r="O1450" s="24" t="str">
        <f t="shared" si="45"/>
        <v>Lowndes County, Mississippi</v>
      </c>
    </row>
    <row r="1451" spans="1:15" x14ac:dyDescent="0.25">
      <c r="A1451" s="35" t="s">
        <v>1927</v>
      </c>
      <c r="B1451" s="28" t="str">
        <f t="shared" si="44"/>
        <v>Madison</v>
      </c>
      <c r="C1451" s="30">
        <v>95203</v>
      </c>
      <c r="D1451" s="30">
        <v>95203</v>
      </c>
      <c r="E1451" s="30">
        <v>95538</v>
      </c>
      <c r="F1451" s="30">
        <v>96956</v>
      </c>
      <c r="G1451" s="30">
        <v>98059</v>
      </c>
      <c r="H1451" s="30">
        <v>99485</v>
      </c>
      <c r="I1451" s="30">
        <v>100841</v>
      </c>
      <c r="J1451" s="30">
        <v>102453</v>
      </c>
      <c r="K1451" s="30">
        <v>103852</v>
      </c>
      <c r="L1451" s="30">
        <v>104584</v>
      </c>
      <c r="M1451" s="30">
        <v>105648</v>
      </c>
      <c r="N1451" s="30">
        <v>106272</v>
      </c>
      <c r="O1451" s="24" t="str">
        <f t="shared" si="45"/>
        <v>Madison County, Mississippi</v>
      </c>
    </row>
    <row r="1452" spans="1:15" x14ac:dyDescent="0.25">
      <c r="A1452" s="35" t="s">
        <v>1928</v>
      </c>
      <c r="B1452" s="28" t="str">
        <f t="shared" si="44"/>
        <v>Marion</v>
      </c>
      <c r="C1452" s="30">
        <v>27088</v>
      </c>
      <c r="D1452" s="30">
        <v>27080</v>
      </c>
      <c r="E1452" s="30">
        <v>26992</v>
      </c>
      <c r="F1452" s="30">
        <v>26672</v>
      </c>
      <c r="G1452" s="30">
        <v>26326</v>
      </c>
      <c r="H1452" s="30">
        <v>26055</v>
      </c>
      <c r="I1452" s="30">
        <v>25674</v>
      </c>
      <c r="J1452" s="30">
        <v>25412</v>
      </c>
      <c r="K1452" s="30">
        <v>25106</v>
      </c>
      <c r="L1452" s="30">
        <v>25108</v>
      </c>
      <c r="M1452" s="30">
        <v>24752</v>
      </c>
      <c r="N1452" s="30">
        <v>24573</v>
      </c>
      <c r="O1452" s="24" t="str">
        <f t="shared" si="45"/>
        <v>Marion County, Mississippi</v>
      </c>
    </row>
    <row r="1453" spans="1:15" x14ac:dyDescent="0.25">
      <c r="A1453" s="35" t="s">
        <v>1929</v>
      </c>
      <c r="B1453" s="28" t="str">
        <f t="shared" si="44"/>
        <v>Marshall</v>
      </c>
      <c r="C1453" s="30">
        <v>37144</v>
      </c>
      <c r="D1453" s="30">
        <v>37151</v>
      </c>
      <c r="E1453" s="30">
        <v>37062</v>
      </c>
      <c r="F1453" s="30">
        <v>36756</v>
      </c>
      <c r="G1453" s="30">
        <v>36551</v>
      </c>
      <c r="H1453" s="30">
        <v>36457</v>
      </c>
      <c r="I1453" s="30">
        <v>36173</v>
      </c>
      <c r="J1453" s="30">
        <v>35891</v>
      </c>
      <c r="K1453" s="30">
        <v>35785</v>
      </c>
      <c r="L1453" s="30">
        <v>35590</v>
      </c>
      <c r="M1453" s="30">
        <v>35436</v>
      </c>
      <c r="N1453" s="30">
        <v>35294</v>
      </c>
      <c r="O1453" s="24" t="str">
        <f t="shared" si="45"/>
        <v>Marshall County, Mississippi</v>
      </c>
    </row>
    <row r="1454" spans="1:15" x14ac:dyDescent="0.25">
      <c r="A1454" s="35" t="s">
        <v>1930</v>
      </c>
      <c r="B1454" s="28" t="str">
        <f t="shared" si="44"/>
        <v>Monroe</v>
      </c>
      <c r="C1454" s="30">
        <v>36989</v>
      </c>
      <c r="D1454" s="30">
        <v>36979</v>
      </c>
      <c r="E1454" s="30">
        <v>36922</v>
      </c>
      <c r="F1454" s="30">
        <v>36606</v>
      </c>
      <c r="G1454" s="30">
        <v>36409</v>
      </c>
      <c r="H1454" s="30">
        <v>36148</v>
      </c>
      <c r="I1454" s="30">
        <v>36055</v>
      </c>
      <c r="J1454" s="30">
        <v>35823</v>
      </c>
      <c r="K1454" s="30">
        <v>35897</v>
      </c>
      <c r="L1454" s="30">
        <v>35851</v>
      </c>
      <c r="M1454" s="30">
        <v>35543</v>
      </c>
      <c r="N1454" s="30">
        <v>35252</v>
      </c>
      <c r="O1454" s="24" t="str">
        <f t="shared" si="45"/>
        <v>Monroe County, Mississippi</v>
      </c>
    </row>
    <row r="1455" spans="1:15" x14ac:dyDescent="0.25">
      <c r="A1455" s="35" t="s">
        <v>1931</v>
      </c>
      <c r="B1455" s="28" t="str">
        <f t="shared" si="44"/>
        <v>Montgomery</v>
      </c>
      <c r="C1455" s="30">
        <v>10925</v>
      </c>
      <c r="D1455" s="30">
        <v>10933</v>
      </c>
      <c r="E1455" s="30">
        <v>10898</v>
      </c>
      <c r="F1455" s="30">
        <v>10775</v>
      </c>
      <c r="G1455" s="30">
        <v>10604</v>
      </c>
      <c r="H1455" s="30">
        <v>10579</v>
      </c>
      <c r="I1455" s="30">
        <v>10363</v>
      </c>
      <c r="J1455" s="30">
        <v>10195</v>
      </c>
      <c r="K1455" s="30">
        <v>10235</v>
      </c>
      <c r="L1455" s="30">
        <v>10143</v>
      </c>
      <c r="M1455" s="30">
        <v>9994</v>
      </c>
      <c r="N1455" s="30">
        <v>9775</v>
      </c>
      <c r="O1455" s="24" t="str">
        <f t="shared" si="45"/>
        <v>Montgomery County, Mississippi</v>
      </c>
    </row>
    <row r="1456" spans="1:15" x14ac:dyDescent="0.25">
      <c r="A1456" s="35" t="s">
        <v>1932</v>
      </c>
      <c r="B1456" s="28" t="str">
        <f t="shared" si="44"/>
        <v>Neshoba</v>
      </c>
      <c r="C1456" s="30">
        <v>29676</v>
      </c>
      <c r="D1456" s="30">
        <v>29692</v>
      </c>
      <c r="E1456" s="30">
        <v>29695</v>
      </c>
      <c r="F1456" s="30">
        <v>29757</v>
      </c>
      <c r="G1456" s="30">
        <v>29742</v>
      </c>
      <c r="H1456" s="30">
        <v>29533</v>
      </c>
      <c r="I1456" s="30">
        <v>29460</v>
      </c>
      <c r="J1456" s="30">
        <v>29481</v>
      </c>
      <c r="K1456" s="30">
        <v>29473</v>
      </c>
      <c r="L1456" s="30">
        <v>29435</v>
      </c>
      <c r="M1456" s="30">
        <v>29151</v>
      </c>
      <c r="N1456" s="30">
        <v>29118</v>
      </c>
      <c r="O1456" s="24" t="str">
        <f t="shared" si="45"/>
        <v>Neshoba County, Mississippi</v>
      </c>
    </row>
    <row r="1457" spans="1:15" x14ac:dyDescent="0.25">
      <c r="A1457" s="35" t="s">
        <v>1933</v>
      </c>
      <c r="B1457" s="28" t="str">
        <f t="shared" si="44"/>
        <v>Newton</v>
      </c>
      <c r="C1457" s="30">
        <v>21720</v>
      </c>
      <c r="D1457" s="30">
        <v>21715</v>
      </c>
      <c r="E1457" s="30">
        <v>21659</v>
      </c>
      <c r="F1457" s="30">
        <v>21419</v>
      </c>
      <c r="G1457" s="30">
        <v>21495</v>
      </c>
      <c r="H1457" s="30">
        <v>21518</v>
      </c>
      <c r="I1457" s="30">
        <v>21706</v>
      </c>
      <c r="J1457" s="30">
        <v>21569</v>
      </c>
      <c r="K1457" s="30">
        <v>21461</v>
      </c>
      <c r="L1457" s="30">
        <v>21396</v>
      </c>
      <c r="M1457" s="30">
        <v>21355</v>
      </c>
      <c r="N1457" s="30">
        <v>21018</v>
      </c>
      <c r="O1457" s="24" t="str">
        <f t="shared" si="45"/>
        <v>Newton County, Mississippi</v>
      </c>
    </row>
    <row r="1458" spans="1:15" x14ac:dyDescent="0.25">
      <c r="A1458" s="35" t="s">
        <v>1934</v>
      </c>
      <c r="B1458" s="28" t="str">
        <f t="shared" si="44"/>
        <v>Noxubee</v>
      </c>
      <c r="C1458" s="30">
        <v>11545</v>
      </c>
      <c r="D1458" s="30">
        <v>11546</v>
      </c>
      <c r="E1458" s="30">
        <v>11482</v>
      </c>
      <c r="F1458" s="30">
        <v>11295</v>
      </c>
      <c r="G1458" s="30">
        <v>11153</v>
      </c>
      <c r="H1458" s="30">
        <v>11055</v>
      </c>
      <c r="I1458" s="30">
        <v>11067</v>
      </c>
      <c r="J1458" s="30">
        <v>10942</v>
      </c>
      <c r="K1458" s="30">
        <v>10879</v>
      </c>
      <c r="L1458" s="30">
        <v>10711</v>
      </c>
      <c r="M1458" s="30">
        <v>10550</v>
      </c>
      <c r="N1458" s="30">
        <v>10417</v>
      </c>
      <c r="O1458" s="24" t="str">
        <f t="shared" si="45"/>
        <v>Noxubee County, Mississippi</v>
      </c>
    </row>
    <row r="1459" spans="1:15" x14ac:dyDescent="0.25">
      <c r="A1459" s="35" t="s">
        <v>1935</v>
      </c>
      <c r="B1459" s="28" t="str">
        <f t="shared" si="44"/>
        <v>Oktibbeha</v>
      </c>
      <c r="C1459" s="30">
        <v>47671</v>
      </c>
      <c r="D1459" s="30">
        <v>47657</v>
      </c>
      <c r="E1459" s="30">
        <v>47723</v>
      </c>
      <c r="F1459" s="30">
        <v>47764</v>
      </c>
      <c r="G1459" s="30">
        <v>48822</v>
      </c>
      <c r="H1459" s="30">
        <v>49105</v>
      </c>
      <c r="I1459" s="30">
        <v>49061</v>
      </c>
      <c r="J1459" s="30">
        <v>49510</v>
      </c>
      <c r="K1459" s="30">
        <v>49534</v>
      </c>
      <c r="L1459" s="30">
        <v>49678</v>
      </c>
      <c r="M1459" s="30">
        <v>49249</v>
      </c>
      <c r="N1459" s="30">
        <v>49587</v>
      </c>
      <c r="O1459" s="24" t="str">
        <f t="shared" si="45"/>
        <v>Oktibbeha County, Mississippi</v>
      </c>
    </row>
    <row r="1460" spans="1:15" x14ac:dyDescent="0.25">
      <c r="A1460" s="35" t="s">
        <v>1936</v>
      </c>
      <c r="B1460" s="28" t="str">
        <f t="shared" si="44"/>
        <v>Panola</v>
      </c>
      <c r="C1460" s="30">
        <v>34707</v>
      </c>
      <c r="D1460" s="30">
        <v>34698</v>
      </c>
      <c r="E1460" s="30">
        <v>34640</v>
      </c>
      <c r="F1460" s="30">
        <v>34475</v>
      </c>
      <c r="G1460" s="30">
        <v>34425</v>
      </c>
      <c r="H1460" s="30">
        <v>34395</v>
      </c>
      <c r="I1460" s="30">
        <v>34450</v>
      </c>
      <c r="J1460" s="30">
        <v>34202</v>
      </c>
      <c r="K1460" s="30">
        <v>34241</v>
      </c>
      <c r="L1460" s="30">
        <v>34158</v>
      </c>
      <c r="M1460" s="30">
        <v>34156</v>
      </c>
      <c r="N1460" s="30">
        <v>34192</v>
      </c>
      <c r="O1460" s="24" t="str">
        <f t="shared" si="45"/>
        <v>Panola County, Mississippi</v>
      </c>
    </row>
    <row r="1461" spans="1:15" x14ac:dyDescent="0.25">
      <c r="A1461" s="35" t="s">
        <v>1937</v>
      </c>
      <c r="B1461" s="28" t="str">
        <f t="shared" si="44"/>
        <v>Pearl River</v>
      </c>
      <c r="C1461" s="30">
        <v>55834</v>
      </c>
      <c r="D1461" s="30">
        <v>55739</v>
      </c>
      <c r="E1461" s="30">
        <v>55693</v>
      </c>
      <c r="F1461" s="30">
        <v>55441</v>
      </c>
      <c r="G1461" s="30">
        <v>54999</v>
      </c>
      <c r="H1461" s="30">
        <v>54833</v>
      </c>
      <c r="I1461" s="30">
        <v>55121</v>
      </c>
      <c r="J1461" s="30">
        <v>54944</v>
      </c>
      <c r="K1461" s="30">
        <v>55037</v>
      </c>
      <c r="L1461" s="30">
        <v>55255</v>
      </c>
      <c r="M1461" s="30">
        <v>55323</v>
      </c>
      <c r="N1461" s="30">
        <v>55535</v>
      </c>
      <c r="O1461" s="24" t="str">
        <f t="shared" si="45"/>
        <v>Pearl River County, Mississippi</v>
      </c>
    </row>
    <row r="1462" spans="1:15" x14ac:dyDescent="0.25">
      <c r="A1462" s="35" t="s">
        <v>1938</v>
      </c>
      <c r="B1462" s="28" t="str">
        <f t="shared" si="44"/>
        <v>Perry</v>
      </c>
      <c r="C1462" s="30">
        <v>12250</v>
      </c>
      <c r="D1462" s="30">
        <v>12251</v>
      </c>
      <c r="E1462" s="30">
        <v>12234</v>
      </c>
      <c r="F1462" s="30">
        <v>12151</v>
      </c>
      <c r="G1462" s="30">
        <v>11996</v>
      </c>
      <c r="H1462" s="30">
        <v>12009</v>
      </c>
      <c r="I1462" s="30">
        <v>12053</v>
      </c>
      <c r="J1462" s="30">
        <v>12071</v>
      </c>
      <c r="K1462" s="30">
        <v>12056</v>
      </c>
      <c r="L1462" s="30">
        <v>12014</v>
      </c>
      <c r="M1462" s="30">
        <v>11918</v>
      </c>
      <c r="N1462" s="30">
        <v>11973</v>
      </c>
      <c r="O1462" s="24" t="str">
        <f t="shared" si="45"/>
        <v>Perry County, Mississippi</v>
      </c>
    </row>
    <row r="1463" spans="1:15" x14ac:dyDescent="0.25">
      <c r="A1463" s="35" t="s">
        <v>1939</v>
      </c>
      <c r="B1463" s="28" t="str">
        <f t="shared" si="44"/>
        <v>Pike</v>
      </c>
      <c r="C1463" s="30">
        <v>40404</v>
      </c>
      <c r="D1463" s="30">
        <v>40401</v>
      </c>
      <c r="E1463" s="30">
        <v>40441</v>
      </c>
      <c r="F1463" s="30">
        <v>40433</v>
      </c>
      <c r="G1463" s="30">
        <v>40089</v>
      </c>
      <c r="H1463" s="30">
        <v>39939</v>
      </c>
      <c r="I1463" s="30">
        <v>39948</v>
      </c>
      <c r="J1463" s="30">
        <v>39890</v>
      </c>
      <c r="K1463" s="30">
        <v>39592</v>
      </c>
      <c r="L1463" s="30">
        <v>39510</v>
      </c>
      <c r="M1463" s="30">
        <v>39380</v>
      </c>
      <c r="N1463" s="30">
        <v>39288</v>
      </c>
      <c r="O1463" s="24" t="str">
        <f t="shared" si="45"/>
        <v>Pike County, Mississippi</v>
      </c>
    </row>
    <row r="1464" spans="1:15" x14ac:dyDescent="0.25">
      <c r="A1464" s="35" t="s">
        <v>1940</v>
      </c>
      <c r="B1464" s="28" t="str">
        <f t="shared" si="44"/>
        <v>Pontotoc</v>
      </c>
      <c r="C1464" s="30">
        <v>29957</v>
      </c>
      <c r="D1464" s="30">
        <v>29946</v>
      </c>
      <c r="E1464" s="30">
        <v>30047</v>
      </c>
      <c r="F1464" s="30">
        <v>29773</v>
      </c>
      <c r="G1464" s="30">
        <v>30295</v>
      </c>
      <c r="H1464" s="30">
        <v>30667</v>
      </c>
      <c r="I1464" s="30">
        <v>30783</v>
      </c>
      <c r="J1464" s="30">
        <v>30857</v>
      </c>
      <c r="K1464" s="30">
        <v>31470</v>
      </c>
      <c r="L1464" s="30">
        <v>31709</v>
      </c>
      <c r="M1464" s="30">
        <v>31881</v>
      </c>
      <c r="N1464" s="30">
        <v>32174</v>
      </c>
      <c r="O1464" s="24" t="str">
        <f t="shared" si="45"/>
        <v>Pontotoc County, Mississippi</v>
      </c>
    </row>
    <row r="1465" spans="1:15" x14ac:dyDescent="0.25">
      <c r="A1465" s="35" t="s">
        <v>1941</v>
      </c>
      <c r="B1465" s="28" t="str">
        <f t="shared" si="44"/>
        <v>Prentiss</v>
      </c>
      <c r="C1465" s="30">
        <v>25276</v>
      </c>
      <c r="D1465" s="30">
        <v>25274</v>
      </c>
      <c r="E1465" s="30">
        <v>25225</v>
      </c>
      <c r="F1465" s="30">
        <v>25359</v>
      </c>
      <c r="G1465" s="30">
        <v>25354</v>
      </c>
      <c r="H1465" s="30">
        <v>25467</v>
      </c>
      <c r="I1465" s="30">
        <v>25405</v>
      </c>
      <c r="J1465" s="30">
        <v>25440</v>
      </c>
      <c r="K1465" s="30">
        <v>25405</v>
      </c>
      <c r="L1465" s="30">
        <v>25215</v>
      </c>
      <c r="M1465" s="30">
        <v>25088</v>
      </c>
      <c r="N1465" s="30">
        <v>25126</v>
      </c>
      <c r="O1465" s="24" t="str">
        <f t="shared" si="45"/>
        <v>Prentiss County, Mississippi</v>
      </c>
    </row>
    <row r="1466" spans="1:15" x14ac:dyDescent="0.25">
      <c r="A1466" s="35" t="s">
        <v>1942</v>
      </c>
      <c r="B1466" s="28" t="str">
        <f t="shared" si="44"/>
        <v>Quitman</v>
      </c>
      <c r="C1466" s="30">
        <v>8223</v>
      </c>
      <c r="D1466" s="30">
        <v>8222</v>
      </c>
      <c r="E1466" s="30">
        <v>8158</v>
      </c>
      <c r="F1466" s="30">
        <v>8056</v>
      </c>
      <c r="G1466" s="30">
        <v>7803</v>
      </c>
      <c r="H1466" s="30">
        <v>7818</v>
      </c>
      <c r="I1466" s="30">
        <v>7690</v>
      </c>
      <c r="J1466" s="30">
        <v>7511</v>
      </c>
      <c r="K1466" s="30">
        <v>7368</v>
      </c>
      <c r="L1466" s="30">
        <v>7208</v>
      </c>
      <c r="M1466" s="30">
        <v>7055</v>
      </c>
      <c r="N1466" s="30">
        <v>6792</v>
      </c>
      <c r="O1466" s="24" t="str">
        <f t="shared" si="45"/>
        <v>Quitman County, Mississippi</v>
      </c>
    </row>
    <row r="1467" spans="1:15" x14ac:dyDescent="0.25">
      <c r="A1467" s="35" t="s">
        <v>1943</v>
      </c>
      <c r="B1467" s="28" t="str">
        <f t="shared" si="44"/>
        <v>Rankin</v>
      </c>
      <c r="C1467" s="30">
        <v>141617</v>
      </c>
      <c r="D1467" s="30">
        <v>142052</v>
      </c>
      <c r="E1467" s="30">
        <v>142515</v>
      </c>
      <c r="F1467" s="30">
        <v>144207</v>
      </c>
      <c r="G1467" s="30">
        <v>145809</v>
      </c>
      <c r="H1467" s="30">
        <v>147321</v>
      </c>
      <c r="I1467" s="30">
        <v>148426</v>
      </c>
      <c r="J1467" s="30">
        <v>149447</v>
      </c>
      <c r="K1467" s="30">
        <v>151514</v>
      </c>
      <c r="L1467" s="30">
        <v>152904</v>
      </c>
      <c r="M1467" s="30">
        <v>154250</v>
      </c>
      <c r="N1467" s="30">
        <v>155271</v>
      </c>
      <c r="O1467" s="24" t="str">
        <f t="shared" si="45"/>
        <v>Rankin County, Mississippi</v>
      </c>
    </row>
    <row r="1468" spans="1:15" x14ac:dyDescent="0.25">
      <c r="A1468" s="35" t="s">
        <v>1944</v>
      </c>
      <c r="B1468" s="28" t="str">
        <f t="shared" si="44"/>
        <v>Scott</v>
      </c>
      <c r="C1468" s="30">
        <v>28264</v>
      </c>
      <c r="D1468" s="30">
        <v>28260</v>
      </c>
      <c r="E1468" s="30">
        <v>28335</v>
      </c>
      <c r="F1468" s="30">
        <v>28377</v>
      </c>
      <c r="G1468" s="30">
        <v>28355</v>
      </c>
      <c r="H1468" s="30">
        <v>28328</v>
      </c>
      <c r="I1468" s="30">
        <v>28543</v>
      </c>
      <c r="J1468" s="30">
        <v>28432</v>
      </c>
      <c r="K1468" s="30">
        <v>28351</v>
      </c>
      <c r="L1468" s="30">
        <v>28436</v>
      </c>
      <c r="M1468" s="30">
        <v>28319</v>
      </c>
      <c r="N1468" s="30">
        <v>28124</v>
      </c>
      <c r="O1468" s="24" t="str">
        <f t="shared" si="45"/>
        <v>Scott County, Mississippi</v>
      </c>
    </row>
    <row r="1469" spans="1:15" x14ac:dyDescent="0.25">
      <c r="A1469" s="35" t="s">
        <v>1945</v>
      </c>
      <c r="B1469" s="28" t="str">
        <f t="shared" si="44"/>
        <v>Sharkey</v>
      </c>
      <c r="C1469" s="30">
        <v>4916</v>
      </c>
      <c r="D1469" s="30">
        <v>4916</v>
      </c>
      <c r="E1469" s="30">
        <v>4886</v>
      </c>
      <c r="F1469" s="30">
        <v>4875</v>
      </c>
      <c r="G1469" s="30">
        <v>4786</v>
      </c>
      <c r="H1469" s="30">
        <v>4677</v>
      </c>
      <c r="I1469" s="30">
        <v>4611</v>
      </c>
      <c r="J1469" s="30">
        <v>4563</v>
      </c>
      <c r="K1469" s="30">
        <v>4513</v>
      </c>
      <c r="L1469" s="30">
        <v>4415</v>
      </c>
      <c r="M1469" s="30">
        <v>4375</v>
      </c>
      <c r="N1469" s="30">
        <v>4321</v>
      </c>
      <c r="O1469" s="24" t="str">
        <f t="shared" si="45"/>
        <v>Sharkey County, Mississippi</v>
      </c>
    </row>
    <row r="1470" spans="1:15" x14ac:dyDescent="0.25">
      <c r="A1470" s="35" t="s">
        <v>1946</v>
      </c>
      <c r="B1470" s="28" t="str">
        <f t="shared" si="44"/>
        <v>Simpson</v>
      </c>
      <c r="C1470" s="30">
        <v>27503</v>
      </c>
      <c r="D1470" s="30">
        <v>27500</v>
      </c>
      <c r="E1470" s="30">
        <v>27526</v>
      </c>
      <c r="F1470" s="30">
        <v>27405</v>
      </c>
      <c r="G1470" s="30">
        <v>27424</v>
      </c>
      <c r="H1470" s="30">
        <v>27531</v>
      </c>
      <c r="I1470" s="30">
        <v>27512</v>
      </c>
      <c r="J1470" s="30">
        <v>27169</v>
      </c>
      <c r="K1470" s="30">
        <v>26992</v>
      </c>
      <c r="L1470" s="30">
        <v>26905</v>
      </c>
      <c r="M1470" s="30">
        <v>26717</v>
      </c>
      <c r="N1470" s="30">
        <v>26658</v>
      </c>
      <c r="O1470" s="24" t="str">
        <f t="shared" si="45"/>
        <v>Simpson County, Mississippi</v>
      </c>
    </row>
    <row r="1471" spans="1:15" x14ac:dyDescent="0.25">
      <c r="A1471" s="35" t="s">
        <v>1947</v>
      </c>
      <c r="B1471" s="28" t="str">
        <f t="shared" si="44"/>
        <v>Smith</v>
      </c>
      <c r="C1471" s="30">
        <v>16491</v>
      </c>
      <c r="D1471" s="30">
        <v>16488</v>
      </c>
      <c r="E1471" s="30">
        <v>16498</v>
      </c>
      <c r="F1471" s="30">
        <v>16527</v>
      </c>
      <c r="G1471" s="30">
        <v>16337</v>
      </c>
      <c r="H1471" s="30">
        <v>16229</v>
      </c>
      <c r="I1471" s="30">
        <v>16210</v>
      </c>
      <c r="J1471" s="30">
        <v>16079</v>
      </c>
      <c r="K1471" s="30">
        <v>15949</v>
      </c>
      <c r="L1471" s="30">
        <v>16073</v>
      </c>
      <c r="M1471" s="30">
        <v>16029</v>
      </c>
      <c r="N1471" s="30">
        <v>15916</v>
      </c>
      <c r="O1471" s="24" t="str">
        <f t="shared" si="45"/>
        <v>Smith County, Mississippi</v>
      </c>
    </row>
    <row r="1472" spans="1:15" x14ac:dyDescent="0.25">
      <c r="A1472" s="35" t="s">
        <v>1948</v>
      </c>
      <c r="B1472" s="28" t="str">
        <f t="shared" si="44"/>
        <v>Stone</v>
      </c>
      <c r="C1472" s="30">
        <v>17786</v>
      </c>
      <c r="D1472" s="30">
        <v>17790</v>
      </c>
      <c r="E1472" s="30">
        <v>17907</v>
      </c>
      <c r="F1472" s="30">
        <v>17901</v>
      </c>
      <c r="G1472" s="30">
        <v>18051</v>
      </c>
      <c r="H1472" s="30">
        <v>17960</v>
      </c>
      <c r="I1472" s="30">
        <v>18089</v>
      </c>
      <c r="J1472" s="30">
        <v>18271</v>
      </c>
      <c r="K1472" s="30">
        <v>18183</v>
      </c>
      <c r="L1472" s="30">
        <v>18593</v>
      </c>
      <c r="M1472" s="30">
        <v>17997</v>
      </c>
      <c r="N1472" s="30">
        <v>18336</v>
      </c>
      <c r="O1472" s="24" t="str">
        <f t="shared" si="45"/>
        <v>Stone County, Mississippi</v>
      </c>
    </row>
    <row r="1473" spans="1:15" x14ac:dyDescent="0.25">
      <c r="A1473" s="35" t="s">
        <v>1949</v>
      </c>
      <c r="B1473" s="28" t="str">
        <f t="shared" si="44"/>
        <v>Sunflower</v>
      </c>
      <c r="C1473" s="30">
        <v>29450</v>
      </c>
      <c r="D1473" s="30">
        <v>29383</v>
      </c>
      <c r="E1473" s="30">
        <v>28981</v>
      </c>
      <c r="F1473" s="30">
        <v>28521</v>
      </c>
      <c r="G1473" s="30">
        <v>28407</v>
      </c>
      <c r="H1473" s="30">
        <v>27906</v>
      </c>
      <c r="I1473" s="30">
        <v>27405</v>
      </c>
      <c r="J1473" s="30">
        <v>26877</v>
      </c>
      <c r="K1473" s="30">
        <v>26493</v>
      </c>
      <c r="L1473" s="30">
        <v>26142</v>
      </c>
      <c r="M1473" s="30">
        <v>26211</v>
      </c>
      <c r="N1473" s="30">
        <v>25110</v>
      </c>
      <c r="O1473" s="24" t="str">
        <f t="shared" si="45"/>
        <v>Sunflower County, Mississippi</v>
      </c>
    </row>
    <row r="1474" spans="1:15" x14ac:dyDescent="0.25">
      <c r="A1474" s="35" t="s">
        <v>1950</v>
      </c>
      <c r="B1474" s="28" t="str">
        <f t="shared" si="44"/>
        <v>Tallahatchie</v>
      </c>
      <c r="C1474" s="30">
        <v>15378</v>
      </c>
      <c r="D1474" s="30">
        <v>15385</v>
      </c>
      <c r="E1474" s="30">
        <v>15339</v>
      </c>
      <c r="F1474" s="30">
        <v>15312</v>
      </c>
      <c r="G1474" s="30">
        <v>15013</v>
      </c>
      <c r="H1474" s="30">
        <v>14942</v>
      </c>
      <c r="I1474" s="30">
        <v>14685</v>
      </c>
      <c r="J1474" s="30">
        <v>14582</v>
      </c>
      <c r="K1474" s="30">
        <v>14342</v>
      </c>
      <c r="L1474" s="30">
        <v>14094</v>
      </c>
      <c r="M1474" s="30">
        <v>13961</v>
      </c>
      <c r="N1474" s="30">
        <v>13809</v>
      </c>
      <c r="O1474" s="24" t="str">
        <f t="shared" si="45"/>
        <v>Tallahatchie County, Mississippi</v>
      </c>
    </row>
    <row r="1475" spans="1:15" x14ac:dyDescent="0.25">
      <c r="A1475" s="35" t="s">
        <v>1951</v>
      </c>
      <c r="B1475" s="28" t="str">
        <f t="shared" si="44"/>
        <v>Tate</v>
      </c>
      <c r="C1475" s="30">
        <v>28886</v>
      </c>
      <c r="D1475" s="30">
        <v>28872</v>
      </c>
      <c r="E1475" s="30">
        <v>28987</v>
      </c>
      <c r="F1475" s="30">
        <v>28742</v>
      </c>
      <c r="G1475" s="30">
        <v>28526</v>
      </c>
      <c r="H1475" s="30">
        <v>28347</v>
      </c>
      <c r="I1475" s="30">
        <v>28248</v>
      </c>
      <c r="J1475" s="30">
        <v>28465</v>
      </c>
      <c r="K1475" s="30">
        <v>28306</v>
      </c>
      <c r="L1475" s="30">
        <v>28581</v>
      </c>
      <c r="M1475" s="30">
        <v>28347</v>
      </c>
      <c r="N1475" s="30">
        <v>28321</v>
      </c>
      <c r="O1475" s="24" t="str">
        <f t="shared" si="45"/>
        <v>Tate County, Mississippi</v>
      </c>
    </row>
    <row r="1476" spans="1:15" x14ac:dyDescent="0.25">
      <c r="A1476" s="35" t="s">
        <v>1952</v>
      </c>
      <c r="B1476" s="28" t="str">
        <f t="shared" si="44"/>
        <v>Tippah</v>
      </c>
      <c r="C1476" s="30">
        <v>22232</v>
      </c>
      <c r="D1476" s="30">
        <v>22232</v>
      </c>
      <c r="E1476" s="30">
        <v>22184</v>
      </c>
      <c r="F1476" s="30">
        <v>22038</v>
      </c>
      <c r="G1476" s="30">
        <v>21911</v>
      </c>
      <c r="H1476" s="30">
        <v>21999</v>
      </c>
      <c r="I1476" s="30">
        <v>21972</v>
      </c>
      <c r="J1476" s="30">
        <v>22018</v>
      </c>
      <c r="K1476" s="30">
        <v>22063</v>
      </c>
      <c r="L1476" s="30">
        <v>21953</v>
      </c>
      <c r="M1476" s="30">
        <v>22039</v>
      </c>
      <c r="N1476" s="30">
        <v>22015</v>
      </c>
      <c r="O1476" s="24" t="str">
        <f t="shared" si="45"/>
        <v>Tippah County, Mississippi</v>
      </c>
    </row>
    <row r="1477" spans="1:15" x14ac:dyDescent="0.25">
      <c r="A1477" s="35" t="s">
        <v>1953</v>
      </c>
      <c r="B1477" s="28" t="str">
        <f t="shared" si="44"/>
        <v>Tishomingo</v>
      </c>
      <c r="C1477" s="30">
        <v>19593</v>
      </c>
      <c r="D1477" s="30">
        <v>19603</v>
      </c>
      <c r="E1477" s="30">
        <v>19629</v>
      </c>
      <c r="F1477" s="30">
        <v>19635</v>
      </c>
      <c r="G1477" s="30">
        <v>19618</v>
      </c>
      <c r="H1477" s="30">
        <v>19504</v>
      </c>
      <c r="I1477" s="30">
        <v>19427</v>
      </c>
      <c r="J1477" s="30">
        <v>19481</v>
      </c>
      <c r="K1477" s="30">
        <v>19442</v>
      </c>
      <c r="L1477" s="30">
        <v>19518</v>
      </c>
      <c r="M1477" s="30">
        <v>19383</v>
      </c>
      <c r="N1477" s="30">
        <v>19383</v>
      </c>
      <c r="O1477" s="24" t="str">
        <f t="shared" si="45"/>
        <v>Tishomingo County, Mississippi</v>
      </c>
    </row>
    <row r="1478" spans="1:15" x14ac:dyDescent="0.25">
      <c r="A1478" s="35" t="s">
        <v>1954</v>
      </c>
      <c r="B1478" s="28" t="str">
        <f t="shared" si="44"/>
        <v>Tunica</v>
      </c>
      <c r="C1478" s="30">
        <v>10778</v>
      </c>
      <c r="D1478" s="30">
        <v>10778</v>
      </c>
      <c r="E1478" s="30">
        <v>10765</v>
      </c>
      <c r="F1478" s="30">
        <v>10590</v>
      </c>
      <c r="G1478" s="30">
        <v>10438</v>
      </c>
      <c r="H1478" s="30">
        <v>10454</v>
      </c>
      <c r="I1478" s="30">
        <v>10496</v>
      </c>
      <c r="J1478" s="30">
        <v>10264</v>
      </c>
      <c r="K1478" s="30">
        <v>10139</v>
      </c>
      <c r="L1478" s="30">
        <v>9984</v>
      </c>
      <c r="M1478" s="30">
        <v>9922</v>
      </c>
      <c r="N1478" s="30">
        <v>9632</v>
      </c>
      <c r="O1478" s="24" t="str">
        <f t="shared" si="45"/>
        <v>Tunica County, Mississippi</v>
      </c>
    </row>
    <row r="1479" spans="1:15" x14ac:dyDescent="0.25">
      <c r="A1479" s="35" t="s">
        <v>1955</v>
      </c>
      <c r="B1479" s="28" t="str">
        <f t="shared" ref="B1479:B1542" si="46">LEFT(A1479,FIND("County",A1479,1)-2)</f>
        <v>Union</v>
      </c>
      <c r="C1479" s="30">
        <v>27134</v>
      </c>
      <c r="D1479" s="30">
        <v>27143</v>
      </c>
      <c r="E1479" s="30">
        <v>27151</v>
      </c>
      <c r="F1479" s="30">
        <v>27315</v>
      </c>
      <c r="G1479" s="30">
        <v>27349</v>
      </c>
      <c r="H1479" s="30">
        <v>27771</v>
      </c>
      <c r="I1479" s="30">
        <v>28157</v>
      </c>
      <c r="J1479" s="30">
        <v>28311</v>
      </c>
      <c r="K1479" s="30">
        <v>28308</v>
      </c>
      <c r="L1479" s="30">
        <v>28486</v>
      </c>
      <c r="M1479" s="30">
        <v>28615</v>
      </c>
      <c r="N1479" s="30">
        <v>28815</v>
      </c>
      <c r="O1479" s="24" t="str">
        <f t="shared" ref="O1479:O1542" si="47">A1479</f>
        <v>Union County, Mississippi</v>
      </c>
    </row>
    <row r="1480" spans="1:15" x14ac:dyDescent="0.25">
      <c r="A1480" s="35" t="s">
        <v>1956</v>
      </c>
      <c r="B1480" s="28" t="str">
        <f t="shared" si="46"/>
        <v>Walthall</v>
      </c>
      <c r="C1480" s="30">
        <v>15443</v>
      </c>
      <c r="D1480" s="30">
        <v>15440</v>
      </c>
      <c r="E1480" s="30">
        <v>15396</v>
      </c>
      <c r="F1480" s="30">
        <v>15372</v>
      </c>
      <c r="G1480" s="30">
        <v>15068</v>
      </c>
      <c r="H1480" s="30">
        <v>14852</v>
      </c>
      <c r="I1480" s="30">
        <v>14842</v>
      </c>
      <c r="J1480" s="30">
        <v>14601</v>
      </c>
      <c r="K1480" s="30">
        <v>14556</v>
      </c>
      <c r="L1480" s="30">
        <v>14505</v>
      </c>
      <c r="M1480" s="30">
        <v>14436</v>
      </c>
      <c r="N1480" s="30">
        <v>14286</v>
      </c>
      <c r="O1480" s="24" t="str">
        <f t="shared" si="47"/>
        <v>Walthall County, Mississippi</v>
      </c>
    </row>
    <row r="1481" spans="1:15" x14ac:dyDescent="0.25">
      <c r="A1481" s="35" t="s">
        <v>1957</v>
      </c>
      <c r="B1481" s="28" t="str">
        <f t="shared" si="46"/>
        <v>Warren</v>
      </c>
      <c r="C1481" s="30">
        <v>48773</v>
      </c>
      <c r="D1481" s="30">
        <v>48770</v>
      </c>
      <c r="E1481" s="30">
        <v>48834</v>
      </c>
      <c r="F1481" s="30">
        <v>48318</v>
      </c>
      <c r="G1481" s="30">
        <v>48215</v>
      </c>
      <c r="H1481" s="30">
        <v>48289</v>
      </c>
      <c r="I1481" s="30">
        <v>47941</v>
      </c>
      <c r="J1481" s="30">
        <v>47481</v>
      </c>
      <c r="K1481" s="30">
        <v>46958</v>
      </c>
      <c r="L1481" s="30">
        <v>46682</v>
      </c>
      <c r="M1481" s="30">
        <v>46093</v>
      </c>
      <c r="N1481" s="30">
        <v>45381</v>
      </c>
      <c r="O1481" s="24" t="str">
        <f t="shared" si="47"/>
        <v>Warren County, Mississippi</v>
      </c>
    </row>
    <row r="1482" spans="1:15" x14ac:dyDescent="0.25">
      <c r="A1482" s="35" t="s">
        <v>1958</v>
      </c>
      <c r="B1482" s="28" t="str">
        <f t="shared" si="46"/>
        <v>Washington</v>
      </c>
      <c r="C1482" s="30">
        <v>51137</v>
      </c>
      <c r="D1482" s="30">
        <v>51135</v>
      </c>
      <c r="E1482" s="30">
        <v>51097</v>
      </c>
      <c r="F1482" s="30">
        <v>50455</v>
      </c>
      <c r="G1482" s="30">
        <v>50019</v>
      </c>
      <c r="H1482" s="30">
        <v>49661</v>
      </c>
      <c r="I1482" s="30">
        <v>49008</v>
      </c>
      <c r="J1482" s="30">
        <v>47959</v>
      </c>
      <c r="K1482" s="30">
        <v>47183</v>
      </c>
      <c r="L1482" s="30">
        <v>46197</v>
      </c>
      <c r="M1482" s="30">
        <v>45036</v>
      </c>
      <c r="N1482" s="30">
        <v>43909</v>
      </c>
      <c r="O1482" s="24" t="str">
        <f t="shared" si="47"/>
        <v>Washington County, Mississippi</v>
      </c>
    </row>
    <row r="1483" spans="1:15" x14ac:dyDescent="0.25">
      <c r="A1483" s="35" t="s">
        <v>1959</v>
      </c>
      <c r="B1483" s="28" t="str">
        <f t="shared" si="46"/>
        <v>Wayne</v>
      </c>
      <c r="C1483" s="30">
        <v>20747</v>
      </c>
      <c r="D1483" s="30">
        <v>20747</v>
      </c>
      <c r="E1483" s="30">
        <v>20772</v>
      </c>
      <c r="F1483" s="30">
        <v>20618</v>
      </c>
      <c r="G1483" s="30">
        <v>20616</v>
      </c>
      <c r="H1483" s="30">
        <v>20461</v>
      </c>
      <c r="I1483" s="30">
        <v>20456</v>
      </c>
      <c r="J1483" s="30">
        <v>20497</v>
      </c>
      <c r="K1483" s="30">
        <v>20460</v>
      </c>
      <c r="L1483" s="30">
        <v>20430</v>
      </c>
      <c r="M1483" s="30">
        <v>20296</v>
      </c>
      <c r="N1483" s="30">
        <v>20183</v>
      </c>
      <c r="O1483" s="24" t="str">
        <f t="shared" si="47"/>
        <v>Wayne County, Mississippi</v>
      </c>
    </row>
    <row r="1484" spans="1:15" x14ac:dyDescent="0.25">
      <c r="A1484" s="35" t="s">
        <v>1960</v>
      </c>
      <c r="B1484" s="28" t="str">
        <f t="shared" si="46"/>
        <v>Webster</v>
      </c>
      <c r="C1484" s="30">
        <v>10253</v>
      </c>
      <c r="D1484" s="30">
        <v>10264</v>
      </c>
      <c r="E1484" s="30">
        <v>10268</v>
      </c>
      <c r="F1484" s="30">
        <v>10192</v>
      </c>
      <c r="G1484" s="30">
        <v>10088</v>
      </c>
      <c r="H1484" s="30">
        <v>9947</v>
      </c>
      <c r="I1484" s="30">
        <v>9995</v>
      </c>
      <c r="J1484" s="30">
        <v>9873</v>
      </c>
      <c r="K1484" s="30">
        <v>9758</v>
      </c>
      <c r="L1484" s="30">
        <v>9732</v>
      </c>
      <c r="M1484" s="30">
        <v>9788</v>
      </c>
      <c r="N1484" s="30">
        <v>9689</v>
      </c>
      <c r="O1484" s="24" t="str">
        <f t="shared" si="47"/>
        <v>Webster County, Mississippi</v>
      </c>
    </row>
    <row r="1485" spans="1:15" x14ac:dyDescent="0.25">
      <c r="A1485" s="35" t="s">
        <v>1961</v>
      </c>
      <c r="B1485" s="28" t="str">
        <f t="shared" si="46"/>
        <v>Wilkinson</v>
      </c>
      <c r="C1485" s="30">
        <v>9878</v>
      </c>
      <c r="D1485" s="30">
        <v>9878</v>
      </c>
      <c r="E1485" s="30">
        <v>9863</v>
      </c>
      <c r="F1485" s="30">
        <v>9583</v>
      </c>
      <c r="G1485" s="30">
        <v>9458</v>
      </c>
      <c r="H1485" s="30">
        <v>9340</v>
      </c>
      <c r="I1485" s="30">
        <v>9187</v>
      </c>
      <c r="J1485" s="30">
        <v>9089</v>
      </c>
      <c r="K1485" s="30">
        <v>9020</v>
      </c>
      <c r="L1485" s="30">
        <v>8855</v>
      </c>
      <c r="M1485" s="30">
        <v>8781</v>
      </c>
      <c r="N1485" s="30">
        <v>8630</v>
      </c>
      <c r="O1485" s="24" t="str">
        <f t="shared" si="47"/>
        <v>Wilkinson County, Mississippi</v>
      </c>
    </row>
    <row r="1486" spans="1:15" x14ac:dyDescent="0.25">
      <c r="A1486" s="35" t="s">
        <v>1962</v>
      </c>
      <c r="B1486" s="28" t="str">
        <f t="shared" si="46"/>
        <v>Winston</v>
      </c>
      <c r="C1486" s="30">
        <v>19198</v>
      </c>
      <c r="D1486" s="30">
        <v>19201</v>
      </c>
      <c r="E1486" s="30">
        <v>19203</v>
      </c>
      <c r="F1486" s="30">
        <v>19044</v>
      </c>
      <c r="G1486" s="30">
        <v>18977</v>
      </c>
      <c r="H1486" s="30">
        <v>18757</v>
      </c>
      <c r="I1486" s="30">
        <v>18601</v>
      </c>
      <c r="J1486" s="30">
        <v>18447</v>
      </c>
      <c r="K1486" s="30">
        <v>18340</v>
      </c>
      <c r="L1486" s="30">
        <v>18237</v>
      </c>
      <c r="M1486" s="30">
        <v>18164</v>
      </c>
      <c r="N1486" s="30">
        <v>17955</v>
      </c>
      <c r="O1486" s="24" t="str">
        <f t="shared" si="47"/>
        <v>Winston County, Mississippi</v>
      </c>
    </row>
    <row r="1487" spans="1:15" x14ac:dyDescent="0.25">
      <c r="A1487" s="35" t="s">
        <v>1963</v>
      </c>
      <c r="B1487" s="28" t="str">
        <f t="shared" si="46"/>
        <v>Yalobusha</v>
      </c>
      <c r="C1487" s="30">
        <v>12678</v>
      </c>
      <c r="D1487" s="30">
        <v>12678</v>
      </c>
      <c r="E1487" s="30">
        <v>12626</v>
      </c>
      <c r="F1487" s="30">
        <v>12518</v>
      </c>
      <c r="G1487" s="30">
        <v>12390</v>
      </c>
      <c r="H1487" s="30">
        <v>12377</v>
      </c>
      <c r="I1487" s="30">
        <v>12306</v>
      </c>
      <c r="J1487" s="30">
        <v>12458</v>
      </c>
      <c r="K1487" s="30">
        <v>12461</v>
      </c>
      <c r="L1487" s="30">
        <v>12449</v>
      </c>
      <c r="M1487" s="30">
        <v>12361</v>
      </c>
      <c r="N1487" s="30">
        <v>12108</v>
      </c>
      <c r="O1487" s="24" t="str">
        <f t="shared" si="47"/>
        <v>Yalobusha County, Mississippi</v>
      </c>
    </row>
    <row r="1488" spans="1:15" x14ac:dyDescent="0.25">
      <c r="A1488" s="35" t="s">
        <v>1964</v>
      </c>
      <c r="B1488" s="28" t="str">
        <f t="shared" si="46"/>
        <v>Yazoo</v>
      </c>
      <c r="C1488" s="30">
        <v>28065</v>
      </c>
      <c r="D1488" s="30">
        <v>28065</v>
      </c>
      <c r="E1488" s="30">
        <v>28134</v>
      </c>
      <c r="F1488" s="30">
        <v>28277</v>
      </c>
      <c r="G1488" s="30">
        <v>28330</v>
      </c>
      <c r="H1488" s="30">
        <v>27995</v>
      </c>
      <c r="I1488" s="30">
        <v>27800</v>
      </c>
      <c r="J1488" s="30">
        <v>27411</v>
      </c>
      <c r="K1488" s="30">
        <v>27972</v>
      </c>
      <c r="L1488" s="30">
        <v>28659</v>
      </c>
      <c r="M1488" s="30">
        <v>29093</v>
      </c>
      <c r="N1488" s="30">
        <v>29690</v>
      </c>
      <c r="O1488" s="24" t="str">
        <f t="shared" si="47"/>
        <v>Yazoo County, Mississippi</v>
      </c>
    </row>
    <row r="1489" spans="1:15" x14ac:dyDescent="0.25">
      <c r="A1489" s="35" t="s">
        <v>1965</v>
      </c>
      <c r="B1489" s="28" t="str">
        <f t="shared" si="46"/>
        <v>Adair</v>
      </c>
      <c r="C1489" s="30">
        <v>25607</v>
      </c>
      <c r="D1489" s="30">
        <v>25606</v>
      </c>
      <c r="E1489" s="30">
        <v>25625</v>
      </c>
      <c r="F1489" s="30">
        <v>25657</v>
      </c>
      <c r="G1489" s="30">
        <v>25675</v>
      </c>
      <c r="H1489" s="30">
        <v>25703</v>
      </c>
      <c r="I1489" s="30">
        <v>25521</v>
      </c>
      <c r="J1489" s="30">
        <v>25353</v>
      </c>
      <c r="K1489" s="30">
        <v>25244</v>
      </c>
      <c r="L1489" s="30">
        <v>25429</v>
      </c>
      <c r="M1489" s="30">
        <v>25476</v>
      </c>
      <c r="N1489" s="30">
        <v>25343</v>
      </c>
      <c r="O1489" s="24" t="str">
        <f t="shared" si="47"/>
        <v>Adair County, Missouri</v>
      </c>
    </row>
    <row r="1490" spans="1:15" x14ac:dyDescent="0.25">
      <c r="A1490" s="35" t="s">
        <v>1966</v>
      </c>
      <c r="B1490" s="28" t="str">
        <f t="shared" si="46"/>
        <v>Andrew</v>
      </c>
      <c r="C1490" s="30">
        <v>17291</v>
      </c>
      <c r="D1490" s="30">
        <v>17296</v>
      </c>
      <c r="E1490" s="30">
        <v>17344</v>
      </c>
      <c r="F1490" s="30">
        <v>17199</v>
      </c>
      <c r="G1490" s="30">
        <v>17311</v>
      </c>
      <c r="H1490" s="30">
        <v>17305</v>
      </c>
      <c r="I1490" s="30">
        <v>17282</v>
      </c>
      <c r="J1490" s="30">
        <v>17314</v>
      </c>
      <c r="K1490" s="30">
        <v>17351</v>
      </c>
      <c r="L1490" s="30">
        <v>17474</v>
      </c>
      <c r="M1490" s="30">
        <v>17662</v>
      </c>
      <c r="N1490" s="30">
        <v>17712</v>
      </c>
      <c r="O1490" s="24" t="str">
        <f t="shared" si="47"/>
        <v>Andrew County, Missouri</v>
      </c>
    </row>
    <row r="1491" spans="1:15" x14ac:dyDescent="0.25">
      <c r="A1491" s="35" t="s">
        <v>1967</v>
      </c>
      <c r="B1491" s="28" t="str">
        <f t="shared" si="46"/>
        <v>Atchison</v>
      </c>
      <c r="C1491" s="30">
        <v>5685</v>
      </c>
      <c r="D1491" s="30">
        <v>5683</v>
      </c>
      <c r="E1491" s="30">
        <v>5656</v>
      </c>
      <c r="F1491" s="30">
        <v>5573</v>
      </c>
      <c r="G1491" s="30">
        <v>5513</v>
      </c>
      <c r="H1491" s="30">
        <v>5422</v>
      </c>
      <c r="I1491" s="30">
        <v>5357</v>
      </c>
      <c r="J1491" s="30">
        <v>5295</v>
      </c>
      <c r="K1491" s="30">
        <v>5281</v>
      </c>
      <c r="L1491" s="30">
        <v>5243</v>
      </c>
      <c r="M1491" s="30">
        <v>5183</v>
      </c>
      <c r="N1491" s="30">
        <v>5143</v>
      </c>
      <c r="O1491" s="24" t="str">
        <f t="shared" si="47"/>
        <v>Atchison County, Missouri</v>
      </c>
    </row>
    <row r="1492" spans="1:15" x14ac:dyDescent="0.25">
      <c r="A1492" s="35" t="s">
        <v>1968</v>
      </c>
      <c r="B1492" s="28" t="str">
        <f t="shared" si="46"/>
        <v>Audrain</v>
      </c>
      <c r="C1492" s="30">
        <v>25529</v>
      </c>
      <c r="D1492" s="30">
        <v>25531</v>
      </c>
      <c r="E1492" s="30">
        <v>25453</v>
      </c>
      <c r="F1492" s="30">
        <v>25527</v>
      </c>
      <c r="G1492" s="30">
        <v>25524</v>
      </c>
      <c r="H1492" s="30">
        <v>25545</v>
      </c>
      <c r="I1492" s="30">
        <v>25816</v>
      </c>
      <c r="J1492" s="30">
        <v>25950</v>
      </c>
      <c r="K1492" s="30">
        <v>25870</v>
      </c>
      <c r="L1492" s="30">
        <v>25590</v>
      </c>
      <c r="M1492" s="30">
        <v>25423</v>
      </c>
      <c r="N1492" s="30">
        <v>25388</v>
      </c>
      <c r="O1492" s="24" t="str">
        <f t="shared" si="47"/>
        <v>Audrain County, Missouri</v>
      </c>
    </row>
    <row r="1493" spans="1:15" x14ac:dyDescent="0.25">
      <c r="A1493" s="35" t="s">
        <v>1969</v>
      </c>
      <c r="B1493" s="28" t="str">
        <f t="shared" si="46"/>
        <v>Barry</v>
      </c>
      <c r="C1493" s="30">
        <v>35597</v>
      </c>
      <c r="D1493" s="30">
        <v>35601</v>
      </c>
      <c r="E1493" s="30">
        <v>35555</v>
      </c>
      <c r="F1493" s="30">
        <v>35347</v>
      </c>
      <c r="G1493" s="30">
        <v>35333</v>
      </c>
      <c r="H1493" s="30">
        <v>35331</v>
      </c>
      <c r="I1493" s="30">
        <v>35321</v>
      </c>
      <c r="J1493" s="30">
        <v>35293</v>
      </c>
      <c r="K1493" s="30">
        <v>35226</v>
      </c>
      <c r="L1493" s="30">
        <v>35631</v>
      </c>
      <c r="M1493" s="30">
        <v>35712</v>
      </c>
      <c r="N1493" s="30">
        <v>35789</v>
      </c>
      <c r="O1493" s="24" t="str">
        <f t="shared" si="47"/>
        <v>Barry County, Missouri</v>
      </c>
    </row>
    <row r="1494" spans="1:15" x14ac:dyDescent="0.25">
      <c r="A1494" s="35" t="s">
        <v>1970</v>
      </c>
      <c r="B1494" s="28" t="str">
        <f t="shared" si="46"/>
        <v>Barton</v>
      </c>
      <c r="C1494" s="30">
        <v>12402</v>
      </c>
      <c r="D1494" s="30">
        <v>12396</v>
      </c>
      <c r="E1494" s="30">
        <v>12383</v>
      </c>
      <c r="F1494" s="30">
        <v>12342</v>
      </c>
      <c r="G1494" s="30">
        <v>12294</v>
      </c>
      <c r="H1494" s="30">
        <v>12175</v>
      </c>
      <c r="I1494" s="30">
        <v>11981</v>
      </c>
      <c r="J1494" s="30">
        <v>11825</v>
      </c>
      <c r="K1494" s="30">
        <v>11825</v>
      </c>
      <c r="L1494" s="30">
        <v>11793</v>
      </c>
      <c r="M1494" s="30">
        <v>11790</v>
      </c>
      <c r="N1494" s="30">
        <v>11754</v>
      </c>
      <c r="O1494" s="24" t="str">
        <f t="shared" si="47"/>
        <v>Barton County, Missouri</v>
      </c>
    </row>
    <row r="1495" spans="1:15" x14ac:dyDescent="0.25">
      <c r="A1495" s="35" t="s">
        <v>1971</v>
      </c>
      <c r="B1495" s="28" t="str">
        <f t="shared" si="46"/>
        <v>Bates</v>
      </c>
      <c r="C1495" s="30">
        <v>17049</v>
      </c>
      <c r="D1495" s="30">
        <v>17047</v>
      </c>
      <c r="E1495" s="30">
        <v>17028</v>
      </c>
      <c r="F1495" s="30">
        <v>16965</v>
      </c>
      <c r="G1495" s="30">
        <v>16616</v>
      </c>
      <c r="H1495" s="30">
        <v>16428</v>
      </c>
      <c r="I1495" s="30">
        <v>16515</v>
      </c>
      <c r="J1495" s="30">
        <v>16362</v>
      </c>
      <c r="K1495" s="30">
        <v>16351</v>
      </c>
      <c r="L1495" s="30">
        <v>16293</v>
      </c>
      <c r="M1495" s="30">
        <v>16304</v>
      </c>
      <c r="N1495" s="30">
        <v>16172</v>
      </c>
      <c r="O1495" s="24" t="str">
        <f t="shared" si="47"/>
        <v>Bates County, Missouri</v>
      </c>
    </row>
    <row r="1496" spans="1:15" x14ac:dyDescent="0.25">
      <c r="A1496" s="35" t="s">
        <v>1972</v>
      </c>
      <c r="B1496" s="28" t="str">
        <f t="shared" si="46"/>
        <v>Benton</v>
      </c>
      <c r="C1496" s="30">
        <v>19056</v>
      </c>
      <c r="D1496" s="30">
        <v>19057</v>
      </c>
      <c r="E1496" s="30">
        <v>19096</v>
      </c>
      <c r="F1496" s="30">
        <v>19033</v>
      </c>
      <c r="G1496" s="30">
        <v>18991</v>
      </c>
      <c r="H1496" s="30">
        <v>18941</v>
      </c>
      <c r="I1496" s="30">
        <v>18877</v>
      </c>
      <c r="J1496" s="30">
        <v>18791</v>
      </c>
      <c r="K1496" s="30">
        <v>18934</v>
      </c>
      <c r="L1496" s="30">
        <v>19072</v>
      </c>
      <c r="M1496" s="30">
        <v>19297</v>
      </c>
      <c r="N1496" s="30">
        <v>19443</v>
      </c>
      <c r="O1496" s="24" t="str">
        <f t="shared" si="47"/>
        <v>Benton County, Missouri</v>
      </c>
    </row>
    <row r="1497" spans="1:15" x14ac:dyDescent="0.25">
      <c r="A1497" s="35" t="s">
        <v>1973</v>
      </c>
      <c r="B1497" s="28" t="str">
        <f t="shared" si="46"/>
        <v>Bollinger</v>
      </c>
      <c r="C1497" s="30">
        <v>12363</v>
      </c>
      <c r="D1497" s="30">
        <v>12358</v>
      </c>
      <c r="E1497" s="30">
        <v>12342</v>
      </c>
      <c r="F1497" s="30">
        <v>12376</v>
      </c>
      <c r="G1497" s="30">
        <v>12442</v>
      </c>
      <c r="H1497" s="30">
        <v>12481</v>
      </c>
      <c r="I1497" s="30">
        <v>12415</v>
      </c>
      <c r="J1497" s="30">
        <v>12316</v>
      </c>
      <c r="K1497" s="30">
        <v>12205</v>
      </c>
      <c r="L1497" s="30">
        <v>12280</v>
      </c>
      <c r="M1497" s="30">
        <v>12189</v>
      </c>
      <c r="N1497" s="30">
        <v>12133</v>
      </c>
      <c r="O1497" s="24" t="str">
        <f t="shared" si="47"/>
        <v>Bollinger County, Missouri</v>
      </c>
    </row>
    <row r="1498" spans="1:15" x14ac:dyDescent="0.25">
      <c r="A1498" s="35" t="s">
        <v>1974</v>
      </c>
      <c r="B1498" s="28" t="str">
        <f t="shared" si="46"/>
        <v>Boone</v>
      </c>
      <c r="C1498" s="30">
        <v>162642</v>
      </c>
      <c r="D1498" s="30">
        <v>162652</v>
      </c>
      <c r="E1498" s="30">
        <v>163203</v>
      </c>
      <c r="F1498" s="30">
        <v>166257</v>
      </c>
      <c r="G1498" s="30">
        <v>168807</v>
      </c>
      <c r="H1498" s="30">
        <v>170975</v>
      </c>
      <c r="I1498" s="30">
        <v>172799</v>
      </c>
      <c r="J1498" s="30">
        <v>174404</v>
      </c>
      <c r="K1498" s="30">
        <v>176315</v>
      </c>
      <c r="L1498" s="30">
        <v>178012</v>
      </c>
      <c r="M1498" s="30">
        <v>179061</v>
      </c>
      <c r="N1498" s="30">
        <v>180463</v>
      </c>
      <c r="O1498" s="24" t="str">
        <f t="shared" si="47"/>
        <v>Boone County, Missouri</v>
      </c>
    </row>
    <row r="1499" spans="1:15" x14ac:dyDescent="0.25">
      <c r="A1499" s="35" t="s">
        <v>1975</v>
      </c>
      <c r="B1499" s="28" t="str">
        <f t="shared" si="46"/>
        <v>Buchanan</v>
      </c>
      <c r="C1499" s="30">
        <v>89201</v>
      </c>
      <c r="D1499" s="30">
        <v>89191</v>
      </c>
      <c r="E1499" s="30">
        <v>89072</v>
      </c>
      <c r="F1499" s="30">
        <v>89728</v>
      </c>
      <c r="G1499" s="30">
        <v>89930</v>
      </c>
      <c r="H1499" s="30">
        <v>89826</v>
      </c>
      <c r="I1499" s="30">
        <v>89600</v>
      </c>
      <c r="J1499" s="30">
        <v>89082</v>
      </c>
      <c r="K1499" s="30">
        <v>89032</v>
      </c>
      <c r="L1499" s="30">
        <v>88660</v>
      </c>
      <c r="M1499" s="30">
        <v>88163</v>
      </c>
      <c r="N1499" s="30">
        <v>87364</v>
      </c>
      <c r="O1499" s="24" t="str">
        <f t="shared" si="47"/>
        <v>Buchanan County, Missouri</v>
      </c>
    </row>
    <row r="1500" spans="1:15" x14ac:dyDescent="0.25">
      <c r="A1500" s="35" t="s">
        <v>1976</v>
      </c>
      <c r="B1500" s="28" t="str">
        <f t="shared" si="46"/>
        <v>Butler</v>
      </c>
      <c r="C1500" s="30">
        <v>42794</v>
      </c>
      <c r="D1500" s="30">
        <v>42792</v>
      </c>
      <c r="E1500" s="30">
        <v>42786</v>
      </c>
      <c r="F1500" s="30">
        <v>42990</v>
      </c>
      <c r="G1500" s="30">
        <v>42986</v>
      </c>
      <c r="H1500" s="30">
        <v>42961</v>
      </c>
      <c r="I1500" s="30">
        <v>42849</v>
      </c>
      <c r="J1500" s="30">
        <v>42829</v>
      </c>
      <c r="K1500" s="30">
        <v>42769</v>
      </c>
      <c r="L1500" s="30">
        <v>42618</v>
      </c>
      <c r="M1500" s="30">
        <v>42587</v>
      </c>
      <c r="N1500" s="30">
        <v>42478</v>
      </c>
      <c r="O1500" s="24" t="str">
        <f t="shared" si="47"/>
        <v>Butler County, Missouri</v>
      </c>
    </row>
    <row r="1501" spans="1:15" x14ac:dyDescent="0.25">
      <c r="A1501" s="35" t="s">
        <v>1977</v>
      </c>
      <c r="B1501" s="28" t="str">
        <f t="shared" si="46"/>
        <v>Caldwell</v>
      </c>
      <c r="C1501" s="30">
        <v>9424</v>
      </c>
      <c r="D1501" s="30">
        <v>9418</v>
      </c>
      <c r="E1501" s="30">
        <v>9428</v>
      </c>
      <c r="F1501" s="30">
        <v>9278</v>
      </c>
      <c r="G1501" s="30">
        <v>9088</v>
      </c>
      <c r="H1501" s="30">
        <v>9040</v>
      </c>
      <c r="I1501" s="30">
        <v>8998</v>
      </c>
      <c r="J1501" s="30">
        <v>9002</v>
      </c>
      <c r="K1501" s="30">
        <v>9043</v>
      </c>
      <c r="L1501" s="30">
        <v>9059</v>
      </c>
      <c r="M1501" s="30">
        <v>9071</v>
      </c>
      <c r="N1501" s="30">
        <v>9020</v>
      </c>
      <c r="O1501" s="24" t="str">
        <f t="shared" si="47"/>
        <v>Caldwell County, Missouri</v>
      </c>
    </row>
    <row r="1502" spans="1:15" x14ac:dyDescent="0.25">
      <c r="A1502" s="35" t="s">
        <v>1978</v>
      </c>
      <c r="B1502" s="28" t="str">
        <f t="shared" si="46"/>
        <v>Callaway</v>
      </c>
      <c r="C1502" s="30">
        <v>44332</v>
      </c>
      <c r="D1502" s="30">
        <v>44331</v>
      </c>
      <c r="E1502" s="30">
        <v>44310</v>
      </c>
      <c r="F1502" s="30">
        <v>44304</v>
      </c>
      <c r="G1502" s="30">
        <v>44399</v>
      </c>
      <c r="H1502" s="30">
        <v>44528</v>
      </c>
      <c r="I1502" s="30">
        <v>44633</v>
      </c>
      <c r="J1502" s="30">
        <v>44699</v>
      </c>
      <c r="K1502" s="30">
        <v>45069</v>
      </c>
      <c r="L1502" s="30">
        <v>44982</v>
      </c>
      <c r="M1502" s="30">
        <v>44954</v>
      </c>
      <c r="N1502" s="30">
        <v>44743</v>
      </c>
      <c r="O1502" s="24" t="str">
        <f t="shared" si="47"/>
        <v>Callaway County, Missouri</v>
      </c>
    </row>
    <row r="1503" spans="1:15" x14ac:dyDescent="0.25">
      <c r="A1503" s="35" t="s">
        <v>1979</v>
      </c>
      <c r="B1503" s="28" t="str">
        <f t="shared" si="46"/>
        <v>Camden</v>
      </c>
      <c r="C1503" s="30">
        <v>44002</v>
      </c>
      <c r="D1503" s="30">
        <v>44016</v>
      </c>
      <c r="E1503" s="30">
        <v>44078</v>
      </c>
      <c r="F1503" s="30">
        <v>43824</v>
      </c>
      <c r="G1503" s="30">
        <v>44197</v>
      </c>
      <c r="H1503" s="30">
        <v>44294</v>
      </c>
      <c r="I1503" s="30">
        <v>44555</v>
      </c>
      <c r="J1503" s="30">
        <v>44735</v>
      </c>
      <c r="K1503" s="30">
        <v>44906</v>
      </c>
      <c r="L1503" s="30">
        <v>45473</v>
      </c>
      <c r="M1503" s="30">
        <v>45913</v>
      </c>
      <c r="N1503" s="30">
        <v>46305</v>
      </c>
      <c r="O1503" s="24" t="str">
        <f t="shared" si="47"/>
        <v>Camden County, Missouri</v>
      </c>
    </row>
    <row r="1504" spans="1:15" x14ac:dyDescent="0.25">
      <c r="A1504" s="35" t="s">
        <v>1980</v>
      </c>
      <c r="B1504" s="28" t="str">
        <f t="shared" si="46"/>
        <v>Cape Girardeau</v>
      </c>
      <c r="C1504" s="30">
        <v>75674</v>
      </c>
      <c r="D1504" s="30">
        <v>75674</v>
      </c>
      <c r="E1504" s="30">
        <v>75899</v>
      </c>
      <c r="F1504" s="30">
        <v>76614</v>
      </c>
      <c r="G1504" s="30">
        <v>77051</v>
      </c>
      <c r="H1504" s="30">
        <v>77458</v>
      </c>
      <c r="I1504" s="30">
        <v>77907</v>
      </c>
      <c r="J1504" s="30">
        <v>78238</v>
      </c>
      <c r="K1504" s="30">
        <v>78445</v>
      </c>
      <c r="L1504" s="30">
        <v>78261</v>
      </c>
      <c r="M1504" s="30">
        <v>78638</v>
      </c>
      <c r="N1504" s="30">
        <v>78871</v>
      </c>
      <c r="O1504" s="24" t="str">
        <f t="shared" si="47"/>
        <v>Cape Girardeau County, Missouri</v>
      </c>
    </row>
    <row r="1505" spans="1:15" x14ac:dyDescent="0.25">
      <c r="A1505" s="35" t="s">
        <v>1981</v>
      </c>
      <c r="B1505" s="28" t="str">
        <f t="shared" si="46"/>
        <v>Carroll</v>
      </c>
      <c r="C1505" s="30">
        <v>9295</v>
      </c>
      <c r="D1505" s="30">
        <v>9294</v>
      </c>
      <c r="E1505" s="30">
        <v>9282</v>
      </c>
      <c r="F1505" s="30">
        <v>9253</v>
      </c>
      <c r="G1505" s="30">
        <v>9078</v>
      </c>
      <c r="H1505" s="30">
        <v>9055</v>
      </c>
      <c r="I1505" s="30">
        <v>8956</v>
      </c>
      <c r="J1505" s="30">
        <v>8879</v>
      </c>
      <c r="K1505" s="30">
        <v>8844</v>
      </c>
      <c r="L1505" s="30">
        <v>8779</v>
      </c>
      <c r="M1505" s="30">
        <v>8726</v>
      </c>
      <c r="N1505" s="30">
        <v>8679</v>
      </c>
      <c r="O1505" s="24" t="str">
        <f t="shared" si="47"/>
        <v>Carroll County, Missouri</v>
      </c>
    </row>
    <row r="1506" spans="1:15" x14ac:dyDescent="0.25">
      <c r="A1506" s="35" t="s">
        <v>1982</v>
      </c>
      <c r="B1506" s="28" t="str">
        <f t="shared" si="46"/>
        <v>Carter</v>
      </c>
      <c r="C1506" s="30">
        <v>6265</v>
      </c>
      <c r="D1506" s="30">
        <v>6267</v>
      </c>
      <c r="E1506" s="30">
        <v>6294</v>
      </c>
      <c r="F1506" s="30">
        <v>6332</v>
      </c>
      <c r="G1506" s="30">
        <v>6273</v>
      </c>
      <c r="H1506" s="30">
        <v>6343</v>
      </c>
      <c r="I1506" s="30">
        <v>6286</v>
      </c>
      <c r="J1506" s="30">
        <v>6280</v>
      </c>
      <c r="K1506" s="30">
        <v>6210</v>
      </c>
      <c r="L1506" s="30">
        <v>6179</v>
      </c>
      <c r="M1506" s="30">
        <v>6083</v>
      </c>
      <c r="N1506" s="30">
        <v>5982</v>
      </c>
      <c r="O1506" s="24" t="str">
        <f t="shared" si="47"/>
        <v>Carter County, Missouri</v>
      </c>
    </row>
    <row r="1507" spans="1:15" x14ac:dyDescent="0.25">
      <c r="A1507" s="35" t="s">
        <v>1983</v>
      </c>
      <c r="B1507" s="28" t="str">
        <f t="shared" si="46"/>
        <v>Cass</v>
      </c>
      <c r="C1507" s="30">
        <v>99478</v>
      </c>
      <c r="D1507" s="30">
        <v>99500</v>
      </c>
      <c r="E1507" s="30">
        <v>99754</v>
      </c>
      <c r="F1507" s="30">
        <v>99998</v>
      </c>
      <c r="G1507" s="30">
        <v>100435</v>
      </c>
      <c r="H1507" s="30">
        <v>100676</v>
      </c>
      <c r="I1507" s="30">
        <v>100828</v>
      </c>
      <c r="J1507" s="30">
        <v>101339</v>
      </c>
      <c r="K1507" s="30">
        <v>102622</v>
      </c>
      <c r="L1507" s="30">
        <v>103477</v>
      </c>
      <c r="M1507" s="30">
        <v>104769</v>
      </c>
      <c r="N1507" s="30">
        <v>105780</v>
      </c>
      <c r="O1507" s="24" t="str">
        <f t="shared" si="47"/>
        <v>Cass County, Missouri</v>
      </c>
    </row>
    <row r="1508" spans="1:15" x14ac:dyDescent="0.25">
      <c r="A1508" s="35" t="s">
        <v>1984</v>
      </c>
      <c r="B1508" s="28" t="str">
        <f t="shared" si="46"/>
        <v>Cedar</v>
      </c>
      <c r="C1508" s="30">
        <v>13982</v>
      </c>
      <c r="D1508" s="30">
        <v>13982</v>
      </c>
      <c r="E1508" s="30">
        <v>13969</v>
      </c>
      <c r="F1508" s="30">
        <v>13912</v>
      </c>
      <c r="G1508" s="30">
        <v>13909</v>
      </c>
      <c r="H1508" s="30">
        <v>13773</v>
      </c>
      <c r="I1508" s="30">
        <v>13784</v>
      </c>
      <c r="J1508" s="30">
        <v>13782</v>
      </c>
      <c r="K1508" s="30">
        <v>13876</v>
      </c>
      <c r="L1508" s="30">
        <v>14070</v>
      </c>
      <c r="M1508" s="30">
        <v>14136</v>
      </c>
      <c r="N1508" s="30">
        <v>14349</v>
      </c>
      <c r="O1508" s="24" t="str">
        <f t="shared" si="47"/>
        <v>Cedar County, Missouri</v>
      </c>
    </row>
    <row r="1509" spans="1:15" x14ac:dyDescent="0.25">
      <c r="A1509" s="35" t="s">
        <v>1985</v>
      </c>
      <c r="B1509" s="28" t="str">
        <f t="shared" si="46"/>
        <v>Chariton</v>
      </c>
      <c r="C1509" s="30">
        <v>7831</v>
      </c>
      <c r="D1509" s="30">
        <v>7811</v>
      </c>
      <c r="E1509" s="30">
        <v>7831</v>
      </c>
      <c r="F1509" s="30">
        <v>7738</v>
      </c>
      <c r="G1509" s="30">
        <v>7673</v>
      </c>
      <c r="H1509" s="30">
        <v>7634</v>
      </c>
      <c r="I1509" s="30">
        <v>7670</v>
      </c>
      <c r="J1509" s="30">
        <v>7576</v>
      </c>
      <c r="K1509" s="30">
        <v>7501</v>
      </c>
      <c r="L1509" s="30">
        <v>7457</v>
      </c>
      <c r="M1509" s="30">
        <v>7457</v>
      </c>
      <c r="N1509" s="30">
        <v>7426</v>
      </c>
      <c r="O1509" s="24" t="str">
        <f t="shared" si="47"/>
        <v>Chariton County, Missouri</v>
      </c>
    </row>
    <row r="1510" spans="1:15" x14ac:dyDescent="0.25">
      <c r="A1510" s="35" t="s">
        <v>1986</v>
      </c>
      <c r="B1510" s="28" t="str">
        <f t="shared" si="46"/>
        <v>Christian</v>
      </c>
      <c r="C1510" s="30">
        <v>77422</v>
      </c>
      <c r="D1510" s="30">
        <v>77414</v>
      </c>
      <c r="E1510" s="30">
        <v>77841</v>
      </c>
      <c r="F1510" s="30">
        <v>78649</v>
      </c>
      <c r="G1510" s="30">
        <v>79658</v>
      </c>
      <c r="H1510" s="30">
        <v>80621</v>
      </c>
      <c r="I1510" s="30">
        <v>81820</v>
      </c>
      <c r="J1510" s="30">
        <v>83077</v>
      </c>
      <c r="K1510" s="30">
        <v>84184</v>
      </c>
      <c r="L1510" s="30">
        <v>85392</v>
      </c>
      <c r="M1510" s="30">
        <v>87044</v>
      </c>
      <c r="N1510" s="30">
        <v>88595</v>
      </c>
      <c r="O1510" s="24" t="str">
        <f t="shared" si="47"/>
        <v>Christian County, Missouri</v>
      </c>
    </row>
    <row r="1511" spans="1:15" x14ac:dyDescent="0.25">
      <c r="A1511" s="35" t="s">
        <v>1987</v>
      </c>
      <c r="B1511" s="28" t="str">
        <f t="shared" si="46"/>
        <v>Clark</v>
      </c>
      <c r="C1511" s="30">
        <v>7139</v>
      </c>
      <c r="D1511" s="30">
        <v>7129</v>
      </c>
      <c r="E1511" s="30">
        <v>7135</v>
      </c>
      <c r="F1511" s="30">
        <v>7025</v>
      </c>
      <c r="G1511" s="30">
        <v>6965</v>
      </c>
      <c r="H1511" s="30">
        <v>6898</v>
      </c>
      <c r="I1511" s="30">
        <v>6886</v>
      </c>
      <c r="J1511" s="30">
        <v>6808</v>
      </c>
      <c r="K1511" s="30">
        <v>6739</v>
      </c>
      <c r="L1511" s="30">
        <v>6720</v>
      </c>
      <c r="M1511" s="30">
        <v>6833</v>
      </c>
      <c r="N1511" s="30">
        <v>6797</v>
      </c>
      <c r="O1511" s="24" t="str">
        <f t="shared" si="47"/>
        <v>Clark County, Missouri</v>
      </c>
    </row>
    <row r="1512" spans="1:15" x14ac:dyDescent="0.25">
      <c r="A1512" s="35" t="s">
        <v>1988</v>
      </c>
      <c r="B1512" s="28" t="str">
        <f t="shared" si="46"/>
        <v>Clay</v>
      </c>
      <c r="C1512" s="30">
        <v>221939</v>
      </c>
      <c r="D1512" s="30">
        <v>221906</v>
      </c>
      <c r="E1512" s="30">
        <v>222650</v>
      </c>
      <c r="F1512" s="30">
        <v>225243</v>
      </c>
      <c r="G1512" s="30">
        <v>227579</v>
      </c>
      <c r="H1512" s="30">
        <v>230306</v>
      </c>
      <c r="I1512" s="30">
        <v>233008</v>
      </c>
      <c r="J1512" s="30">
        <v>235161</v>
      </c>
      <c r="K1512" s="30">
        <v>238583</v>
      </c>
      <c r="L1512" s="30">
        <v>242527</v>
      </c>
      <c r="M1512" s="30">
        <v>246360</v>
      </c>
      <c r="N1512" s="30">
        <v>249948</v>
      </c>
      <c r="O1512" s="24" t="str">
        <f t="shared" si="47"/>
        <v>Clay County, Missouri</v>
      </c>
    </row>
    <row r="1513" spans="1:15" x14ac:dyDescent="0.25">
      <c r="A1513" s="35" t="s">
        <v>1989</v>
      </c>
      <c r="B1513" s="28" t="str">
        <f t="shared" si="46"/>
        <v>Clinton</v>
      </c>
      <c r="C1513" s="30">
        <v>20743</v>
      </c>
      <c r="D1513" s="30">
        <v>20743</v>
      </c>
      <c r="E1513" s="30">
        <v>20740</v>
      </c>
      <c r="F1513" s="30">
        <v>20678</v>
      </c>
      <c r="G1513" s="30">
        <v>20560</v>
      </c>
      <c r="H1513" s="30">
        <v>20562</v>
      </c>
      <c r="I1513" s="30">
        <v>20261</v>
      </c>
      <c r="J1513" s="30">
        <v>20581</v>
      </c>
      <c r="K1513" s="30">
        <v>20548</v>
      </c>
      <c r="L1513" s="30">
        <v>20551</v>
      </c>
      <c r="M1513" s="30">
        <v>20435</v>
      </c>
      <c r="N1513" s="30">
        <v>20387</v>
      </c>
      <c r="O1513" s="24" t="str">
        <f t="shared" si="47"/>
        <v>Clinton County, Missouri</v>
      </c>
    </row>
    <row r="1514" spans="1:15" x14ac:dyDescent="0.25">
      <c r="A1514" s="35" t="s">
        <v>1990</v>
      </c>
      <c r="B1514" s="28" t="str">
        <f t="shared" si="46"/>
        <v>Cole</v>
      </c>
      <c r="C1514" s="30">
        <v>75990</v>
      </c>
      <c r="D1514" s="30">
        <v>75975</v>
      </c>
      <c r="E1514" s="30">
        <v>76150</v>
      </c>
      <c r="F1514" s="30">
        <v>76495</v>
      </c>
      <c r="G1514" s="30">
        <v>76477</v>
      </c>
      <c r="H1514" s="30">
        <v>76722</v>
      </c>
      <c r="I1514" s="30">
        <v>76647</v>
      </c>
      <c r="J1514" s="30">
        <v>76818</v>
      </c>
      <c r="K1514" s="30">
        <v>76702</v>
      </c>
      <c r="L1514" s="30">
        <v>76632</v>
      </c>
      <c r="M1514" s="30">
        <v>76720</v>
      </c>
      <c r="N1514" s="30">
        <v>76745</v>
      </c>
      <c r="O1514" s="24" t="str">
        <f t="shared" si="47"/>
        <v>Cole County, Missouri</v>
      </c>
    </row>
    <row r="1515" spans="1:15" x14ac:dyDescent="0.25">
      <c r="A1515" s="35" t="s">
        <v>1991</v>
      </c>
      <c r="B1515" s="28" t="str">
        <f t="shared" si="46"/>
        <v>Cooper</v>
      </c>
      <c r="C1515" s="30">
        <v>17601</v>
      </c>
      <c r="D1515" s="30">
        <v>17604</v>
      </c>
      <c r="E1515" s="30">
        <v>17603</v>
      </c>
      <c r="F1515" s="30">
        <v>17554</v>
      </c>
      <c r="G1515" s="30">
        <v>17537</v>
      </c>
      <c r="H1515" s="30">
        <v>17610</v>
      </c>
      <c r="I1515" s="30">
        <v>17564</v>
      </c>
      <c r="J1515" s="30">
        <v>17614</v>
      </c>
      <c r="K1515" s="30">
        <v>17702</v>
      </c>
      <c r="L1515" s="30">
        <v>17647</v>
      </c>
      <c r="M1515" s="30">
        <v>17626</v>
      </c>
      <c r="N1515" s="30">
        <v>17709</v>
      </c>
      <c r="O1515" s="24" t="str">
        <f t="shared" si="47"/>
        <v>Cooper County, Missouri</v>
      </c>
    </row>
    <row r="1516" spans="1:15" x14ac:dyDescent="0.25">
      <c r="A1516" s="35" t="s">
        <v>1992</v>
      </c>
      <c r="B1516" s="28" t="str">
        <f t="shared" si="46"/>
        <v>Crawford</v>
      </c>
      <c r="C1516" s="30">
        <v>24696</v>
      </c>
      <c r="D1516" s="30">
        <v>24719</v>
      </c>
      <c r="E1516" s="30">
        <v>24630</v>
      </c>
      <c r="F1516" s="30">
        <v>24815</v>
      </c>
      <c r="G1516" s="30">
        <v>24780</v>
      </c>
      <c r="H1516" s="30">
        <v>24530</v>
      </c>
      <c r="I1516" s="30">
        <v>24633</v>
      </c>
      <c r="J1516" s="30">
        <v>24511</v>
      </c>
      <c r="K1516" s="30">
        <v>24265</v>
      </c>
      <c r="L1516" s="30">
        <v>24107</v>
      </c>
      <c r="M1516" s="30">
        <v>23968</v>
      </c>
      <c r="N1516" s="30">
        <v>23920</v>
      </c>
      <c r="O1516" s="24" t="str">
        <f t="shared" si="47"/>
        <v>Crawford County, Missouri</v>
      </c>
    </row>
    <row r="1517" spans="1:15" x14ac:dyDescent="0.25">
      <c r="A1517" s="35" t="s">
        <v>1993</v>
      </c>
      <c r="B1517" s="28" t="str">
        <f t="shared" si="46"/>
        <v>Dade</v>
      </c>
      <c r="C1517" s="30">
        <v>7883</v>
      </c>
      <c r="D1517" s="30">
        <v>7879</v>
      </c>
      <c r="E1517" s="30">
        <v>7839</v>
      </c>
      <c r="F1517" s="30">
        <v>7766</v>
      </c>
      <c r="G1517" s="30">
        <v>7558</v>
      </c>
      <c r="H1517" s="30">
        <v>7531</v>
      </c>
      <c r="I1517" s="30">
        <v>7596</v>
      </c>
      <c r="J1517" s="30">
        <v>7574</v>
      </c>
      <c r="K1517" s="30">
        <v>7606</v>
      </c>
      <c r="L1517" s="30">
        <v>7586</v>
      </c>
      <c r="M1517" s="30">
        <v>7564</v>
      </c>
      <c r="N1517" s="30">
        <v>7561</v>
      </c>
      <c r="O1517" s="24" t="str">
        <f t="shared" si="47"/>
        <v>Dade County, Missouri</v>
      </c>
    </row>
    <row r="1518" spans="1:15" x14ac:dyDescent="0.25">
      <c r="A1518" s="35" t="s">
        <v>1994</v>
      </c>
      <c r="B1518" s="28" t="str">
        <f t="shared" si="46"/>
        <v>Dallas</v>
      </c>
      <c r="C1518" s="30">
        <v>16777</v>
      </c>
      <c r="D1518" s="30">
        <v>16769</v>
      </c>
      <c r="E1518" s="30">
        <v>16722</v>
      </c>
      <c r="F1518" s="30">
        <v>16687</v>
      </c>
      <c r="G1518" s="30">
        <v>16694</v>
      </c>
      <c r="H1518" s="30">
        <v>16458</v>
      </c>
      <c r="I1518" s="30">
        <v>16335</v>
      </c>
      <c r="J1518" s="30">
        <v>16344</v>
      </c>
      <c r="K1518" s="30">
        <v>16381</v>
      </c>
      <c r="L1518" s="30">
        <v>16699</v>
      </c>
      <c r="M1518" s="30">
        <v>16782</v>
      </c>
      <c r="N1518" s="30">
        <v>16878</v>
      </c>
      <c r="O1518" s="24" t="str">
        <f t="shared" si="47"/>
        <v>Dallas County, Missouri</v>
      </c>
    </row>
    <row r="1519" spans="1:15" x14ac:dyDescent="0.25">
      <c r="A1519" s="35" t="s">
        <v>1995</v>
      </c>
      <c r="B1519" s="28" t="str">
        <f t="shared" si="46"/>
        <v>Daviess</v>
      </c>
      <c r="C1519" s="30">
        <v>8433</v>
      </c>
      <c r="D1519" s="30">
        <v>8429</v>
      </c>
      <c r="E1519" s="30">
        <v>8449</v>
      </c>
      <c r="F1519" s="30">
        <v>8295</v>
      </c>
      <c r="G1519" s="30">
        <v>8299</v>
      </c>
      <c r="H1519" s="30">
        <v>8300</v>
      </c>
      <c r="I1519" s="30">
        <v>8322</v>
      </c>
      <c r="J1519" s="30">
        <v>8283</v>
      </c>
      <c r="K1519" s="30">
        <v>8224</v>
      </c>
      <c r="L1519" s="30">
        <v>8358</v>
      </c>
      <c r="M1519" s="30">
        <v>8334</v>
      </c>
      <c r="N1519" s="30">
        <v>8278</v>
      </c>
      <c r="O1519" s="24" t="str">
        <f t="shared" si="47"/>
        <v>Daviess County, Missouri</v>
      </c>
    </row>
    <row r="1520" spans="1:15" x14ac:dyDescent="0.25">
      <c r="A1520" s="35" t="s">
        <v>1996</v>
      </c>
      <c r="B1520" s="28" t="str">
        <f t="shared" si="46"/>
        <v>DeKalb</v>
      </c>
      <c r="C1520" s="30">
        <v>12892</v>
      </c>
      <c r="D1520" s="30">
        <v>12884</v>
      </c>
      <c r="E1520" s="30">
        <v>12895</v>
      </c>
      <c r="F1520" s="30">
        <v>12813</v>
      </c>
      <c r="G1520" s="30">
        <v>12777</v>
      </c>
      <c r="H1520" s="30">
        <v>12628</v>
      </c>
      <c r="I1520" s="30">
        <v>12539</v>
      </c>
      <c r="J1520" s="30">
        <v>12540</v>
      </c>
      <c r="K1520" s="30">
        <v>12496</v>
      </c>
      <c r="L1520" s="30">
        <v>12532</v>
      </c>
      <c r="M1520" s="30">
        <v>12515</v>
      </c>
      <c r="N1520" s="30">
        <v>12547</v>
      </c>
      <c r="O1520" s="24" t="str">
        <f t="shared" si="47"/>
        <v>DeKalb County, Missouri</v>
      </c>
    </row>
    <row r="1521" spans="1:15" x14ac:dyDescent="0.25">
      <c r="A1521" s="35" t="s">
        <v>1997</v>
      </c>
      <c r="B1521" s="28" t="str">
        <f t="shared" si="46"/>
        <v>Dent</v>
      </c>
      <c r="C1521" s="30">
        <v>15657</v>
      </c>
      <c r="D1521" s="30">
        <v>15692</v>
      </c>
      <c r="E1521" s="30">
        <v>15740</v>
      </c>
      <c r="F1521" s="30">
        <v>15621</v>
      </c>
      <c r="G1521" s="30">
        <v>15658</v>
      </c>
      <c r="H1521" s="30">
        <v>15742</v>
      </c>
      <c r="I1521" s="30">
        <v>15635</v>
      </c>
      <c r="J1521" s="30">
        <v>15656</v>
      </c>
      <c r="K1521" s="30">
        <v>15454</v>
      </c>
      <c r="L1521" s="30">
        <v>15497</v>
      </c>
      <c r="M1521" s="30">
        <v>15547</v>
      </c>
      <c r="N1521" s="30">
        <v>15573</v>
      </c>
      <c r="O1521" s="24" t="str">
        <f t="shared" si="47"/>
        <v>Dent County, Missouri</v>
      </c>
    </row>
    <row r="1522" spans="1:15" x14ac:dyDescent="0.25">
      <c r="A1522" s="35" t="s">
        <v>1998</v>
      </c>
      <c r="B1522" s="28" t="str">
        <f t="shared" si="46"/>
        <v>Douglas</v>
      </c>
      <c r="C1522" s="30">
        <v>13684</v>
      </c>
      <c r="D1522" s="30">
        <v>13686</v>
      </c>
      <c r="E1522" s="30">
        <v>13651</v>
      </c>
      <c r="F1522" s="30">
        <v>13632</v>
      </c>
      <c r="G1522" s="30">
        <v>13574</v>
      </c>
      <c r="H1522" s="30">
        <v>13440</v>
      </c>
      <c r="I1522" s="30">
        <v>13521</v>
      </c>
      <c r="J1522" s="30">
        <v>13356</v>
      </c>
      <c r="K1522" s="30">
        <v>13353</v>
      </c>
      <c r="L1522" s="30">
        <v>13276</v>
      </c>
      <c r="M1522" s="30">
        <v>13359</v>
      </c>
      <c r="N1522" s="30">
        <v>13185</v>
      </c>
      <c r="O1522" s="24" t="str">
        <f t="shared" si="47"/>
        <v>Douglas County, Missouri</v>
      </c>
    </row>
    <row r="1523" spans="1:15" x14ac:dyDescent="0.25">
      <c r="A1523" s="35" t="s">
        <v>1999</v>
      </c>
      <c r="B1523" s="28" t="str">
        <f t="shared" si="46"/>
        <v>Dunklin</v>
      </c>
      <c r="C1523" s="30">
        <v>31953</v>
      </c>
      <c r="D1523" s="30">
        <v>31957</v>
      </c>
      <c r="E1523" s="30">
        <v>31950</v>
      </c>
      <c r="F1523" s="30">
        <v>32010</v>
      </c>
      <c r="G1523" s="30">
        <v>31841</v>
      </c>
      <c r="H1523" s="30">
        <v>31724</v>
      </c>
      <c r="I1523" s="30">
        <v>31303</v>
      </c>
      <c r="J1523" s="30">
        <v>30844</v>
      </c>
      <c r="K1523" s="30">
        <v>30562</v>
      </c>
      <c r="L1523" s="30">
        <v>30121</v>
      </c>
      <c r="M1523" s="30">
        <v>29478</v>
      </c>
      <c r="N1523" s="30">
        <v>29131</v>
      </c>
      <c r="O1523" s="24" t="str">
        <f t="shared" si="47"/>
        <v>Dunklin County, Missouri</v>
      </c>
    </row>
    <row r="1524" spans="1:15" x14ac:dyDescent="0.25">
      <c r="A1524" s="35" t="s">
        <v>2000</v>
      </c>
      <c r="B1524" s="28" t="str">
        <f t="shared" si="46"/>
        <v>Franklin</v>
      </c>
      <c r="C1524" s="30">
        <v>101492</v>
      </c>
      <c r="D1524" s="30">
        <v>101468</v>
      </c>
      <c r="E1524" s="30">
        <v>101428</v>
      </c>
      <c r="F1524" s="30">
        <v>101618</v>
      </c>
      <c r="G1524" s="30">
        <v>101329</v>
      </c>
      <c r="H1524" s="30">
        <v>101712</v>
      </c>
      <c r="I1524" s="30">
        <v>101915</v>
      </c>
      <c r="J1524" s="30">
        <v>102251</v>
      </c>
      <c r="K1524" s="30">
        <v>102704</v>
      </c>
      <c r="L1524" s="30">
        <v>103315</v>
      </c>
      <c r="M1524" s="30">
        <v>103716</v>
      </c>
      <c r="N1524" s="30">
        <v>103967</v>
      </c>
      <c r="O1524" s="24" t="str">
        <f t="shared" si="47"/>
        <v>Franklin County, Missouri</v>
      </c>
    </row>
    <row r="1525" spans="1:15" x14ac:dyDescent="0.25">
      <c r="A1525" s="35" t="s">
        <v>2001</v>
      </c>
      <c r="B1525" s="28" t="str">
        <f t="shared" si="46"/>
        <v>Gasconade</v>
      </c>
      <c r="C1525" s="30">
        <v>15222</v>
      </c>
      <c r="D1525" s="30">
        <v>15206</v>
      </c>
      <c r="E1525" s="30">
        <v>15202</v>
      </c>
      <c r="F1525" s="30">
        <v>15071</v>
      </c>
      <c r="G1525" s="30">
        <v>14907</v>
      </c>
      <c r="H1525" s="30">
        <v>14806</v>
      </c>
      <c r="I1525" s="30">
        <v>14804</v>
      </c>
      <c r="J1525" s="30">
        <v>14742</v>
      </c>
      <c r="K1525" s="30">
        <v>14746</v>
      </c>
      <c r="L1525" s="30">
        <v>14683</v>
      </c>
      <c r="M1525" s="30">
        <v>14680</v>
      </c>
      <c r="N1525" s="30">
        <v>14706</v>
      </c>
      <c r="O1525" s="24" t="str">
        <f t="shared" si="47"/>
        <v>Gasconade County, Missouri</v>
      </c>
    </row>
    <row r="1526" spans="1:15" x14ac:dyDescent="0.25">
      <c r="A1526" s="35" t="s">
        <v>2002</v>
      </c>
      <c r="B1526" s="28" t="str">
        <f t="shared" si="46"/>
        <v>Gentry</v>
      </c>
      <c r="C1526" s="30">
        <v>6738</v>
      </c>
      <c r="D1526" s="30">
        <v>6740</v>
      </c>
      <c r="E1526" s="30">
        <v>6750</v>
      </c>
      <c r="F1526" s="30">
        <v>6823</v>
      </c>
      <c r="G1526" s="30">
        <v>6769</v>
      </c>
      <c r="H1526" s="30">
        <v>6736</v>
      </c>
      <c r="I1526" s="30">
        <v>6757</v>
      </c>
      <c r="J1526" s="30">
        <v>6654</v>
      </c>
      <c r="K1526" s="30">
        <v>6624</v>
      </c>
      <c r="L1526" s="30">
        <v>6634</v>
      </c>
      <c r="M1526" s="30">
        <v>6598</v>
      </c>
      <c r="N1526" s="30">
        <v>6571</v>
      </c>
      <c r="O1526" s="24" t="str">
        <f t="shared" si="47"/>
        <v>Gentry County, Missouri</v>
      </c>
    </row>
    <row r="1527" spans="1:15" x14ac:dyDescent="0.25">
      <c r="A1527" s="35" t="s">
        <v>2003</v>
      </c>
      <c r="B1527" s="28" t="str">
        <f t="shared" si="46"/>
        <v>Greene</v>
      </c>
      <c r="C1527" s="30">
        <v>275174</v>
      </c>
      <c r="D1527" s="30">
        <v>275179</v>
      </c>
      <c r="E1527" s="30">
        <v>275309</v>
      </c>
      <c r="F1527" s="30">
        <v>277446</v>
      </c>
      <c r="G1527" s="30">
        <v>280447</v>
      </c>
      <c r="H1527" s="30">
        <v>283605</v>
      </c>
      <c r="I1527" s="30">
        <v>285241</v>
      </c>
      <c r="J1527" s="30">
        <v>287312</v>
      </c>
      <c r="K1527" s="30">
        <v>287818</v>
      </c>
      <c r="L1527" s="30">
        <v>289512</v>
      </c>
      <c r="M1527" s="30">
        <v>291054</v>
      </c>
      <c r="N1527" s="30">
        <v>293086</v>
      </c>
      <c r="O1527" s="24" t="str">
        <f t="shared" si="47"/>
        <v>Greene County, Missouri</v>
      </c>
    </row>
    <row r="1528" spans="1:15" x14ac:dyDescent="0.25">
      <c r="A1528" s="35" t="s">
        <v>2004</v>
      </c>
      <c r="B1528" s="28" t="str">
        <f t="shared" si="46"/>
        <v>Grundy</v>
      </c>
      <c r="C1528" s="30">
        <v>10261</v>
      </c>
      <c r="D1528" s="30">
        <v>10260</v>
      </c>
      <c r="E1528" s="30">
        <v>10253</v>
      </c>
      <c r="F1528" s="30">
        <v>10252</v>
      </c>
      <c r="G1528" s="30">
        <v>10331</v>
      </c>
      <c r="H1528" s="30">
        <v>10346</v>
      </c>
      <c r="I1528" s="30">
        <v>10182</v>
      </c>
      <c r="J1528" s="30">
        <v>10031</v>
      </c>
      <c r="K1528" s="30">
        <v>10111</v>
      </c>
      <c r="L1528" s="30">
        <v>9991</v>
      </c>
      <c r="M1528" s="30">
        <v>9975</v>
      </c>
      <c r="N1528" s="30">
        <v>9850</v>
      </c>
      <c r="O1528" s="24" t="str">
        <f t="shared" si="47"/>
        <v>Grundy County, Missouri</v>
      </c>
    </row>
    <row r="1529" spans="1:15" x14ac:dyDescent="0.25">
      <c r="A1529" s="35" t="s">
        <v>2005</v>
      </c>
      <c r="B1529" s="28" t="str">
        <f t="shared" si="46"/>
        <v>Harrison</v>
      </c>
      <c r="C1529" s="30">
        <v>8957</v>
      </c>
      <c r="D1529" s="30">
        <v>8961</v>
      </c>
      <c r="E1529" s="30">
        <v>8967</v>
      </c>
      <c r="F1529" s="30">
        <v>8885</v>
      </c>
      <c r="G1529" s="30">
        <v>8724</v>
      </c>
      <c r="H1529" s="30">
        <v>8710</v>
      </c>
      <c r="I1529" s="30">
        <v>8632</v>
      </c>
      <c r="J1529" s="30">
        <v>8622</v>
      </c>
      <c r="K1529" s="30">
        <v>8579</v>
      </c>
      <c r="L1529" s="30">
        <v>8506</v>
      </c>
      <c r="M1529" s="30">
        <v>8394</v>
      </c>
      <c r="N1529" s="30">
        <v>8352</v>
      </c>
      <c r="O1529" s="24" t="str">
        <f t="shared" si="47"/>
        <v>Harrison County, Missouri</v>
      </c>
    </row>
    <row r="1530" spans="1:15" x14ac:dyDescent="0.25">
      <c r="A1530" s="35" t="s">
        <v>2006</v>
      </c>
      <c r="B1530" s="28" t="str">
        <f t="shared" si="46"/>
        <v>Henry</v>
      </c>
      <c r="C1530" s="30">
        <v>22272</v>
      </c>
      <c r="D1530" s="30">
        <v>22291</v>
      </c>
      <c r="E1530" s="30">
        <v>22264</v>
      </c>
      <c r="F1530" s="30">
        <v>22253</v>
      </c>
      <c r="G1530" s="30">
        <v>22225</v>
      </c>
      <c r="H1530" s="30">
        <v>22116</v>
      </c>
      <c r="I1530" s="30">
        <v>22048</v>
      </c>
      <c r="J1530" s="30">
        <v>21725</v>
      </c>
      <c r="K1530" s="30">
        <v>21625</v>
      </c>
      <c r="L1530" s="30">
        <v>21695</v>
      </c>
      <c r="M1530" s="30">
        <v>21808</v>
      </c>
      <c r="N1530" s="30">
        <v>21824</v>
      </c>
      <c r="O1530" s="24" t="str">
        <f t="shared" si="47"/>
        <v>Henry County, Missouri</v>
      </c>
    </row>
    <row r="1531" spans="1:15" x14ac:dyDescent="0.25">
      <c r="A1531" s="35" t="s">
        <v>2007</v>
      </c>
      <c r="B1531" s="28" t="str">
        <f t="shared" si="46"/>
        <v>Hickory</v>
      </c>
      <c r="C1531" s="30">
        <v>9627</v>
      </c>
      <c r="D1531" s="30">
        <v>9629</v>
      </c>
      <c r="E1531" s="30">
        <v>9646</v>
      </c>
      <c r="F1531" s="30">
        <v>9615</v>
      </c>
      <c r="G1531" s="30">
        <v>9443</v>
      </c>
      <c r="H1531" s="30">
        <v>9347</v>
      </c>
      <c r="I1531" s="30">
        <v>9292</v>
      </c>
      <c r="J1531" s="30">
        <v>9266</v>
      </c>
      <c r="K1531" s="30">
        <v>9356</v>
      </c>
      <c r="L1531" s="30">
        <v>9395</v>
      </c>
      <c r="M1531" s="30">
        <v>9458</v>
      </c>
      <c r="N1531" s="30">
        <v>9544</v>
      </c>
      <c r="O1531" s="24" t="str">
        <f t="shared" si="47"/>
        <v>Hickory County, Missouri</v>
      </c>
    </row>
    <row r="1532" spans="1:15" x14ac:dyDescent="0.25">
      <c r="A1532" s="35" t="s">
        <v>2008</v>
      </c>
      <c r="B1532" s="28" t="str">
        <f t="shared" si="46"/>
        <v>Holt</v>
      </c>
      <c r="C1532" s="30">
        <v>4912</v>
      </c>
      <c r="D1532" s="30">
        <v>4912</v>
      </c>
      <c r="E1532" s="30">
        <v>4915</v>
      </c>
      <c r="F1532" s="30">
        <v>4839</v>
      </c>
      <c r="G1532" s="30">
        <v>4680</v>
      </c>
      <c r="H1532" s="30">
        <v>4591</v>
      </c>
      <c r="I1532" s="30">
        <v>4530</v>
      </c>
      <c r="J1532" s="30">
        <v>4483</v>
      </c>
      <c r="K1532" s="30">
        <v>4453</v>
      </c>
      <c r="L1532" s="30">
        <v>4407</v>
      </c>
      <c r="M1532" s="30">
        <v>4412</v>
      </c>
      <c r="N1532" s="30">
        <v>4403</v>
      </c>
      <c r="O1532" s="24" t="str">
        <f t="shared" si="47"/>
        <v>Holt County, Missouri</v>
      </c>
    </row>
    <row r="1533" spans="1:15" x14ac:dyDescent="0.25">
      <c r="A1533" s="35" t="s">
        <v>2009</v>
      </c>
      <c r="B1533" s="28" t="str">
        <f t="shared" si="46"/>
        <v>Howard</v>
      </c>
      <c r="C1533" s="30">
        <v>10144</v>
      </c>
      <c r="D1533" s="30">
        <v>10142</v>
      </c>
      <c r="E1533" s="30">
        <v>10141</v>
      </c>
      <c r="F1533" s="30">
        <v>10219</v>
      </c>
      <c r="G1533" s="30">
        <v>10196</v>
      </c>
      <c r="H1533" s="30">
        <v>10239</v>
      </c>
      <c r="I1533" s="30">
        <v>10129</v>
      </c>
      <c r="J1533" s="30">
        <v>10134</v>
      </c>
      <c r="K1533" s="30">
        <v>10032</v>
      </c>
      <c r="L1533" s="30">
        <v>10066</v>
      </c>
      <c r="M1533" s="30">
        <v>10059</v>
      </c>
      <c r="N1533" s="30">
        <v>10001</v>
      </c>
      <c r="O1533" s="24" t="str">
        <f t="shared" si="47"/>
        <v>Howard County, Missouri</v>
      </c>
    </row>
    <row r="1534" spans="1:15" x14ac:dyDescent="0.25">
      <c r="A1534" s="35" t="s">
        <v>2010</v>
      </c>
      <c r="B1534" s="28" t="str">
        <f t="shared" si="46"/>
        <v>Howell</v>
      </c>
      <c r="C1534" s="30">
        <v>40400</v>
      </c>
      <c r="D1534" s="30">
        <v>40386</v>
      </c>
      <c r="E1534" s="30">
        <v>40552</v>
      </c>
      <c r="F1534" s="30">
        <v>40584</v>
      </c>
      <c r="G1534" s="30">
        <v>40537</v>
      </c>
      <c r="H1534" s="30">
        <v>40236</v>
      </c>
      <c r="I1534" s="30">
        <v>40122</v>
      </c>
      <c r="J1534" s="30">
        <v>40070</v>
      </c>
      <c r="K1534" s="30">
        <v>40132</v>
      </c>
      <c r="L1534" s="30">
        <v>40074</v>
      </c>
      <c r="M1534" s="30">
        <v>40126</v>
      </c>
      <c r="N1534" s="30">
        <v>40117</v>
      </c>
      <c r="O1534" s="24" t="str">
        <f t="shared" si="47"/>
        <v>Howell County, Missouri</v>
      </c>
    </row>
    <row r="1535" spans="1:15" x14ac:dyDescent="0.25">
      <c r="A1535" s="35" t="s">
        <v>2011</v>
      </c>
      <c r="B1535" s="28" t="str">
        <f t="shared" si="46"/>
        <v>Iron</v>
      </c>
      <c r="C1535" s="30">
        <v>10630</v>
      </c>
      <c r="D1535" s="30">
        <v>10615</v>
      </c>
      <c r="E1535" s="30">
        <v>10592</v>
      </c>
      <c r="F1535" s="30">
        <v>10620</v>
      </c>
      <c r="G1535" s="30">
        <v>10548</v>
      </c>
      <c r="H1535" s="30">
        <v>10461</v>
      </c>
      <c r="I1535" s="30">
        <v>10362</v>
      </c>
      <c r="J1535" s="30">
        <v>10203</v>
      </c>
      <c r="K1535" s="30">
        <v>10123</v>
      </c>
      <c r="L1535" s="30">
        <v>10181</v>
      </c>
      <c r="M1535" s="30">
        <v>10187</v>
      </c>
      <c r="N1535" s="30">
        <v>10125</v>
      </c>
      <c r="O1535" s="24" t="str">
        <f t="shared" si="47"/>
        <v>Iron County, Missouri</v>
      </c>
    </row>
    <row r="1536" spans="1:15" x14ac:dyDescent="0.25">
      <c r="A1536" s="35" t="s">
        <v>2012</v>
      </c>
      <c r="B1536" s="28" t="str">
        <f t="shared" si="46"/>
        <v>Jackson</v>
      </c>
      <c r="C1536" s="30">
        <v>674158</v>
      </c>
      <c r="D1536" s="30">
        <v>674166</v>
      </c>
      <c r="E1536" s="30">
        <v>674845</v>
      </c>
      <c r="F1536" s="30">
        <v>675553</v>
      </c>
      <c r="G1536" s="30">
        <v>677417</v>
      </c>
      <c r="H1536" s="30">
        <v>679841</v>
      </c>
      <c r="I1536" s="30">
        <v>683014</v>
      </c>
      <c r="J1536" s="30">
        <v>686783</v>
      </c>
      <c r="K1536" s="30">
        <v>692430</v>
      </c>
      <c r="L1536" s="30">
        <v>698072</v>
      </c>
      <c r="M1536" s="30">
        <v>700784</v>
      </c>
      <c r="N1536" s="30">
        <v>703011</v>
      </c>
      <c r="O1536" s="24" t="str">
        <f t="shared" si="47"/>
        <v>Jackson County, Missouri</v>
      </c>
    </row>
    <row r="1537" spans="1:15" x14ac:dyDescent="0.25">
      <c r="A1537" s="35" t="s">
        <v>2013</v>
      </c>
      <c r="B1537" s="28" t="str">
        <f t="shared" si="46"/>
        <v>Jasper</v>
      </c>
      <c r="C1537" s="30">
        <v>117404</v>
      </c>
      <c r="D1537" s="30">
        <v>117391</v>
      </c>
      <c r="E1537" s="30">
        <v>117656</v>
      </c>
      <c r="F1537" s="30">
        <v>115283</v>
      </c>
      <c r="G1537" s="30">
        <v>115770</v>
      </c>
      <c r="H1537" s="30">
        <v>116766</v>
      </c>
      <c r="I1537" s="30">
        <v>117742</v>
      </c>
      <c r="J1537" s="30">
        <v>118548</v>
      </c>
      <c r="K1537" s="30">
        <v>119219</v>
      </c>
      <c r="L1537" s="30">
        <v>120048</v>
      </c>
      <c r="M1537" s="30">
        <v>120455</v>
      </c>
      <c r="N1537" s="30">
        <v>121328</v>
      </c>
      <c r="O1537" s="24" t="str">
        <f t="shared" si="47"/>
        <v>Jasper County, Missouri</v>
      </c>
    </row>
    <row r="1538" spans="1:15" x14ac:dyDescent="0.25">
      <c r="A1538" s="35" t="s">
        <v>2014</v>
      </c>
      <c r="B1538" s="28" t="str">
        <f t="shared" si="46"/>
        <v>Jefferson</v>
      </c>
      <c r="C1538" s="30">
        <v>218733</v>
      </c>
      <c r="D1538" s="30">
        <v>218722</v>
      </c>
      <c r="E1538" s="30">
        <v>219128</v>
      </c>
      <c r="F1538" s="30">
        <v>219594</v>
      </c>
      <c r="G1538" s="30">
        <v>219853</v>
      </c>
      <c r="H1538" s="30">
        <v>220870</v>
      </c>
      <c r="I1538" s="30">
        <v>222006</v>
      </c>
      <c r="J1538" s="30">
        <v>223116</v>
      </c>
      <c r="K1538" s="30">
        <v>223377</v>
      </c>
      <c r="L1538" s="30">
        <v>223769</v>
      </c>
      <c r="M1538" s="30">
        <v>224410</v>
      </c>
      <c r="N1538" s="30">
        <v>225081</v>
      </c>
      <c r="O1538" s="24" t="str">
        <f t="shared" si="47"/>
        <v>Jefferson County, Missouri</v>
      </c>
    </row>
    <row r="1539" spans="1:15" x14ac:dyDescent="0.25">
      <c r="A1539" s="35" t="s">
        <v>2015</v>
      </c>
      <c r="B1539" s="28" t="str">
        <f t="shared" si="46"/>
        <v>Johnson</v>
      </c>
      <c r="C1539" s="30">
        <v>52595</v>
      </c>
      <c r="D1539" s="30">
        <v>52565</v>
      </c>
      <c r="E1539" s="30">
        <v>52686</v>
      </c>
      <c r="F1539" s="30">
        <v>53297</v>
      </c>
      <c r="G1539" s="30">
        <v>54124</v>
      </c>
      <c r="H1539" s="30">
        <v>54139</v>
      </c>
      <c r="I1539" s="30">
        <v>54010</v>
      </c>
      <c r="J1539" s="30">
        <v>53496</v>
      </c>
      <c r="K1539" s="30">
        <v>53497</v>
      </c>
      <c r="L1539" s="30">
        <v>53735</v>
      </c>
      <c r="M1539" s="30">
        <v>53621</v>
      </c>
      <c r="N1539" s="30">
        <v>54062</v>
      </c>
      <c r="O1539" s="24" t="str">
        <f t="shared" si="47"/>
        <v>Johnson County, Missouri</v>
      </c>
    </row>
    <row r="1540" spans="1:15" x14ac:dyDescent="0.25">
      <c r="A1540" s="35" t="s">
        <v>2016</v>
      </c>
      <c r="B1540" s="28" t="str">
        <f t="shared" si="46"/>
        <v>Knox</v>
      </c>
      <c r="C1540" s="30">
        <v>4131</v>
      </c>
      <c r="D1540" s="30">
        <v>4131</v>
      </c>
      <c r="E1540" s="30">
        <v>4125</v>
      </c>
      <c r="F1540" s="30">
        <v>4125</v>
      </c>
      <c r="G1540" s="30">
        <v>4090</v>
      </c>
      <c r="H1540" s="30">
        <v>4060</v>
      </c>
      <c r="I1540" s="30">
        <v>3993</v>
      </c>
      <c r="J1540" s="30">
        <v>3907</v>
      </c>
      <c r="K1540" s="30">
        <v>3933</v>
      </c>
      <c r="L1540" s="30">
        <v>3970</v>
      </c>
      <c r="M1540" s="30">
        <v>3965</v>
      </c>
      <c r="N1540" s="30">
        <v>3959</v>
      </c>
      <c r="O1540" s="24" t="str">
        <f t="shared" si="47"/>
        <v>Knox County, Missouri</v>
      </c>
    </row>
    <row r="1541" spans="1:15" x14ac:dyDescent="0.25">
      <c r="A1541" s="35" t="s">
        <v>2017</v>
      </c>
      <c r="B1541" s="28" t="str">
        <f t="shared" si="46"/>
        <v>Laclede</v>
      </c>
      <c r="C1541" s="30">
        <v>35571</v>
      </c>
      <c r="D1541" s="30">
        <v>35596</v>
      </c>
      <c r="E1541" s="30">
        <v>35700</v>
      </c>
      <c r="F1541" s="30">
        <v>35668</v>
      </c>
      <c r="G1541" s="30">
        <v>35482</v>
      </c>
      <c r="H1541" s="30">
        <v>35654</v>
      </c>
      <c r="I1541" s="30">
        <v>35530</v>
      </c>
      <c r="J1541" s="30">
        <v>35469</v>
      </c>
      <c r="K1541" s="30">
        <v>35450</v>
      </c>
      <c r="L1541" s="30">
        <v>35418</v>
      </c>
      <c r="M1541" s="30">
        <v>35596</v>
      </c>
      <c r="N1541" s="30">
        <v>35723</v>
      </c>
      <c r="O1541" s="24" t="str">
        <f t="shared" si="47"/>
        <v>Laclede County, Missouri</v>
      </c>
    </row>
    <row r="1542" spans="1:15" x14ac:dyDescent="0.25">
      <c r="A1542" s="35" t="s">
        <v>2018</v>
      </c>
      <c r="B1542" s="28" t="str">
        <f t="shared" si="46"/>
        <v>Lafayette</v>
      </c>
      <c r="C1542" s="30">
        <v>33381</v>
      </c>
      <c r="D1542" s="30">
        <v>33369</v>
      </c>
      <c r="E1542" s="30">
        <v>33381</v>
      </c>
      <c r="F1542" s="30">
        <v>33207</v>
      </c>
      <c r="G1542" s="30">
        <v>33054</v>
      </c>
      <c r="H1542" s="30">
        <v>32823</v>
      </c>
      <c r="I1542" s="30">
        <v>32619</v>
      </c>
      <c r="J1542" s="30">
        <v>32624</v>
      </c>
      <c r="K1542" s="30">
        <v>32534</v>
      </c>
      <c r="L1542" s="30">
        <v>32579</v>
      </c>
      <c r="M1542" s="30">
        <v>32542</v>
      </c>
      <c r="N1542" s="30">
        <v>32708</v>
      </c>
      <c r="O1542" s="24" t="str">
        <f t="shared" si="47"/>
        <v>Lafayette County, Missouri</v>
      </c>
    </row>
    <row r="1543" spans="1:15" x14ac:dyDescent="0.25">
      <c r="A1543" s="35" t="s">
        <v>2019</v>
      </c>
      <c r="B1543" s="28" t="str">
        <f t="shared" ref="B1543:B1606" si="48">LEFT(A1543,FIND("County",A1543,1)-2)</f>
        <v>Lawrence</v>
      </c>
      <c r="C1543" s="30">
        <v>38634</v>
      </c>
      <c r="D1543" s="30">
        <v>38647</v>
      </c>
      <c r="E1543" s="30">
        <v>38591</v>
      </c>
      <c r="F1543" s="30">
        <v>38502</v>
      </c>
      <c r="G1543" s="30">
        <v>38382</v>
      </c>
      <c r="H1543" s="30">
        <v>38104</v>
      </c>
      <c r="I1543" s="30">
        <v>37903</v>
      </c>
      <c r="J1543" s="30">
        <v>37981</v>
      </c>
      <c r="K1543" s="30">
        <v>38164</v>
      </c>
      <c r="L1543" s="30">
        <v>38256</v>
      </c>
      <c r="M1543" s="30">
        <v>38264</v>
      </c>
      <c r="N1543" s="30">
        <v>38355</v>
      </c>
      <c r="O1543" s="24" t="str">
        <f t="shared" ref="O1543:O1606" si="49">A1543</f>
        <v>Lawrence County, Missouri</v>
      </c>
    </row>
    <row r="1544" spans="1:15" x14ac:dyDescent="0.25">
      <c r="A1544" s="35" t="s">
        <v>2020</v>
      </c>
      <c r="B1544" s="28" t="str">
        <f t="shared" si="48"/>
        <v>Lewis</v>
      </c>
      <c r="C1544" s="30">
        <v>10211</v>
      </c>
      <c r="D1544" s="30">
        <v>10209</v>
      </c>
      <c r="E1544" s="30">
        <v>10210</v>
      </c>
      <c r="F1544" s="30">
        <v>10220</v>
      </c>
      <c r="G1544" s="30">
        <v>10119</v>
      </c>
      <c r="H1544" s="30">
        <v>10111</v>
      </c>
      <c r="I1544" s="30">
        <v>10099</v>
      </c>
      <c r="J1544" s="30">
        <v>10138</v>
      </c>
      <c r="K1544" s="30">
        <v>10072</v>
      </c>
      <c r="L1544" s="30">
        <v>9952</v>
      </c>
      <c r="M1544" s="30">
        <v>9839</v>
      </c>
      <c r="N1544" s="30">
        <v>9776</v>
      </c>
      <c r="O1544" s="24" t="str">
        <f t="shared" si="49"/>
        <v>Lewis County, Missouri</v>
      </c>
    </row>
    <row r="1545" spans="1:15" x14ac:dyDescent="0.25">
      <c r="A1545" s="35" t="s">
        <v>2021</v>
      </c>
      <c r="B1545" s="28" t="str">
        <f t="shared" si="48"/>
        <v>Lincoln</v>
      </c>
      <c r="C1545" s="30">
        <v>52566</v>
      </c>
      <c r="D1545" s="30">
        <v>52536</v>
      </c>
      <c r="E1545" s="30">
        <v>52674</v>
      </c>
      <c r="F1545" s="30">
        <v>53051</v>
      </c>
      <c r="G1545" s="30">
        <v>53265</v>
      </c>
      <c r="H1545" s="30">
        <v>53785</v>
      </c>
      <c r="I1545" s="30">
        <v>54170</v>
      </c>
      <c r="J1545" s="30">
        <v>54567</v>
      </c>
      <c r="K1545" s="30">
        <v>55146</v>
      </c>
      <c r="L1545" s="30">
        <v>56045</v>
      </c>
      <c r="M1545" s="30">
        <v>57613</v>
      </c>
      <c r="N1545" s="30">
        <v>59013</v>
      </c>
      <c r="O1545" s="24" t="str">
        <f t="shared" si="49"/>
        <v>Lincoln County, Missouri</v>
      </c>
    </row>
    <row r="1546" spans="1:15" x14ac:dyDescent="0.25">
      <c r="A1546" s="35" t="s">
        <v>2022</v>
      </c>
      <c r="B1546" s="28" t="str">
        <f t="shared" si="48"/>
        <v>Linn</v>
      </c>
      <c r="C1546" s="30">
        <v>12761</v>
      </c>
      <c r="D1546" s="30">
        <v>12773</v>
      </c>
      <c r="E1546" s="30">
        <v>12774</v>
      </c>
      <c r="F1546" s="30">
        <v>12601</v>
      </c>
      <c r="G1546" s="30">
        <v>12488</v>
      </c>
      <c r="H1546" s="30">
        <v>12330</v>
      </c>
      <c r="I1546" s="30">
        <v>12320</v>
      </c>
      <c r="J1546" s="30">
        <v>12293</v>
      </c>
      <c r="K1546" s="30">
        <v>12146</v>
      </c>
      <c r="L1546" s="30">
        <v>12168</v>
      </c>
      <c r="M1546" s="30">
        <v>12039</v>
      </c>
      <c r="N1546" s="30">
        <v>11920</v>
      </c>
      <c r="O1546" s="24" t="str">
        <f t="shared" si="49"/>
        <v>Linn County, Missouri</v>
      </c>
    </row>
    <row r="1547" spans="1:15" x14ac:dyDescent="0.25">
      <c r="A1547" s="35" t="s">
        <v>2023</v>
      </c>
      <c r="B1547" s="28" t="str">
        <f t="shared" si="48"/>
        <v>Livingston</v>
      </c>
      <c r="C1547" s="30">
        <v>15195</v>
      </c>
      <c r="D1547" s="30">
        <v>15196</v>
      </c>
      <c r="E1547" s="30">
        <v>15128</v>
      </c>
      <c r="F1547" s="30">
        <v>15120</v>
      </c>
      <c r="G1547" s="30">
        <v>14997</v>
      </c>
      <c r="H1547" s="30">
        <v>14874</v>
      </c>
      <c r="I1547" s="30">
        <v>15006</v>
      </c>
      <c r="J1547" s="30">
        <v>14938</v>
      </c>
      <c r="K1547" s="30">
        <v>15127</v>
      </c>
      <c r="L1547" s="30">
        <v>15157</v>
      </c>
      <c r="M1547" s="30">
        <v>15181</v>
      </c>
      <c r="N1547" s="30">
        <v>15227</v>
      </c>
      <c r="O1547" s="24" t="str">
        <f t="shared" si="49"/>
        <v>Livingston County, Missouri</v>
      </c>
    </row>
    <row r="1548" spans="1:15" x14ac:dyDescent="0.25">
      <c r="A1548" s="35" t="s">
        <v>2024</v>
      </c>
      <c r="B1548" s="28" t="str">
        <f t="shared" si="48"/>
        <v>McDonald</v>
      </c>
      <c r="C1548" s="30">
        <v>23083</v>
      </c>
      <c r="D1548" s="30">
        <v>23083</v>
      </c>
      <c r="E1548" s="30">
        <v>23072</v>
      </c>
      <c r="F1548" s="30">
        <v>22891</v>
      </c>
      <c r="G1548" s="30">
        <v>22966</v>
      </c>
      <c r="H1548" s="30">
        <v>22629</v>
      </c>
      <c r="I1548" s="30">
        <v>22820</v>
      </c>
      <c r="J1548" s="30">
        <v>22683</v>
      </c>
      <c r="K1548" s="30">
        <v>22705</v>
      </c>
      <c r="L1548" s="30">
        <v>22722</v>
      </c>
      <c r="M1548" s="30">
        <v>22963</v>
      </c>
      <c r="N1548" s="30">
        <v>22837</v>
      </c>
      <c r="O1548" s="24" t="str">
        <f t="shared" si="49"/>
        <v>McDonald County, Missouri</v>
      </c>
    </row>
    <row r="1549" spans="1:15" x14ac:dyDescent="0.25">
      <c r="A1549" s="35" t="s">
        <v>2025</v>
      </c>
      <c r="B1549" s="28" t="str">
        <f t="shared" si="48"/>
        <v>Macon</v>
      </c>
      <c r="C1549" s="30">
        <v>15566</v>
      </c>
      <c r="D1549" s="30">
        <v>15566</v>
      </c>
      <c r="E1549" s="30">
        <v>15593</v>
      </c>
      <c r="F1549" s="30">
        <v>15486</v>
      </c>
      <c r="G1549" s="30">
        <v>15563</v>
      </c>
      <c r="H1549" s="30">
        <v>15475</v>
      </c>
      <c r="I1549" s="30">
        <v>15449</v>
      </c>
      <c r="J1549" s="30">
        <v>15284</v>
      </c>
      <c r="K1549" s="30">
        <v>15164</v>
      </c>
      <c r="L1549" s="30">
        <v>15262</v>
      </c>
      <c r="M1549" s="30">
        <v>15167</v>
      </c>
      <c r="N1549" s="30">
        <v>15117</v>
      </c>
      <c r="O1549" s="24" t="str">
        <f t="shared" si="49"/>
        <v>Macon County, Missouri</v>
      </c>
    </row>
    <row r="1550" spans="1:15" x14ac:dyDescent="0.25">
      <c r="A1550" s="35" t="s">
        <v>2026</v>
      </c>
      <c r="B1550" s="28" t="str">
        <f t="shared" si="48"/>
        <v>Madison</v>
      </c>
      <c r="C1550" s="30">
        <v>12226</v>
      </c>
      <c r="D1550" s="30">
        <v>12217</v>
      </c>
      <c r="E1550" s="30">
        <v>12197</v>
      </c>
      <c r="F1550" s="30">
        <v>12256</v>
      </c>
      <c r="G1550" s="30">
        <v>12373</v>
      </c>
      <c r="H1550" s="30">
        <v>12270</v>
      </c>
      <c r="I1550" s="30">
        <v>12192</v>
      </c>
      <c r="J1550" s="30">
        <v>12178</v>
      </c>
      <c r="K1550" s="30">
        <v>12213</v>
      </c>
      <c r="L1550" s="30">
        <v>12230</v>
      </c>
      <c r="M1550" s="30">
        <v>12188</v>
      </c>
      <c r="N1550" s="30">
        <v>12088</v>
      </c>
      <c r="O1550" s="24" t="str">
        <f t="shared" si="49"/>
        <v>Madison County, Missouri</v>
      </c>
    </row>
    <row r="1551" spans="1:15" x14ac:dyDescent="0.25">
      <c r="A1551" s="35" t="s">
        <v>2027</v>
      </c>
      <c r="B1551" s="28" t="str">
        <f t="shared" si="48"/>
        <v>Maries</v>
      </c>
      <c r="C1551" s="30">
        <v>9176</v>
      </c>
      <c r="D1551" s="30">
        <v>9153</v>
      </c>
      <c r="E1551" s="30">
        <v>9162</v>
      </c>
      <c r="F1551" s="30">
        <v>9171</v>
      </c>
      <c r="G1551" s="30">
        <v>9022</v>
      </c>
      <c r="H1551" s="30">
        <v>9037</v>
      </c>
      <c r="I1551" s="30">
        <v>9001</v>
      </c>
      <c r="J1551" s="30">
        <v>8936</v>
      </c>
      <c r="K1551" s="30">
        <v>8821</v>
      </c>
      <c r="L1551" s="30">
        <v>8790</v>
      </c>
      <c r="M1551" s="30">
        <v>8770</v>
      </c>
      <c r="N1551" s="30">
        <v>8697</v>
      </c>
      <c r="O1551" s="24" t="str">
        <f t="shared" si="49"/>
        <v>Maries County, Missouri</v>
      </c>
    </row>
    <row r="1552" spans="1:15" x14ac:dyDescent="0.25">
      <c r="A1552" s="35" t="s">
        <v>2028</v>
      </c>
      <c r="B1552" s="28" t="str">
        <f t="shared" si="48"/>
        <v>Marion</v>
      </c>
      <c r="C1552" s="30">
        <v>28781</v>
      </c>
      <c r="D1552" s="30">
        <v>28781</v>
      </c>
      <c r="E1552" s="30">
        <v>28787</v>
      </c>
      <c r="F1552" s="30">
        <v>28786</v>
      </c>
      <c r="G1552" s="30">
        <v>28746</v>
      </c>
      <c r="H1552" s="30">
        <v>28769</v>
      </c>
      <c r="I1552" s="30">
        <v>28766</v>
      </c>
      <c r="J1552" s="30">
        <v>28697</v>
      </c>
      <c r="K1552" s="30">
        <v>28689</v>
      </c>
      <c r="L1552" s="30">
        <v>28585</v>
      </c>
      <c r="M1552" s="30">
        <v>28540</v>
      </c>
      <c r="N1552" s="30">
        <v>28530</v>
      </c>
      <c r="O1552" s="24" t="str">
        <f t="shared" si="49"/>
        <v>Marion County, Missouri</v>
      </c>
    </row>
    <row r="1553" spans="1:15" x14ac:dyDescent="0.25">
      <c r="A1553" s="35" t="s">
        <v>2029</v>
      </c>
      <c r="B1553" s="28" t="str">
        <f t="shared" si="48"/>
        <v>Mercer</v>
      </c>
      <c r="C1553" s="30">
        <v>3785</v>
      </c>
      <c r="D1553" s="30">
        <v>3785</v>
      </c>
      <c r="E1553" s="30">
        <v>3770</v>
      </c>
      <c r="F1553" s="30">
        <v>3774</v>
      </c>
      <c r="G1553" s="30">
        <v>3708</v>
      </c>
      <c r="H1553" s="30">
        <v>3664</v>
      </c>
      <c r="I1553" s="30">
        <v>3683</v>
      </c>
      <c r="J1553" s="30">
        <v>3660</v>
      </c>
      <c r="K1553" s="30">
        <v>3661</v>
      </c>
      <c r="L1553" s="30">
        <v>3656</v>
      </c>
      <c r="M1553" s="30">
        <v>3626</v>
      </c>
      <c r="N1553" s="30">
        <v>3617</v>
      </c>
      <c r="O1553" s="24" t="str">
        <f t="shared" si="49"/>
        <v>Mercer County, Missouri</v>
      </c>
    </row>
    <row r="1554" spans="1:15" x14ac:dyDescent="0.25">
      <c r="A1554" s="35" t="s">
        <v>2030</v>
      </c>
      <c r="B1554" s="28" t="str">
        <f t="shared" si="48"/>
        <v>Miller</v>
      </c>
      <c r="C1554" s="30">
        <v>24748</v>
      </c>
      <c r="D1554" s="30">
        <v>24748</v>
      </c>
      <c r="E1554" s="30">
        <v>24716</v>
      </c>
      <c r="F1554" s="30">
        <v>24718</v>
      </c>
      <c r="G1554" s="30">
        <v>24582</v>
      </c>
      <c r="H1554" s="30">
        <v>24812</v>
      </c>
      <c r="I1554" s="30">
        <v>24833</v>
      </c>
      <c r="J1554" s="30">
        <v>24872</v>
      </c>
      <c r="K1554" s="30">
        <v>24998</v>
      </c>
      <c r="L1554" s="30">
        <v>25202</v>
      </c>
      <c r="M1554" s="30">
        <v>25315</v>
      </c>
      <c r="N1554" s="30">
        <v>25619</v>
      </c>
      <c r="O1554" s="24" t="str">
        <f t="shared" si="49"/>
        <v>Miller County, Missouri</v>
      </c>
    </row>
    <row r="1555" spans="1:15" x14ac:dyDescent="0.25">
      <c r="A1555" s="35" t="s">
        <v>2031</v>
      </c>
      <c r="B1555" s="28" t="str">
        <f t="shared" si="48"/>
        <v>Mississippi</v>
      </c>
      <c r="C1555" s="30">
        <v>14358</v>
      </c>
      <c r="D1555" s="30">
        <v>14376</v>
      </c>
      <c r="E1555" s="30">
        <v>14330</v>
      </c>
      <c r="F1555" s="30">
        <v>14234</v>
      </c>
      <c r="G1555" s="30">
        <v>14274</v>
      </c>
      <c r="H1555" s="30">
        <v>14174</v>
      </c>
      <c r="I1555" s="30">
        <v>14175</v>
      </c>
      <c r="J1555" s="30">
        <v>13965</v>
      </c>
      <c r="K1555" s="30">
        <v>13738</v>
      </c>
      <c r="L1555" s="30">
        <v>13594</v>
      </c>
      <c r="M1555" s="30">
        <v>13394</v>
      </c>
      <c r="N1555" s="30">
        <v>13180</v>
      </c>
      <c r="O1555" s="24" t="str">
        <f t="shared" si="49"/>
        <v>Mississippi County, Missouri</v>
      </c>
    </row>
    <row r="1556" spans="1:15" x14ac:dyDescent="0.25">
      <c r="A1556" s="35" t="s">
        <v>2032</v>
      </c>
      <c r="B1556" s="28" t="str">
        <f t="shared" si="48"/>
        <v>Moniteau</v>
      </c>
      <c r="C1556" s="30">
        <v>15607</v>
      </c>
      <c r="D1556" s="30">
        <v>15605</v>
      </c>
      <c r="E1556" s="30">
        <v>15626</v>
      </c>
      <c r="F1556" s="30">
        <v>15706</v>
      </c>
      <c r="G1556" s="30">
        <v>15669</v>
      </c>
      <c r="H1556" s="30">
        <v>15742</v>
      </c>
      <c r="I1556" s="30">
        <v>15809</v>
      </c>
      <c r="J1556" s="30">
        <v>15873</v>
      </c>
      <c r="K1556" s="30">
        <v>15991</v>
      </c>
      <c r="L1556" s="30">
        <v>16047</v>
      </c>
      <c r="M1556" s="30">
        <v>16186</v>
      </c>
      <c r="N1556" s="30">
        <v>16132</v>
      </c>
      <c r="O1556" s="24" t="str">
        <f t="shared" si="49"/>
        <v>Moniteau County, Missouri</v>
      </c>
    </row>
    <row r="1557" spans="1:15" x14ac:dyDescent="0.25">
      <c r="A1557" s="35" t="s">
        <v>2033</v>
      </c>
      <c r="B1557" s="28" t="str">
        <f t="shared" si="48"/>
        <v>Monroe</v>
      </c>
      <c r="C1557" s="30">
        <v>8840</v>
      </c>
      <c r="D1557" s="30">
        <v>8844</v>
      </c>
      <c r="E1557" s="30">
        <v>8786</v>
      </c>
      <c r="F1557" s="30">
        <v>8683</v>
      </c>
      <c r="G1557" s="30">
        <v>8692</v>
      </c>
      <c r="H1557" s="30">
        <v>8770</v>
      </c>
      <c r="I1557" s="30">
        <v>8737</v>
      </c>
      <c r="J1557" s="30">
        <v>8637</v>
      </c>
      <c r="K1557" s="30">
        <v>8633</v>
      </c>
      <c r="L1557" s="30">
        <v>8596</v>
      </c>
      <c r="M1557" s="30">
        <v>8636</v>
      </c>
      <c r="N1557" s="30">
        <v>8644</v>
      </c>
      <c r="O1557" s="24" t="str">
        <f t="shared" si="49"/>
        <v>Monroe County, Missouri</v>
      </c>
    </row>
    <row r="1558" spans="1:15" x14ac:dyDescent="0.25">
      <c r="A1558" s="35" t="s">
        <v>2034</v>
      </c>
      <c r="B1558" s="28" t="str">
        <f t="shared" si="48"/>
        <v>Montgomery</v>
      </c>
      <c r="C1558" s="30">
        <v>12236</v>
      </c>
      <c r="D1558" s="30">
        <v>12224</v>
      </c>
      <c r="E1558" s="30">
        <v>12207</v>
      </c>
      <c r="F1558" s="30">
        <v>12202</v>
      </c>
      <c r="G1558" s="30">
        <v>11965</v>
      </c>
      <c r="H1558" s="30">
        <v>11847</v>
      </c>
      <c r="I1558" s="30">
        <v>11718</v>
      </c>
      <c r="J1558" s="30">
        <v>11572</v>
      </c>
      <c r="K1558" s="30">
        <v>11447</v>
      </c>
      <c r="L1558" s="30">
        <v>11378</v>
      </c>
      <c r="M1558" s="30">
        <v>11488</v>
      </c>
      <c r="N1558" s="30">
        <v>11551</v>
      </c>
      <c r="O1558" s="24" t="str">
        <f t="shared" si="49"/>
        <v>Montgomery County, Missouri</v>
      </c>
    </row>
    <row r="1559" spans="1:15" x14ac:dyDescent="0.25">
      <c r="A1559" s="35" t="s">
        <v>2035</v>
      </c>
      <c r="B1559" s="28" t="str">
        <f t="shared" si="48"/>
        <v>Morgan</v>
      </c>
      <c r="C1559" s="30">
        <v>20565</v>
      </c>
      <c r="D1559" s="30">
        <v>20567</v>
      </c>
      <c r="E1559" s="30">
        <v>20543</v>
      </c>
      <c r="F1559" s="30">
        <v>20378</v>
      </c>
      <c r="G1559" s="30">
        <v>20082</v>
      </c>
      <c r="H1559" s="30">
        <v>20122</v>
      </c>
      <c r="I1559" s="30">
        <v>20074</v>
      </c>
      <c r="J1559" s="30">
        <v>20065</v>
      </c>
      <c r="K1559" s="30">
        <v>20089</v>
      </c>
      <c r="L1559" s="30">
        <v>20162</v>
      </c>
      <c r="M1559" s="30">
        <v>20414</v>
      </c>
      <c r="N1559" s="30">
        <v>20627</v>
      </c>
      <c r="O1559" s="24" t="str">
        <f t="shared" si="49"/>
        <v>Morgan County, Missouri</v>
      </c>
    </row>
    <row r="1560" spans="1:15" x14ac:dyDescent="0.25">
      <c r="A1560" s="35" t="s">
        <v>2036</v>
      </c>
      <c r="B1560" s="28" t="str">
        <f t="shared" si="48"/>
        <v>New Madrid</v>
      </c>
      <c r="C1560" s="30">
        <v>18956</v>
      </c>
      <c r="D1560" s="30">
        <v>18940</v>
      </c>
      <c r="E1560" s="30">
        <v>18934</v>
      </c>
      <c r="F1560" s="30">
        <v>18764</v>
      </c>
      <c r="G1560" s="30">
        <v>18471</v>
      </c>
      <c r="H1560" s="30">
        <v>18316</v>
      </c>
      <c r="I1560" s="30">
        <v>18229</v>
      </c>
      <c r="J1560" s="30">
        <v>18067</v>
      </c>
      <c r="K1560" s="30">
        <v>17839</v>
      </c>
      <c r="L1560" s="30">
        <v>17544</v>
      </c>
      <c r="M1560" s="30">
        <v>17272</v>
      </c>
      <c r="N1560" s="30">
        <v>17076</v>
      </c>
      <c r="O1560" s="24" t="str">
        <f t="shared" si="49"/>
        <v>New Madrid County, Missouri</v>
      </c>
    </row>
    <row r="1561" spans="1:15" x14ac:dyDescent="0.25">
      <c r="A1561" s="35" t="s">
        <v>2037</v>
      </c>
      <c r="B1561" s="28" t="str">
        <f t="shared" si="48"/>
        <v>Newton</v>
      </c>
      <c r="C1561" s="30">
        <v>58114</v>
      </c>
      <c r="D1561" s="30">
        <v>58118</v>
      </c>
      <c r="E1561" s="30">
        <v>58177</v>
      </c>
      <c r="F1561" s="30">
        <v>58563</v>
      </c>
      <c r="G1561" s="30">
        <v>58637</v>
      </c>
      <c r="H1561" s="30">
        <v>58378</v>
      </c>
      <c r="I1561" s="30">
        <v>58127</v>
      </c>
      <c r="J1561" s="30">
        <v>58138</v>
      </c>
      <c r="K1561" s="30">
        <v>58178</v>
      </c>
      <c r="L1561" s="30">
        <v>58191</v>
      </c>
      <c r="M1561" s="30">
        <v>58158</v>
      </c>
      <c r="N1561" s="30">
        <v>58236</v>
      </c>
      <c r="O1561" s="24" t="str">
        <f t="shared" si="49"/>
        <v>Newton County, Missouri</v>
      </c>
    </row>
    <row r="1562" spans="1:15" x14ac:dyDescent="0.25">
      <c r="A1562" s="35" t="s">
        <v>2038</v>
      </c>
      <c r="B1562" s="28" t="str">
        <f t="shared" si="48"/>
        <v>Nodaway</v>
      </c>
      <c r="C1562" s="30">
        <v>23370</v>
      </c>
      <c r="D1562" s="30">
        <v>23373</v>
      </c>
      <c r="E1562" s="30">
        <v>23401</v>
      </c>
      <c r="F1562" s="30">
        <v>23433</v>
      </c>
      <c r="G1562" s="30">
        <v>23327</v>
      </c>
      <c r="H1562" s="30">
        <v>23151</v>
      </c>
      <c r="I1562" s="30">
        <v>22981</v>
      </c>
      <c r="J1562" s="30">
        <v>22625</v>
      </c>
      <c r="K1562" s="30">
        <v>22455</v>
      </c>
      <c r="L1562" s="30">
        <v>22401</v>
      </c>
      <c r="M1562" s="30">
        <v>22223</v>
      </c>
      <c r="N1562" s="30">
        <v>22092</v>
      </c>
      <c r="O1562" s="24" t="str">
        <f t="shared" si="49"/>
        <v>Nodaway County, Missouri</v>
      </c>
    </row>
    <row r="1563" spans="1:15" x14ac:dyDescent="0.25">
      <c r="A1563" s="35" t="s">
        <v>2039</v>
      </c>
      <c r="B1563" s="28" t="str">
        <f t="shared" si="48"/>
        <v>Oregon</v>
      </c>
      <c r="C1563" s="30">
        <v>10881</v>
      </c>
      <c r="D1563" s="30">
        <v>10881</v>
      </c>
      <c r="E1563" s="30">
        <v>10935</v>
      </c>
      <c r="F1563" s="30">
        <v>11044</v>
      </c>
      <c r="G1563" s="30">
        <v>10966</v>
      </c>
      <c r="H1563" s="30">
        <v>10927</v>
      </c>
      <c r="I1563" s="30">
        <v>10823</v>
      </c>
      <c r="J1563" s="30">
        <v>10850</v>
      </c>
      <c r="K1563" s="30">
        <v>10746</v>
      </c>
      <c r="L1563" s="30">
        <v>10553</v>
      </c>
      <c r="M1563" s="30">
        <v>10558</v>
      </c>
      <c r="N1563" s="30">
        <v>10529</v>
      </c>
      <c r="O1563" s="24" t="str">
        <f t="shared" si="49"/>
        <v>Oregon County, Missouri</v>
      </c>
    </row>
    <row r="1564" spans="1:15" x14ac:dyDescent="0.25">
      <c r="A1564" s="35" t="s">
        <v>2040</v>
      </c>
      <c r="B1564" s="28" t="str">
        <f t="shared" si="48"/>
        <v>Osage</v>
      </c>
      <c r="C1564" s="30">
        <v>13878</v>
      </c>
      <c r="D1564" s="30">
        <v>13909</v>
      </c>
      <c r="E1564" s="30">
        <v>13905</v>
      </c>
      <c r="F1564" s="30">
        <v>13908</v>
      </c>
      <c r="G1564" s="30">
        <v>13846</v>
      </c>
      <c r="H1564" s="30">
        <v>13677</v>
      </c>
      <c r="I1564" s="30">
        <v>13638</v>
      </c>
      <c r="J1564" s="30">
        <v>13538</v>
      </c>
      <c r="K1564" s="30">
        <v>13613</v>
      </c>
      <c r="L1564" s="30">
        <v>13658</v>
      </c>
      <c r="M1564" s="30">
        <v>13652</v>
      </c>
      <c r="N1564" s="30">
        <v>13615</v>
      </c>
      <c r="O1564" s="24" t="str">
        <f t="shared" si="49"/>
        <v>Osage County, Missouri</v>
      </c>
    </row>
    <row r="1565" spans="1:15" x14ac:dyDescent="0.25">
      <c r="A1565" s="35" t="s">
        <v>2041</v>
      </c>
      <c r="B1565" s="28" t="str">
        <f t="shared" si="48"/>
        <v>Ozark</v>
      </c>
      <c r="C1565" s="30">
        <v>9723</v>
      </c>
      <c r="D1565" s="30">
        <v>9728</v>
      </c>
      <c r="E1565" s="30">
        <v>9746</v>
      </c>
      <c r="F1565" s="30">
        <v>9647</v>
      </c>
      <c r="G1565" s="30">
        <v>9593</v>
      </c>
      <c r="H1565" s="30">
        <v>9503</v>
      </c>
      <c r="I1565" s="30">
        <v>9439</v>
      </c>
      <c r="J1565" s="30">
        <v>9364</v>
      </c>
      <c r="K1565" s="30">
        <v>9199</v>
      </c>
      <c r="L1565" s="30">
        <v>9227</v>
      </c>
      <c r="M1565" s="30">
        <v>9070</v>
      </c>
      <c r="N1565" s="30">
        <v>9174</v>
      </c>
      <c r="O1565" s="24" t="str">
        <f t="shared" si="49"/>
        <v>Ozark County, Missouri</v>
      </c>
    </row>
    <row r="1566" spans="1:15" x14ac:dyDescent="0.25">
      <c r="A1566" s="35" t="s">
        <v>2042</v>
      </c>
      <c r="B1566" s="28" t="str">
        <f t="shared" si="48"/>
        <v>Pemiscot</v>
      </c>
      <c r="C1566" s="30">
        <v>18296</v>
      </c>
      <c r="D1566" s="30">
        <v>18287</v>
      </c>
      <c r="E1566" s="30">
        <v>18261</v>
      </c>
      <c r="F1566" s="30">
        <v>18185</v>
      </c>
      <c r="G1566" s="30">
        <v>18075</v>
      </c>
      <c r="H1566" s="30">
        <v>17774</v>
      </c>
      <c r="I1566" s="30">
        <v>17564</v>
      </c>
      <c r="J1566" s="30">
        <v>17410</v>
      </c>
      <c r="K1566" s="30">
        <v>17060</v>
      </c>
      <c r="L1566" s="30">
        <v>16783</v>
      </c>
      <c r="M1566" s="30">
        <v>16256</v>
      </c>
      <c r="N1566" s="30">
        <v>15805</v>
      </c>
      <c r="O1566" s="24" t="str">
        <f t="shared" si="49"/>
        <v>Pemiscot County, Missouri</v>
      </c>
    </row>
    <row r="1567" spans="1:15" x14ac:dyDescent="0.25">
      <c r="A1567" s="35" t="s">
        <v>2043</v>
      </c>
      <c r="B1567" s="28" t="str">
        <f t="shared" si="48"/>
        <v>Perry</v>
      </c>
      <c r="C1567" s="30">
        <v>18971</v>
      </c>
      <c r="D1567" s="30">
        <v>18971</v>
      </c>
      <c r="E1567" s="30">
        <v>18938</v>
      </c>
      <c r="F1567" s="30">
        <v>19008</v>
      </c>
      <c r="G1567" s="30">
        <v>19001</v>
      </c>
      <c r="H1567" s="30">
        <v>19053</v>
      </c>
      <c r="I1567" s="30">
        <v>19118</v>
      </c>
      <c r="J1567" s="30">
        <v>19068</v>
      </c>
      <c r="K1567" s="30">
        <v>19216</v>
      </c>
      <c r="L1567" s="30">
        <v>19262</v>
      </c>
      <c r="M1567" s="30">
        <v>19274</v>
      </c>
      <c r="N1567" s="30">
        <v>19136</v>
      </c>
      <c r="O1567" s="24" t="str">
        <f t="shared" si="49"/>
        <v>Perry County, Missouri</v>
      </c>
    </row>
    <row r="1568" spans="1:15" x14ac:dyDescent="0.25">
      <c r="A1568" s="35" t="s">
        <v>2044</v>
      </c>
      <c r="B1568" s="28" t="str">
        <f t="shared" si="48"/>
        <v>Pettis</v>
      </c>
      <c r="C1568" s="30">
        <v>42201</v>
      </c>
      <c r="D1568" s="30">
        <v>42214</v>
      </c>
      <c r="E1568" s="30">
        <v>42274</v>
      </c>
      <c r="F1568" s="30">
        <v>42155</v>
      </c>
      <c r="G1568" s="30">
        <v>42304</v>
      </c>
      <c r="H1568" s="30">
        <v>42196</v>
      </c>
      <c r="I1568" s="30">
        <v>42200</v>
      </c>
      <c r="J1568" s="30">
        <v>42300</v>
      </c>
      <c r="K1568" s="30">
        <v>42249</v>
      </c>
      <c r="L1568" s="30">
        <v>42445</v>
      </c>
      <c r="M1568" s="30">
        <v>42441</v>
      </c>
      <c r="N1568" s="30">
        <v>42339</v>
      </c>
      <c r="O1568" s="24" t="str">
        <f t="shared" si="49"/>
        <v>Pettis County, Missouri</v>
      </c>
    </row>
    <row r="1569" spans="1:15" x14ac:dyDescent="0.25">
      <c r="A1569" s="35" t="s">
        <v>2045</v>
      </c>
      <c r="B1569" s="28" t="str">
        <f t="shared" si="48"/>
        <v>Phelps</v>
      </c>
      <c r="C1569" s="30">
        <v>45156</v>
      </c>
      <c r="D1569" s="30">
        <v>45124</v>
      </c>
      <c r="E1569" s="30">
        <v>45294</v>
      </c>
      <c r="F1569" s="30">
        <v>45246</v>
      </c>
      <c r="G1569" s="30">
        <v>45230</v>
      </c>
      <c r="H1569" s="30">
        <v>45006</v>
      </c>
      <c r="I1569" s="30">
        <v>44925</v>
      </c>
      <c r="J1569" s="30">
        <v>44766</v>
      </c>
      <c r="K1569" s="30">
        <v>44708</v>
      </c>
      <c r="L1569" s="30">
        <v>44551</v>
      </c>
      <c r="M1569" s="30">
        <v>44551</v>
      </c>
      <c r="N1569" s="30">
        <v>44573</v>
      </c>
      <c r="O1569" s="24" t="str">
        <f t="shared" si="49"/>
        <v>Phelps County, Missouri</v>
      </c>
    </row>
    <row r="1570" spans="1:15" x14ac:dyDescent="0.25">
      <c r="A1570" s="35" t="s">
        <v>2046</v>
      </c>
      <c r="B1570" s="28" t="str">
        <f t="shared" si="48"/>
        <v>Pike</v>
      </c>
      <c r="C1570" s="30">
        <v>18516</v>
      </c>
      <c r="D1570" s="30">
        <v>18511</v>
      </c>
      <c r="E1570" s="30">
        <v>18476</v>
      </c>
      <c r="F1570" s="30">
        <v>18661</v>
      </c>
      <c r="G1570" s="30">
        <v>18552</v>
      </c>
      <c r="H1570" s="30">
        <v>18608</v>
      </c>
      <c r="I1570" s="30">
        <v>18497</v>
      </c>
      <c r="J1570" s="30">
        <v>18409</v>
      </c>
      <c r="K1570" s="30">
        <v>18507</v>
      </c>
      <c r="L1570" s="30">
        <v>18557</v>
      </c>
      <c r="M1570" s="30">
        <v>18502</v>
      </c>
      <c r="N1570" s="30">
        <v>18302</v>
      </c>
      <c r="O1570" s="24" t="str">
        <f t="shared" si="49"/>
        <v>Pike County, Missouri</v>
      </c>
    </row>
    <row r="1571" spans="1:15" x14ac:dyDescent="0.25">
      <c r="A1571" s="35" t="s">
        <v>2047</v>
      </c>
      <c r="B1571" s="28" t="str">
        <f t="shared" si="48"/>
        <v>Platte</v>
      </c>
      <c r="C1571" s="30">
        <v>89322</v>
      </c>
      <c r="D1571" s="30">
        <v>89329</v>
      </c>
      <c r="E1571" s="30">
        <v>89702</v>
      </c>
      <c r="F1571" s="30">
        <v>90880</v>
      </c>
      <c r="G1571" s="30">
        <v>92151</v>
      </c>
      <c r="H1571" s="30">
        <v>93367</v>
      </c>
      <c r="I1571" s="30">
        <v>94859</v>
      </c>
      <c r="J1571" s="30">
        <v>96445</v>
      </c>
      <c r="K1571" s="30">
        <v>98641</v>
      </c>
      <c r="L1571" s="30">
        <v>101141</v>
      </c>
      <c r="M1571" s="30">
        <v>102764</v>
      </c>
      <c r="N1571" s="30">
        <v>104418</v>
      </c>
      <c r="O1571" s="24" t="str">
        <f t="shared" si="49"/>
        <v>Platte County, Missouri</v>
      </c>
    </row>
    <row r="1572" spans="1:15" x14ac:dyDescent="0.25">
      <c r="A1572" s="35" t="s">
        <v>2048</v>
      </c>
      <c r="B1572" s="28" t="str">
        <f t="shared" si="48"/>
        <v>Polk</v>
      </c>
      <c r="C1572" s="30">
        <v>31137</v>
      </c>
      <c r="D1572" s="30">
        <v>31130</v>
      </c>
      <c r="E1572" s="30">
        <v>31157</v>
      </c>
      <c r="F1572" s="30">
        <v>31202</v>
      </c>
      <c r="G1572" s="30">
        <v>31082</v>
      </c>
      <c r="H1572" s="30">
        <v>31117</v>
      </c>
      <c r="I1572" s="30">
        <v>31118</v>
      </c>
      <c r="J1572" s="30">
        <v>31256</v>
      </c>
      <c r="K1572" s="30">
        <v>31380</v>
      </c>
      <c r="L1572" s="30">
        <v>31742</v>
      </c>
      <c r="M1572" s="30">
        <v>32214</v>
      </c>
      <c r="N1572" s="30">
        <v>32149</v>
      </c>
      <c r="O1572" s="24" t="str">
        <f t="shared" si="49"/>
        <v>Polk County, Missouri</v>
      </c>
    </row>
    <row r="1573" spans="1:15" x14ac:dyDescent="0.25">
      <c r="A1573" s="35" t="s">
        <v>2049</v>
      </c>
      <c r="B1573" s="28" t="str">
        <f t="shared" si="48"/>
        <v>Pulaski</v>
      </c>
      <c r="C1573" s="30">
        <v>52274</v>
      </c>
      <c r="D1573" s="30">
        <v>52282</v>
      </c>
      <c r="E1573" s="30">
        <v>52859</v>
      </c>
      <c r="F1573" s="30">
        <v>53297</v>
      </c>
      <c r="G1573" s="30">
        <v>53475</v>
      </c>
      <c r="H1573" s="30">
        <v>54077</v>
      </c>
      <c r="I1573" s="30">
        <v>53550</v>
      </c>
      <c r="J1573" s="30">
        <v>53204</v>
      </c>
      <c r="K1573" s="30">
        <v>52456</v>
      </c>
      <c r="L1573" s="30">
        <v>51862</v>
      </c>
      <c r="M1573" s="30">
        <v>51997</v>
      </c>
      <c r="N1573" s="30">
        <v>52607</v>
      </c>
      <c r="O1573" s="24" t="str">
        <f t="shared" si="49"/>
        <v>Pulaski County, Missouri</v>
      </c>
    </row>
    <row r="1574" spans="1:15" x14ac:dyDescent="0.25">
      <c r="A1574" s="35" t="s">
        <v>2050</v>
      </c>
      <c r="B1574" s="28" t="str">
        <f t="shared" si="48"/>
        <v>Putnam</v>
      </c>
      <c r="C1574" s="30">
        <v>4979</v>
      </c>
      <c r="D1574" s="30">
        <v>4979</v>
      </c>
      <c r="E1574" s="30">
        <v>4974</v>
      </c>
      <c r="F1574" s="30">
        <v>4976</v>
      </c>
      <c r="G1574" s="30">
        <v>4945</v>
      </c>
      <c r="H1574" s="30">
        <v>4884</v>
      </c>
      <c r="I1574" s="30">
        <v>4843</v>
      </c>
      <c r="J1574" s="30">
        <v>4860</v>
      </c>
      <c r="K1574" s="30">
        <v>4825</v>
      </c>
      <c r="L1574" s="30">
        <v>4778</v>
      </c>
      <c r="M1574" s="30">
        <v>4748</v>
      </c>
      <c r="N1574" s="30">
        <v>4696</v>
      </c>
      <c r="O1574" s="24" t="str">
        <f t="shared" si="49"/>
        <v>Putnam County, Missouri</v>
      </c>
    </row>
    <row r="1575" spans="1:15" x14ac:dyDescent="0.25">
      <c r="A1575" s="35" t="s">
        <v>2051</v>
      </c>
      <c r="B1575" s="28" t="str">
        <f t="shared" si="48"/>
        <v>Ralls</v>
      </c>
      <c r="C1575" s="30">
        <v>10167</v>
      </c>
      <c r="D1575" s="30">
        <v>10175</v>
      </c>
      <c r="E1575" s="30">
        <v>10193</v>
      </c>
      <c r="F1575" s="30">
        <v>10275</v>
      </c>
      <c r="G1575" s="30">
        <v>10226</v>
      </c>
      <c r="H1575" s="30">
        <v>10164</v>
      </c>
      <c r="I1575" s="30">
        <v>10276</v>
      </c>
      <c r="J1575" s="30">
        <v>10169</v>
      </c>
      <c r="K1575" s="30">
        <v>10230</v>
      </c>
      <c r="L1575" s="30">
        <v>10226</v>
      </c>
      <c r="M1575" s="30">
        <v>10234</v>
      </c>
      <c r="N1575" s="30">
        <v>10309</v>
      </c>
      <c r="O1575" s="24" t="str">
        <f t="shared" si="49"/>
        <v>Ralls County, Missouri</v>
      </c>
    </row>
    <row r="1576" spans="1:15" x14ac:dyDescent="0.25">
      <c r="A1576" s="35" t="s">
        <v>2052</v>
      </c>
      <c r="B1576" s="28" t="str">
        <f t="shared" si="48"/>
        <v>Randolph</v>
      </c>
      <c r="C1576" s="30">
        <v>25414</v>
      </c>
      <c r="D1576" s="30">
        <v>25418</v>
      </c>
      <c r="E1576" s="30">
        <v>25458</v>
      </c>
      <c r="F1576" s="30">
        <v>25282</v>
      </c>
      <c r="G1576" s="30">
        <v>25334</v>
      </c>
      <c r="H1576" s="30">
        <v>24945</v>
      </c>
      <c r="I1576" s="30">
        <v>25050</v>
      </c>
      <c r="J1576" s="30">
        <v>25041</v>
      </c>
      <c r="K1576" s="30">
        <v>24970</v>
      </c>
      <c r="L1576" s="30">
        <v>24899</v>
      </c>
      <c r="M1576" s="30">
        <v>24732</v>
      </c>
      <c r="N1576" s="30">
        <v>24748</v>
      </c>
      <c r="O1576" s="24" t="str">
        <f t="shared" si="49"/>
        <v>Randolph County, Missouri</v>
      </c>
    </row>
    <row r="1577" spans="1:15" x14ac:dyDescent="0.25">
      <c r="A1577" s="35" t="s">
        <v>2053</v>
      </c>
      <c r="B1577" s="28" t="str">
        <f t="shared" si="48"/>
        <v>Ray</v>
      </c>
      <c r="C1577" s="30">
        <v>23494</v>
      </c>
      <c r="D1577" s="30">
        <v>23516</v>
      </c>
      <c r="E1577" s="30">
        <v>23517</v>
      </c>
      <c r="F1577" s="30">
        <v>23346</v>
      </c>
      <c r="G1577" s="30">
        <v>23081</v>
      </c>
      <c r="H1577" s="30">
        <v>23064</v>
      </c>
      <c r="I1577" s="30">
        <v>22936</v>
      </c>
      <c r="J1577" s="30">
        <v>22793</v>
      </c>
      <c r="K1577" s="30">
        <v>22741</v>
      </c>
      <c r="L1577" s="30">
        <v>22877</v>
      </c>
      <c r="M1577" s="30">
        <v>22945</v>
      </c>
      <c r="N1577" s="30">
        <v>23018</v>
      </c>
      <c r="O1577" s="24" t="str">
        <f t="shared" si="49"/>
        <v>Ray County, Missouri</v>
      </c>
    </row>
    <row r="1578" spans="1:15" x14ac:dyDescent="0.25">
      <c r="A1578" s="35" t="s">
        <v>2054</v>
      </c>
      <c r="B1578" s="28" t="str">
        <f t="shared" si="48"/>
        <v>Reynolds</v>
      </c>
      <c r="C1578" s="30">
        <v>6696</v>
      </c>
      <c r="D1578" s="30">
        <v>6690</v>
      </c>
      <c r="E1578" s="30">
        <v>6676</v>
      </c>
      <c r="F1578" s="30">
        <v>6565</v>
      </c>
      <c r="G1578" s="30">
        <v>6548</v>
      </c>
      <c r="H1578" s="30">
        <v>6454</v>
      </c>
      <c r="I1578" s="30">
        <v>6400</v>
      </c>
      <c r="J1578" s="30">
        <v>6292</v>
      </c>
      <c r="K1578" s="30">
        <v>6347</v>
      </c>
      <c r="L1578" s="30">
        <v>6260</v>
      </c>
      <c r="M1578" s="30">
        <v>6282</v>
      </c>
      <c r="N1578" s="30">
        <v>6270</v>
      </c>
      <c r="O1578" s="24" t="str">
        <f t="shared" si="49"/>
        <v>Reynolds County, Missouri</v>
      </c>
    </row>
    <row r="1579" spans="1:15" x14ac:dyDescent="0.25">
      <c r="A1579" s="35" t="s">
        <v>2055</v>
      </c>
      <c r="B1579" s="28" t="str">
        <f t="shared" si="48"/>
        <v>Ripley</v>
      </c>
      <c r="C1579" s="30">
        <v>14100</v>
      </c>
      <c r="D1579" s="30">
        <v>14106</v>
      </c>
      <c r="E1579" s="30">
        <v>14102</v>
      </c>
      <c r="F1579" s="30">
        <v>14140</v>
      </c>
      <c r="G1579" s="30">
        <v>14028</v>
      </c>
      <c r="H1579" s="30">
        <v>13985</v>
      </c>
      <c r="I1579" s="30">
        <v>13932</v>
      </c>
      <c r="J1579" s="30">
        <v>13788</v>
      </c>
      <c r="K1579" s="30">
        <v>13775</v>
      </c>
      <c r="L1579" s="30">
        <v>13565</v>
      </c>
      <c r="M1579" s="30">
        <v>13420</v>
      </c>
      <c r="N1579" s="30">
        <v>13288</v>
      </c>
      <c r="O1579" s="24" t="str">
        <f t="shared" si="49"/>
        <v>Ripley County, Missouri</v>
      </c>
    </row>
    <row r="1580" spans="1:15" x14ac:dyDescent="0.25">
      <c r="A1580" s="35" t="s">
        <v>2056</v>
      </c>
      <c r="B1580" s="28" t="str">
        <f t="shared" si="48"/>
        <v>St Charles</v>
      </c>
      <c r="C1580" s="30">
        <v>360485</v>
      </c>
      <c r="D1580" s="30">
        <v>360495</v>
      </c>
      <c r="E1580" s="30">
        <v>361803</v>
      </c>
      <c r="F1580" s="30">
        <v>365582</v>
      </c>
      <c r="G1580" s="30">
        <v>369111</v>
      </c>
      <c r="H1580" s="30">
        <v>374288</v>
      </c>
      <c r="I1580" s="30">
        <v>379844</v>
      </c>
      <c r="J1580" s="30">
        <v>384978</v>
      </c>
      <c r="K1580" s="30">
        <v>390541</v>
      </c>
      <c r="L1580" s="30">
        <v>395130</v>
      </c>
      <c r="M1580" s="30">
        <v>398780</v>
      </c>
      <c r="N1580" s="30">
        <v>402022</v>
      </c>
      <c r="O1580" s="24" t="str">
        <f t="shared" si="49"/>
        <v>St Charles County, Missouri</v>
      </c>
    </row>
    <row r="1581" spans="1:15" x14ac:dyDescent="0.25">
      <c r="A1581" s="35" t="s">
        <v>2057</v>
      </c>
      <c r="B1581" s="28" t="str">
        <f t="shared" si="48"/>
        <v>St Clair</v>
      </c>
      <c r="C1581" s="30">
        <v>9805</v>
      </c>
      <c r="D1581" s="30">
        <v>9805</v>
      </c>
      <c r="E1581" s="30">
        <v>9823</v>
      </c>
      <c r="F1581" s="30">
        <v>9693</v>
      </c>
      <c r="G1581" s="30">
        <v>9527</v>
      </c>
      <c r="H1581" s="30">
        <v>9487</v>
      </c>
      <c r="I1581" s="30">
        <v>9432</v>
      </c>
      <c r="J1581" s="30">
        <v>9411</v>
      </c>
      <c r="K1581" s="30">
        <v>9288</v>
      </c>
      <c r="L1581" s="30">
        <v>9365</v>
      </c>
      <c r="M1581" s="30">
        <v>9389</v>
      </c>
      <c r="N1581" s="30">
        <v>9397</v>
      </c>
      <c r="O1581" s="24" t="str">
        <f t="shared" si="49"/>
        <v>St Clair County, Missouri</v>
      </c>
    </row>
    <row r="1582" spans="1:15" x14ac:dyDescent="0.25">
      <c r="A1582" s="35" t="s">
        <v>2058</v>
      </c>
      <c r="B1582" s="28" t="str">
        <f t="shared" si="48"/>
        <v>Ste Genevieve</v>
      </c>
      <c r="C1582" s="30">
        <v>18145</v>
      </c>
      <c r="D1582" s="30">
        <v>18147</v>
      </c>
      <c r="E1582" s="30">
        <v>18127</v>
      </c>
      <c r="F1582" s="30">
        <v>18196</v>
      </c>
      <c r="G1582" s="30">
        <v>17868</v>
      </c>
      <c r="H1582" s="30">
        <v>17951</v>
      </c>
      <c r="I1582" s="30">
        <v>17936</v>
      </c>
      <c r="J1582" s="30">
        <v>17804</v>
      </c>
      <c r="K1582" s="30">
        <v>17875</v>
      </c>
      <c r="L1582" s="30">
        <v>17792</v>
      </c>
      <c r="M1582" s="30">
        <v>17877</v>
      </c>
      <c r="N1582" s="30">
        <v>17894</v>
      </c>
      <c r="O1582" s="24" t="str">
        <f t="shared" si="49"/>
        <v>Ste Genevieve County, Missouri</v>
      </c>
    </row>
    <row r="1583" spans="1:15" x14ac:dyDescent="0.25">
      <c r="A1583" s="35" t="s">
        <v>2059</v>
      </c>
      <c r="B1583" s="28" t="str">
        <f t="shared" si="48"/>
        <v>St Francois</v>
      </c>
      <c r="C1583" s="30">
        <v>65359</v>
      </c>
      <c r="D1583" s="30">
        <v>65369</v>
      </c>
      <c r="E1583" s="30">
        <v>65529</v>
      </c>
      <c r="F1583" s="30">
        <v>65590</v>
      </c>
      <c r="G1583" s="30">
        <v>65803</v>
      </c>
      <c r="H1583" s="30">
        <v>66102</v>
      </c>
      <c r="I1583" s="30">
        <v>65784</v>
      </c>
      <c r="J1583" s="30">
        <v>66232</v>
      </c>
      <c r="K1583" s="30">
        <v>66356</v>
      </c>
      <c r="L1583" s="30">
        <v>66674</v>
      </c>
      <c r="M1583" s="30">
        <v>66737</v>
      </c>
      <c r="N1583" s="30">
        <v>67215</v>
      </c>
      <c r="O1583" s="24" t="str">
        <f t="shared" si="49"/>
        <v>St Francois County, Missouri</v>
      </c>
    </row>
    <row r="1584" spans="1:15" x14ac:dyDescent="0.25">
      <c r="A1584" s="35" t="s">
        <v>2060</v>
      </c>
      <c r="B1584" s="28" t="str">
        <f t="shared" si="48"/>
        <v>St Louis</v>
      </c>
      <c r="C1584" s="30">
        <v>998954</v>
      </c>
      <c r="D1584" s="30">
        <v>998985</v>
      </c>
      <c r="E1584" s="30">
        <v>998840</v>
      </c>
      <c r="F1584" s="30">
        <v>1000040</v>
      </c>
      <c r="G1584" s="30">
        <v>1000761</v>
      </c>
      <c r="H1584" s="30">
        <v>1000456</v>
      </c>
      <c r="I1584" s="30">
        <v>1000528</v>
      </c>
      <c r="J1584" s="30">
        <v>1001109</v>
      </c>
      <c r="K1584" s="30">
        <v>997837</v>
      </c>
      <c r="L1584" s="30">
        <v>996227</v>
      </c>
      <c r="M1584" s="30">
        <v>995219</v>
      </c>
      <c r="N1584" s="30">
        <v>994205</v>
      </c>
      <c r="O1584" s="24" t="str">
        <f t="shared" si="49"/>
        <v>St Louis County, Missouri</v>
      </c>
    </row>
    <row r="1585" spans="1:15" x14ac:dyDescent="0.25">
      <c r="A1585" s="35" t="s">
        <v>2061</v>
      </c>
      <c r="B1585" s="28" t="str">
        <f t="shared" si="48"/>
        <v>Saline</v>
      </c>
      <c r="C1585" s="30">
        <v>23370</v>
      </c>
      <c r="D1585" s="30">
        <v>23370</v>
      </c>
      <c r="E1585" s="30">
        <v>23420</v>
      </c>
      <c r="F1585" s="30">
        <v>23406</v>
      </c>
      <c r="G1585" s="30">
        <v>23544</v>
      </c>
      <c r="H1585" s="30">
        <v>23355</v>
      </c>
      <c r="I1585" s="30">
        <v>23398</v>
      </c>
      <c r="J1585" s="30">
        <v>23226</v>
      </c>
      <c r="K1585" s="30">
        <v>23095</v>
      </c>
      <c r="L1585" s="30">
        <v>22910</v>
      </c>
      <c r="M1585" s="30">
        <v>22890</v>
      </c>
      <c r="N1585" s="30">
        <v>22761</v>
      </c>
      <c r="O1585" s="24" t="str">
        <f t="shared" si="49"/>
        <v>Saline County, Missouri</v>
      </c>
    </row>
    <row r="1586" spans="1:15" x14ac:dyDescent="0.25">
      <c r="A1586" s="35" t="s">
        <v>2062</v>
      </c>
      <c r="B1586" s="28" t="str">
        <f t="shared" si="48"/>
        <v>Schuyler</v>
      </c>
      <c r="C1586" s="30">
        <v>4431</v>
      </c>
      <c r="D1586" s="30">
        <v>4431</v>
      </c>
      <c r="E1586" s="30">
        <v>4441</v>
      </c>
      <c r="F1586" s="30">
        <v>4389</v>
      </c>
      <c r="G1586" s="30">
        <v>4387</v>
      </c>
      <c r="H1586" s="30">
        <v>4370</v>
      </c>
      <c r="I1586" s="30">
        <v>4392</v>
      </c>
      <c r="J1586" s="30">
        <v>4500</v>
      </c>
      <c r="K1586" s="30">
        <v>4501</v>
      </c>
      <c r="L1586" s="30">
        <v>4518</v>
      </c>
      <c r="M1586" s="30">
        <v>4594</v>
      </c>
      <c r="N1586" s="30">
        <v>4660</v>
      </c>
      <c r="O1586" s="24" t="str">
        <f t="shared" si="49"/>
        <v>Schuyler County, Missouri</v>
      </c>
    </row>
    <row r="1587" spans="1:15" x14ac:dyDescent="0.25">
      <c r="A1587" s="35" t="s">
        <v>2063</v>
      </c>
      <c r="B1587" s="28" t="str">
        <f t="shared" si="48"/>
        <v>Scotland</v>
      </c>
      <c r="C1587" s="30">
        <v>4843</v>
      </c>
      <c r="D1587" s="30">
        <v>4853</v>
      </c>
      <c r="E1587" s="30">
        <v>4840</v>
      </c>
      <c r="F1587" s="30">
        <v>4835</v>
      </c>
      <c r="G1587" s="30">
        <v>4865</v>
      </c>
      <c r="H1587" s="30">
        <v>4893</v>
      </c>
      <c r="I1587" s="30">
        <v>4840</v>
      </c>
      <c r="J1587" s="30">
        <v>4821</v>
      </c>
      <c r="K1587" s="30">
        <v>4902</v>
      </c>
      <c r="L1587" s="30">
        <v>4948</v>
      </c>
      <c r="M1587" s="30">
        <v>4938</v>
      </c>
      <c r="N1587" s="30">
        <v>4902</v>
      </c>
      <c r="O1587" s="24" t="str">
        <f t="shared" si="49"/>
        <v>Scotland County, Missouri</v>
      </c>
    </row>
    <row r="1588" spans="1:15" x14ac:dyDescent="0.25">
      <c r="A1588" s="35" t="s">
        <v>2064</v>
      </c>
      <c r="B1588" s="28" t="str">
        <f t="shared" si="48"/>
        <v>Scott</v>
      </c>
      <c r="C1588" s="30">
        <v>39191</v>
      </c>
      <c r="D1588" s="30">
        <v>39199</v>
      </c>
      <c r="E1588" s="30">
        <v>39261</v>
      </c>
      <c r="F1588" s="30">
        <v>39147</v>
      </c>
      <c r="G1588" s="30">
        <v>39161</v>
      </c>
      <c r="H1588" s="30">
        <v>39207</v>
      </c>
      <c r="I1588" s="30">
        <v>38868</v>
      </c>
      <c r="J1588" s="30">
        <v>39007</v>
      </c>
      <c r="K1588" s="30">
        <v>38760</v>
      </c>
      <c r="L1588" s="30">
        <v>38576</v>
      </c>
      <c r="M1588" s="30">
        <v>38541</v>
      </c>
      <c r="N1588" s="30">
        <v>38280</v>
      </c>
      <c r="O1588" s="24" t="str">
        <f t="shared" si="49"/>
        <v>Scott County, Missouri</v>
      </c>
    </row>
    <row r="1589" spans="1:15" x14ac:dyDescent="0.25">
      <c r="A1589" s="35" t="s">
        <v>2065</v>
      </c>
      <c r="B1589" s="28" t="str">
        <f t="shared" si="48"/>
        <v>Shannon</v>
      </c>
      <c r="C1589" s="30">
        <v>8441</v>
      </c>
      <c r="D1589" s="30">
        <v>8435</v>
      </c>
      <c r="E1589" s="30">
        <v>8443</v>
      </c>
      <c r="F1589" s="30">
        <v>8412</v>
      </c>
      <c r="G1589" s="30">
        <v>8332</v>
      </c>
      <c r="H1589" s="30">
        <v>8288</v>
      </c>
      <c r="I1589" s="30">
        <v>8293</v>
      </c>
      <c r="J1589" s="30">
        <v>8273</v>
      </c>
      <c r="K1589" s="30">
        <v>8222</v>
      </c>
      <c r="L1589" s="30">
        <v>8235</v>
      </c>
      <c r="M1589" s="30">
        <v>8189</v>
      </c>
      <c r="N1589" s="30">
        <v>8166</v>
      </c>
      <c r="O1589" s="24" t="str">
        <f t="shared" si="49"/>
        <v>Shannon County, Missouri</v>
      </c>
    </row>
    <row r="1590" spans="1:15" x14ac:dyDescent="0.25">
      <c r="A1590" s="35" t="s">
        <v>2066</v>
      </c>
      <c r="B1590" s="28" t="str">
        <f t="shared" si="48"/>
        <v>Shelby</v>
      </c>
      <c r="C1590" s="30">
        <v>6373</v>
      </c>
      <c r="D1590" s="30">
        <v>6372</v>
      </c>
      <c r="E1590" s="30">
        <v>6365</v>
      </c>
      <c r="F1590" s="30">
        <v>6235</v>
      </c>
      <c r="G1590" s="30">
        <v>6216</v>
      </c>
      <c r="H1590" s="30">
        <v>6152</v>
      </c>
      <c r="I1590" s="30">
        <v>6092</v>
      </c>
      <c r="J1590" s="30">
        <v>6101</v>
      </c>
      <c r="K1590" s="30">
        <v>6044</v>
      </c>
      <c r="L1590" s="30">
        <v>5995</v>
      </c>
      <c r="M1590" s="30">
        <v>5997</v>
      </c>
      <c r="N1590" s="30">
        <v>5930</v>
      </c>
      <c r="O1590" s="24" t="str">
        <f t="shared" si="49"/>
        <v>Shelby County, Missouri</v>
      </c>
    </row>
    <row r="1591" spans="1:15" x14ac:dyDescent="0.25">
      <c r="A1591" s="35" t="s">
        <v>2067</v>
      </c>
      <c r="B1591" s="28" t="str">
        <f t="shared" si="48"/>
        <v>Stoddard</v>
      </c>
      <c r="C1591" s="30">
        <v>29968</v>
      </c>
      <c r="D1591" s="30">
        <v>29968</v>
      </c>
      <c r="E1591" s="30">
        <v>30027</v>
      </c>
      <c r="F1591" s="30">
        <v>29851</v>
      </c>
      <c r="G1591" s="30">
        <v>29814</v>
      </c>
      <c r="H1591" s="30">
        <v>29795</v>
      </c>
      <c r="I1591" s="30">
        <v>29785</v>
      </c>
      <c r="J1591" s="30">
        <v>29736</v>
      </c>
      <c r="K1591" s="30">
        <v>29498</v>
      </c>
      <c r="L1591" s="30">
        <v>29364</v>
      </c>
      <c r="M1591" s="30">
        <v>29264</v>
      </c>
      <c r="N1591" s="30">
        <v>29025</v>
      </c>
      <c r="O1591" s="24" t="str">
        <f t="shared" si="49"/>
        <v>Stoddard County, Missouri</v>
      </c>
    </row>
    <row r="1592" spans="1:15" x14ac:dyDescent="0.25">
      <c r="A1592" s="35" t="s">
        <v>2068</v>
      </c>
      <c r="B1592" s="28" t="str">
        <f t="shared" si="48"/>
        <v>Stone</v>
      </c>
      <c r="C1592" s="30">
        <v>32202</v>
      </c>
      <c r="D1592" s="30">
        <v>32208</v>
      </c>
      <c r="E1592" s="30">
        <v>32235</v>
      </c>
      <c r="F1592" s="30">
        <v>32118</v>
      </c>
      <c r="G1592" s="30">
        <v>31893</v>
      </c>
      <c r="H1592" s="30">
        <v>31658</v>
      </c>
      <c r="I1592" s="30">
        <v>31445</v>
      </c>
      <c r="J1592" s="30">
        <v>31307</v>
      </c>
      <c r="K1592" s="30">
        <v>31471</v>
      </c>
      <c r="L1592" s="30">
        <v>31642</v>
      </c>
      <c r="M1592" s="30">
        <v>31701</v>
      </c>
      <c r="N1592" s="30">
        <v>31952</v>
      </c>
      <c r="O1592" s="24" t="str">
        <f t="shared" si="49"/>
        <v>Stone County, Missouri</v>
      </c>
    </row>
    <row r="1593" spans="1:15" x14ac:dyDescent="0.25">
      <c r="A1593" s="35" t="s">
        <v>2069</v>
      </c>
      <c r="B1593" s="28" t="str">
        <f t="shared" si="48"/>
        <v>Sullivan</v>
      </c>
      <c r="C1593" s="30">
        <v>6714</v>
      </c>
      <c r="D1593" s="30">
        <v>6714</v>
      </c>
      <c r="E1593" s="30">
        <v>6737</v>
      </c>
      <c r="F1593" s="30">
        <v>6663</v>
      </c>
      <c r="G1593" s="30">
        <v>6556</v>
      </c>
      <c r="H1593" s="30">
        <v>6497</v>
      </c>
      <c r="I1593" s="30">
        <v>6472</v>
      </c>
      <c r="J1593" s="30">
        <v>6366</v>
      </c>
      <c r="K1593" s="30">
        <v>6333</v>
      </c>
      <c r="L1593" s="30">
        <v>6212</v>
      </c>
      <c r="M1593" s="30">
        <v>6233</v>
      </c>
      <c r="N1593" s="30">
        <v>6089</v>
      </c>
      <c r="O1593" s="24" t="str">
        <f t="shared" si="49"/>
        <v>Sullivan County, Missouri</v>
      </c>
    </row>
    <row r="1594" spans="1:15" x14ac:dyDescent="0.25">
      <c r="A1594" s="35" t="s">
        <v>2070</v>
      </c>
      <c r="B1594" s="28" t="str">
        <f t="shared" si="48"/>
        <v>Taney</v>
      </c>
      <c r="C1594" s="30">
        <v>51675</v>
      </c>
      <c r="D1594" s="30">
        <v>51672</v>
      </c>
      <c r="E1594" s="30">
        <v>51902</v>
      </c>
      <c r="F1594" s="30">
        <v>52652</v>
      </c>
      <c r="G1594" s="30">
        <v>52901</v>
      </c>
      <c r="H1594" s="30">
        <v>53255</v>
      </c>
      <c r="I1594" s="30">
        <v>53810</v>
      </c>
      <c r="J1594" s="30">
        <v>54216</v>
      </c>
      <c r="K1594" s="30">
        <v>54608</v>
      </c>
      <c r="L1594" s="30">
        <v>55100</v>
      </c>
      <c r="M1594" s="30">
        <v>55719</v>
      </c>
      <c r="N1594" s="30">
        <v>55928</v>
      </c>
      <c r="O1594" s="24" t="str">
        <f t="shared" si="49"/>
        <v>Taney County, Missouri</v>
      </c>
    </row>
    <row r="1595" spans="1:15" x14ac:dyDescent="0.25">
      <c r="A1595" s="35" t="s">
        <v>2071</v>
      </c>
      <c r="B1595" s="28" t="str">
        <f t="shared" si="48"/>
        <v>Texas</v>
      </c>
      <c r="C1595" s="30">
        <v>26008</v>
      </c>
      <c r="D1595" s="30">
        <v>26016</v>
      </c>
      <c r="E1595" s="30">
        <v>26042</v>
      </c>
      <c r="F1595" s="30">
        <v>25928</v>
      </c>
      <c r="G1595" s="30">
        <v>25791</v>
      </c>
      <c r="H1595" s="30">
        <v>25685</v>
      </c>
      <c r="I1595" s="30">
        <v>25659</v>
      </c>
      <c r="J1595" s="30">
        <v>25660</v>
      </c>
      <c r="K1595" s="30">
        <v>25805</v>
      </c>
      <c r="L1595" s="30">
        <v>25650</v>
      </c>
      <c r="M1595" s="30">
        <v>25506</v>
      </c>
      <c r="N1595" s="30">
        <v>25398</v>
      </c>
      <c r="O1595" s="24" t="str">
        <f t="shared" si="49"/>
        <v>Texas County, Missouri</v>
      </c>
    </row>
    <row r="1596" spans="1:15" x14ac:dyDescent="0.25">
      <c r="A1596" s="35" t="s">
        <v>2072</v>
      </c>
      <c r="B1596" s="28" t="str">
        <f t="shared" si="48"/>
        <v>Vernon</v>
      </c>
      <c r="C1596" s="30">
        <v>21159</v>
      </c>
      <c r="D1596" s="30">
        <v>21163</v>
      </c>
      <c r="E1596" s="30">
        <v>21159</v>
      </c>
      <c r="F1596" s="30">
        <v>21084</v>
      </c>
      <c r="G1596" s="30">
        <v>20930</v>
      </c>
      <c r="H1596" s="30">
        <v>20978</v>
      </c>
      <c r="I1596" s="30">
        <v>20983</v>
      </c>
      <c r="J1596" s="30">
        <v>20758</v>
      </c>
      <c r="K1596" s="30">
        <v>20653</v>
      </c>
      <c r="L1596" s="30">
        <v>20507</v>
      </c>
      <c r="M1596" s="30">
        <v>20492</v>
      </c>
      <c r="N1596" s="30">
        <v>20563</v>
      </c>
      <c r="O1596" s="24" t="str">
        <f t="shared" si="49"/>
        <v>Vernon County, Missouri</v>
      </c>
    </row>
    <row r="1597" spans="1:15" x14ac:dyDescent="0.25">
      <c r="A1597" s="35" t="s">
        <v>2073</v>
      </c>
      <c r="B1597" s="28" t="str">
        <f t="shared" si="48"/>
        <v>Warren</v>
      </c>
      <c r="C1597" s="30">
        <v>32513</v>
      </c>
      <c r="D1597" s="30">
        <v>32539</v>
      </c>
      <c r="E1597" s="30">
        <v>32605</v>
      </c>
      <c r="F1597" s="30">
        <v>32604</v>
      </c>
      <c r="G1597" s="30">
        <v>32738</v>
      </c>
      <c r="H1597" s="30">
        <v>32980</v>
      </c>
      <c r="I1597" s="30">
        <v>33180</v>
      </c>
      <c r="J1597" s="30">
        <v>33532</v>
      </c>
      <c r="K1597" s="30">
        <v>33871</v>
      </c>
      <c r="L1597" s="30">
        <v>34448</v>
      </c>
      <c r="M1597" s="30">
        <v>34766</v>
      </c>
      <c r="N1597" s="30">
        <v>35649</v>
      </c>
      <c r="O1597" s="24" t="str">
        <f t="shared" si="49"/>
        <v>Warren County, Missouri</v>
      </c>
    </row>
    <row r="1598" spans="1:15" x14ac:dyDescent="0.25">
      <c r="A1598" s="35" t="s">
        <v>2074</v>
      </c>
      <c r="B1598" s="28" t="str">
        <f t="shared" si="48"/>
        <v>Washington</v>
      </c>
      <c r="C1598" s="30">
        <v>25195</v>
      </c>
      <c r="D1598" s="30">
        <v>25201</v>
      </c>
      <c r="E1598" s="30">
        <v>25201</v>
      </c>
      <c r="F1598" s="30">
        <v>25105</v>
      </c>
      <c r="G1598" s="30">
        <v>25088</v>
      </c>
      <c r="H1598" s="30">
        <v>25144</v>
      </c>
      <c r="I1598" s="30">
        <v>25079</v>
      </c>
      <c r="J1598" s="30">
        <v>24793</v>
      </c>
      <c r="K1598" s="30">
        <v>24852</v>
      </c>
      <c r="L1598" s="30">
        <v>24994</v>
      </c>
      <c r="M1598" s="30">
        <v>24933</v>
      </c>
      <c r="N1598" s="30">
        <v>24730</v>
      </c>
      <c r="O1598" s="24" t="str">
        <f t="shared" si="49"/>
        <v>Washington County, Missouri</v>
      </c>
    </row>
    <row r="1599" spans="1:15" x14ac:dyDescent="0.25">
      <c r="A1599" s="35" t="s">
        <v>2075</v>
      </c>
      <c r="B1599" s="28" t="str">
        <f t="shared" si="48"/>
        <v>Wayne</v>
      </c>
      <c r="C1599" s="30">
        <v>13521</v>
      </c>
      <c r="D1599" s="30">
        <v>13535</v>
      </c>
      <c r="E1599" s="30">
        <v>13519</v>
      </c>
      <c r="F1599" s="30">
        <v>13425</v>
      </c>
      <c r="G1599" s="30">
        <v>13408</v>
      </c>
      <c r="H1599" s="30">
        <v>13475</v>
      </c>
      <c r="I1599" s="30">
        <v>13481</v>
      </c>
      <c r="J1599" s="30">
        <v>13431</v>
      </c>
      <c r="K1599" s="30">
        <v>13236</v>
      </c>
      <c r="L1599" s="30">
        <v>13303</v>
      </c>
      <c r="M1599" s="30">
        <v>13132</v>
      </c>
      <c r="N1599" s="30">
        <v>12873</v>
      </c>
      <c r="O1599" s="24" t="str">
        <f t="shared" si="49"/>
        <v>Wayne County, Missouri</v>
      </c>
    </row>
    <row r="1600" spans="1:15" x14ac:dyDescent="0.25">
      <c r="A1600" s="35" t="s">
        <v>2076</v>
      </c>
      <c r="B1600" s="28" t="str">
        <f t="shared" si="48"/>
        <v>Webster</v>
      </c>
      <c r="C1600" s="30">
        <v>36202</v>
      </c>
      <c r="D1600" s="30">
        <v>36264</v>
      </c>
      <c r="E1600" s="30">
        <v>36320</v>
      </c>
      <c r="F1600" s="30">
        <v>36448</v>
      </c>
      <c r="G1600" s="30">
        <v>36448</v>
      </c>
      <c r="H1600" s="30">
        <v>36626</v>
      </c>
      <c r="I1600" s="30">
        <v>37042</v>
      </c>
      <c r="J1600" s="30">
        <v>37604</v>
      </c>
      <c r="K1600" s="30">
        <v>38154</v>
      </c>
      <c r="L1600" s="30">
        <v>38745</v>
      </c>
      <c r="M1600" s="30">
        <v>39179</v>
      </c>
      <c r="N1600" s="30">
        <v>39592</v>
      </c>
      <c r="O1600" s="24" t="str">
        <f t="shared" si="49"/>
        <v>Webster County, Missouri</v>
      </c>
    </row>
    <row r="1601" spans="1:15" x14ac:dyDescent="0.25">
      <c r="A1601" s="35" t="s">
        <v>2077</v>
      </c>
      <c r="B1601" s="28" t="str">
        <f t="shared" si="48"/>
        <v>Worth</v>
      </c>
      <c r="C1601" s="30">
        <v>2171</v>
      </c>
      <c r="D1601" s="30">
        <v>2169</v>
      </c>
      <c r="E1601" s="30">
        <v>2152</v>
      </c>
      <c r="F1601" s="30">
        <v>2118</v>
      </c>
      <c r="G1601" s="30">
        <v>2080</v>
      </c>
      <c r="H1601" s="30">
        <v>2079</v>
      </c>
      <c r="I1601" s="30">
        <v>2054</v>
      </c>
      <c r="J1601" s="30">
        <v>2042</v>
      </c>
      <c r="K1601" s="30">
        <v>2015</v>
      </c>
      <c r="L1601" s="30">
        <v>2041</v>
      </c>
      <c r="M1601" s="30">
        <v>2026</v>
      </c>
      <c r="N1601" s="30">
        <v>2013</v>
      </c>
      <c r="O1601" s="24" t="str">
        <f t="shared" si="49"/>
        <v>Worth County, Missouri</v>
      </c>
    </row>
    <row r="1602" spans="1:15" x14ac:dyDescent="0.25">
      <c r="A1602" s="35" t="s">
        <v>2078</v>
      </c>
      <c r="B1602" s="28" t="str">
        <f t="shared" si="48"/>
        <v>Wright</v>
      </c>
      <c r="C1602" s="30">
        <v>18815</v>
      </c>
      <c r="D1602" s="30">
        <v>18742</v>
      </c>
      <c r="E1602" s="30">
        <v>18779</v>
      </c>
      <c r="F1602" s="30">
        <v>18572</v>
      </c>
      <c r="G1602" s="30">
        <v>18556</v>
      </c>
      <c r="H1602" s="30">
        <v>18333</v>
      </c>
      <c r="I1602" s="30">
        <v>18198</v>
      </c>
      <c r="J1602" s="30">
        <v>18146</v>
      </c>
      <c r="K1602" s="30">
        <v>18185</v>
      </c>
      <c r="L1602" s="30">
        <v>18210</v>
      </c>
      <c r="M1602" s="30">
        <v>18187</v>
      </c>
      <c r="N1602" s="30">
        <v>18289</v>
      </c>
      <c r="O1602" s="24" t="str">
        <f t="shared" si="49"/>
        <v>Wright County, Missouri</v>
      </c>
    </row>
    <row r="1603" spans="1:15" x14ac:dyDescent="0.25">
      <c r="A1603" s="35" t="s">
        <v>2079</v>
      </c>
      <c r="B1603" s="28" t="e">
        <f t="shared" si="48"/>
        <v>#VALUE!</v>
      </c>
      <c r="C1603" s="30">
        <v>319294</v>
      </c>
      <c r="D1603" s="30">
        <v>319289</v>
      </c>
      <c r="E1603" s="30">
        <v>319336</v>
      </c>
      <c r="F1603" s="30">
        <v>319344</v>
      </c>
      <c r="G1603" s="30">
        <v>319416</v>
      </c>
      <c r="H1603" s="30">
        <v>318476</v>
      </c>
      <c r="I1603" s="30">
        <v>317399</v>
      </c>
      <c r="J1603" s="30">
        <v>316010</v>
      </c>
      <c r="K1603" s="30">
        <v>312633</v>
      </c>
      <c r="L1603" s="30">
        <v>308233</v>
      </c>
      <c r="M1603" s="30">
        <v>303419</v>
      </c>
      <c r="N1603" s="30">
        <v>300576</v>
      </c>
      <c r="O1603" s="24" t="str">
        <f t="shared" si="49"/>
        <v>St Louis city, Missouri</v>
      </c>
    </row>
    <row r="1604" spans="1:15" x14ac:dyDescent="0.25">
      <c r="A1604" s="35" t="s">
        <v>2080</v>
      </c>
      <c r="B1604" s="28" t="str">
        <f t="shared" si="48"/>
        <v>Beaverhead</v>
      </c>
      <c r="C1604" s="30">
        <v>9246</v>
      </c>
      <c r="D1604" s="30">
        <v>9246</v>
      </c>
      <c r="E1604" s="30">
        <v>9255</v>
      </c>
      <c r="F1604" s="30">
        <v>9210</v>
      </c>
      <c r="G1604" s="30">
        <v>9359</v>
      </c>
      <c r="H1604" s="30">
        <v>9306</v>
      </c>
      <c r="I1604" s="30">
        <v>9337</v>
      </c>
      <c r="J1604" s="30">
        <v>9295</v>
      </c>
      <c r="K1604" s="30">
        <v>9463</v>
      </c>
      <c r="L1604" s="30">
        <v>9450</v>
      </c>
      <c r="M1604" s="30">
        <v>9412</v>
      </c>
      <c r="N1604" s="30">
        <v>9453</v>
      </c>
      <c r="O1604" s="24" t="str">
        <f t="shared" si="49"/>
        <v>Beaverhead County, Montana</v>
      </c>
    </row>
    <row r="1605" spans="1:15" x14ac:dyDescent="0.25">
      <c r="A1605" s="35" t="s">
        <v>2081</v>
      </c>
      <c r="B1605" s="28" t="str">
        <f t="shared" si="48"/>
        <v>Big Horn</v>
      </c>
      <c r="C1605" s="30">
        <v>12865</v>
      </c>
      <c r="D1605" s="30">
        <v>12863</v>
      </c>
      <c r="E1605" s="30">
        <v>12911</v>
      </c>
      <c r="F1605" s="30">
        <v>13056</v>
      </c>
      <c r="G1605" s="30">
        <v>12995</v>
      </c>
      <c r="H1605" s="30">
        <v>13117</v>
      </c>
      <c r="I1605" s="30">
        <v>13343</v>
      </c>
      <c r="J1605" s="30">
        <v>13312</v>
      </c>
      <c r="K1605" s="30">
        <v>13458</v>
      </c>
      <c r="L1605" s="30">
        <v>13483</v>
      </c>
      <c r="M1605" s="30">
        <v>13365</v>
      </c>
      <c r="N1605" s="30">
        <v>13319</v>
      </c>
      <c r="O1605" s="24" t="str">
        <f t="shared" si="49"/>
        <v>Big Horn County, Montana</v>
      </c>
    </row>
    <row r="1606" spans="1:15" x14ac:dyDescent="0.25">
      <c r="A1606" s="35" t="s">
        <v>2082</v>
      </c>
      <c r="B1606" s="28" t="str">
        <f t="shared" si="48"/>
        <v>Blaine</v>
      </c>
      <c r="C1606" s="30">
        <v>6491</v>
      </c>
      <c r="D1606" s="30">
        <v>6491</v>
      </c>
      <c r="E1606" s="30">
        <v>6503</v>
      </c>
      <c r="F1606" s="30">
        <v>6575</v>
      </c>
      <c r="G1606" s="30">
        <v>6680</v>
      </c>
      <c r="H1606" s="30">
        <v>6637</v>
      </c>
      <c r="I1606" s="30">
        <v>6710</v>
      </c>
      <c r="J1606" s="30">
        <v>6680</v>
      </c>
      <c r="K1606" s="30">
        <v>6716</v>
      </c>
      <c r="L1606" s="30">
        <v>6745</v>
      </c>
      <c r="M1606" s="30">
        <v>6774</v>
      </c>
      <c r="N1606" s="30">
        <v>6681</v>
      </c>
      <c r="O1606" s="24" t="str">
        <f t="shared" si="49"/>
        <v>Blaine County, Montana</v>
      </c>
    </row>
    <row r="1607" spans="1:15" x14ac:dyDescent="0.25">
      <c r="A1607" s="35" t="s">
        <v>2083</v>
      </c>
      <c r="B1607" s="28" t="str">
        <f t="shared" ref="B1607:B1670" si="50">LEFT(A1607,FIND("County",A1607,1)-2)</f>
        <v>Broadwater</v>
      </c>
      <c r="C1607" s="30">
        <v>5612</v>
      </c>
      <c r="D1607" s="30">
        <v>5608</v>
      </c>
      <c r="E1607" s="30">
        <v>5633</v>
      </c>
      <c r="F1607" s="30">
        <v>5726</v>
      </c>
      <c r="G1607" s="30">
        <v>5759</v>
      </c>
      <c r="H1607" s="30">
        <v>5676</v>
      </c>
      <c r="I1607" s="30">
        <v>5653</v>
      </c>
      <c r="J1607" s="30">
        <v>5714</v>
      </c>
      <c r="K1607" s="30">
        <v>5785</v>
      </c>
      <c r="L1607" s="30">
        <v>5917</v>
      </c>
      <c r="M1607" s="30">
        <v>6072</v>
      </c>
      <c r="N1607" s="30">
        <v>6237</v>
      </c>
      <c r="O1607" s="24" t="str">
        <f t="shared" ref="O1607:O1670" si="51">A1607</f>
        <v>Broadwater County, Montana</v>
      </c>
    </row>
    <row r="1608" spans="1:15" x14ac:dyDescent="0.25">
      <c r="A1608" s="35" t="s">
        <v>2084</v>
      </c>
      <c r="B1608" s="28" t="str">
        <f t="shared" si="50"/>
        <v>Carbon</v>
      </c>
      <c r="C1608" s="30">
        <v>10078</v>
      </c>
      <c r="D1608" s="30">
        <v>10078</v>
      </c>
      <c r="E1608" s="30">
        <v>10063</v>
      </c>
      <c r="F1608" s="30">
        <v>10089</v>
      </c>
      <c r="G1608" s="30">
        <v>10141</v>
      </c>
      <c r="H1608" s="30">
        <v>10337</v>
      </c>
      <c r="I1608" s="30">
        <v>10438</v>
      </c>
      <c r="J1608" s="30">
        <v>10403</v>
      </c>
      <c r="K1608" s="30">
        <v>10485</v>
      </c>
      <c r="L1608" s="30">
        <v>10680</v>
      </c>
      <c r="M1608" s="30">
        <v>10691</v>
      </c>
      <c r="N1608" s="30">
        <v>10725</v>
      </c>
      <c r="O1608" s="24" t="str">
        <f t="shared" si="51"/>
        <v>Carbon County, Montana</v>
      </c>
    </row>
    <row r="1609" spans="1:15" x14ac:dyDescent="0.25">
      <c r="A1609" s="35" t="s">
        <v>2085</v>
      </c>
      <c r="B1609" s="28" t="str">
        <f t="shared" si="50"/>
        <v>Carter</v>
      </c>
      <c r="C1609" s="30">
        <v>1160</v>
      </c>
      <c r="D1609" s="30">
        <v>1160</v>
      </c>
      <c r="E1609" s="30">
        <v>1159</v>
      </c>
      <c r="F1609" s="30">
        <v>1136</v>
      </c>
      <c r="G1609" s="30">
        <v>1157</v>
      </c>
      <c r="H1609" s="30">
        <v>1152</v>
      </c>
      <c r="I1609" s="30">
        <v>1150</v>
      </c>
      <c r="J1609" s="30">
        <v>1147</v>
      </c>
      <c r="K1609" s="30">
        <v>1175</v>
      </c>
      <c r="L1609" s="30">
        <v>1223</v>
      </c>
      <c r="M1609" s="30">
        <v>1230</v>
      </c>
      <c r="N1609" s="30">
        <v>1252</v>
      </c>
      <c r="O1609" s="24" t="str">
        <f t="shared" si="51"/>
        <v>Carter County, Montana</v>
      </c>
    </row>
    <row r="1610" spans="1:15" x14ac:dyDescent="0.25">
      <c r="A1610" s="35" t="s">
        <v>2086</v>
      </c>
      <c r="B1610" s="28" t="str">
        <f t="shared" si="50"/>
        <v>Cascade</v>
      </c>
      <c r="C1610" s="30">
        <v>81327</v>
      </c>
      <c r="D1610" s="30">
        <v>81326</v>
      </c>
      <c r="E1610" s="30">
        <v>81507</v>
      </c>
      <c r="F1610" s="30">
        <v>81714</v>
      </c>
      <c r="G1610" s="30">
        <v>81622</v>
      </c>
      <c r="H1610" s="30">
        <v>82194</v>
      </c>
      <c r="I1610" s="30">
        <v>82056</v>
      </c>
      <c r="J1610" s="30">
        <v>81878</v>
      </c>
      <c r="K1610" s="30">
        <v>81562</v>
      </c>
      <c r="L1610" s="30">
        <v>81633</v>
      </c>
      <c r="M1610" s="30">
        <v>81688</v>
      </c>
      <c r="N1610" s="30">
        <v>81366</v>
      </c>
      <c r="O1610" s="24" t="str">
        <f t="shared" si="51"/>
        <v>Cascade County, Montana</v>
      </c>
    </row>
    <row r="1611" spans="1:15" x14ac:dyDescent="0.25">
      <c r="A1611" s="35" t="s">
        <v>2087</v>
      </c>
      <c r="B1611" s="28" t="str">
        <f t="shared" si="50"/>
        <v>Chouteau</v>
      </c>
      <c r="C1611" s="30">
        <v>5813</v>
      </c>
      <c r="D1611" s="30">
        <v>5813</v>
      </c>
      <c r="E1611" s="30">
        <v>5810</v>
      </c>
      <c r="F1611" s="30">
        <v>5812</v>
      </c>
      <c r="G1611" s="30">
        <v>5932</v>
      </c>
      <c r="H1611" s="30">
        <v>5853</v>
      </c>
      <c r="I1611" s="30">
        <v>5899</v>
      </c>
      <c r="J1611" s="30">
        <v>5774</v>
      </c>
      <c r="K1611" s="30">
        <v>5780</v>
      </c>
      <c r="L1611" s="30">
        <v>5732</v>
      </c>
      <c r="M1611" s="30">
        <v>5740</v>
      </c>
      <c r="N1611" s="30">
        <v>5635</v>
      </c>
      <c r="O1611" s="24" t="str">
        <f t="shared" si="51"/>
        <v>Chouteau County, Montana</v>
      </c>
    </row>
    <row r="1612" spans="1:15" x14ac:dyDescent="0.25">
      <c r="A1612" s="35" t="s">
        <v>2088</v>
      </c>
      <c r="B1612" s="28" t="str">
        <f t="shared" si="50"/>
        <v>Custer</v>
      </c>
      <c r="C1612" s="30">
        <v>11699</v>
      </c>
      <c r="D1612" s="30">
        <v>11699</v>
      </c>
      <c r="E1612" s="30">
        <v>11692</v>
      </c>
      <c r="F1612" s="30">
        <v>11758</v>
      </c>
      <c r="G1612" s="30">
        <v>11798</v>
      </c>
      <c r="H1612" s="30">
        <v>11873</v>
      </c>
      <c r="I1612" s="30">
        <v>12008</v>
      </c>
      <c r="J1612" s="30">
        <v>12083</v>
      </c>
      <c r="K1612" s="30">
        <v>11843</v>
      </c>
      <c r="L1612" s="30">
        <v>11726</v>
      </c>
      <c r="M1612" s="30">
        <v>11592</v>
      </c>
      <c r="N1612" s="30">
        <v>11402</v>
      </c>
      <c r="O1612" s="24" t="str">
        <f t="shared" si="51"/>
        <v>Custer County, Montana</v>
      </c>
    </row>
    <row r="1613" spans="1:15" x14ac:dyDescent="0.25">
      <c r="A1613" s="35" t="s">
        <v>2089</v>
      </c>
      <c r="B1613" s="28" t="str">
        <f t="shared" si="50"/>
        <v>Daniels</v>
      </c>
      <c r="C1613" s="30">
        <v>1751</v>
      </c>
      <c r="D1613" s="30">
        <v>1751</v>
      </c>
      <c r="E1613" s="30">
        <v>1749</v>
      </c>
      <c r="F1613" s="30">
        <v>1760</v>
      </c>
      <c r="G1613" s="30">
        <v>1774</v>
      </c>
      <c r="H1613" s="30">
        <v>1777</v>
      </c>
      <c r="I1613" s="30">
        <v>1797</v>
      </c>
      <c r="J1613" s="30">
        <v>1750</v>
      </c>
      <c r="K1613" s="30">
        <v>1731</v>
      </c>
      <c r="L1613" s="30">
        <v>1722</v>
      </c>
      <c r="M1613" s="30">
        <v>1729</v>
      </c>
      <c r="N1613" s="30">
        <v>1690</v>
      </c>
      <c r="O1613" s="24" t="str">
        <f t="shared" si="51"/>
        <v>Daniels County, Montana</v>
      </c>
    </row>
    <row r="1614" spans="1:15" x14ac:dyDescent="0.25">
      <c r="A1614" s="35" t="s">
        <v>2090</v>
      </c>
      <c r="B1614" s="28" t="str">
        <f t="shared" si="50"/>
        <v>Dawson</v>
      </c>
      <c r="C1614" s="30">
        <v>8966</v>
      </c>
      <c r="D1614" s="30">
        <v>8963</v>
      </c>
      <c r="E1614" s="30">
        <v>8950</v>
      </c>
      <c r="F1614" s="30">
        <v>9026</v>
      </c>
      <c r="G1614" s="30">
        <v>9231</v>
      </c>
      <c r="H1614" s="30">
        <v>9381</v>
      </c>
      <c r="I1614" s="30">
        <v>9505</v>
      </c>
      <c r="J1614" s="30">
        <v>9577</v>
      </c>
      <c r="K1614" s="30">
        <v>9263</v>
      </c>
      <c r="L1614" s="30">
        <v>8952</v>
      </c>
      <c r="M1614" s="30">
        <v>8680</v>
      </c>
      <c r="N1614" s="30">
        <v>8613</v>
      </c>
      <c r="O1614" s="24" t="str">
        <f t="shared" si="51"/>
        <v>Dawson County, Montana</v>
      </c>
    </row>
    <row r="1615" spans="1:15" x14ac:dyDescent="0.25">
      <c r="A1615" s="35" t="s">
        <v>2091</v>
      </c>
      <c r="B1615" s="28" t="str">
        <f t="shared" si="50"/>
        <v>Deer Lodge</v>
      </c>
      <c r="C1615" s="30">
        <v>9298</v>
      </c>
      <c r="D1615" s="30">
        <v>9294</v>
      </c>
      <c r="E1615" s="30">
        <v>9291</v>
      </c>
      <c r="F1615" s="30">
        <v>9280</v>
      </c>
      <c r="G1615" s="30">
        <v>9215</v>
      </c>
      <c r="H1615" s="30">
        <v>9257</v>
      </c>
      <c r="I1615" s="30">
        <v>9115</v>
      </c>
      <c r="J1615" s="30">
        <v>9102</v>
      </c>
      <c r="K1615" s="30">
        <v>9057</v>
      </c>
      <c r="L1615" s="30">
        <v>9100</v>
      </c>
      <c r="M1615" s="30">
        <v>9129</v>
      </c>
      <c r="N1615" s="30">
        <v>9140</v>
      </c>
      <c r="O1615" s="24" t="str">
        <f t="shared" si="51"/>
        <v>Deer Lodge County, Montana</v>
      </c>
    </row>
    <row r="1616" spans="1:15" x14ac:dyDescent="0.25">
      <c r="A1616" s="35" t="s">
        <v>2092</v>
      </c>
      <c r="B1616" s="28" t="str">
        <f t="shared" si="50"/>
        <v>Fallon</v>
      </c>
      <c r="C1616" s="30">
        <v>2890</v>
      </c>
      <c r="D1616" s="30">
        <v>2890</v>
      </c>
      <c r="E1616" s="30">
        <v>2889</v>
      </c>
      <c r="F1616" s="30">
        <v>2930</v>
      </c>
      <c r="G1616" s="30">
        <v>3026</v>
      </c>
      <c r="H1616" s="30">
        <v>3047</v>
      </c>
      <c r="I1616" s="30">
        <v>3110</v>
      </c>
      <c r="J1616" s="30">
        <v>3171</v>
      </c>
      <c r="K1616" s="30">
        <v>3086</v>
      </c>
      <c r="L1616" s="30">
        <v>3004</v>
      </c>
      <c r="M1616" s="30">
        <v>2912</v>
      </c>
      <c r="N1616" s="30">
        <v>2846</v>
      </c>
      <c r="O1616" s="24" t="str">
        <f t="shared" si="51"/>
        <v>Fallon County, Montana</v>
      </c>
    </row>
    <row r="1617" spans="1:15" x14ac:dyDescent="0.25">
      <c r="A1617" s="35" t="s">
        <v>2093</v>
      </c>
      <c r="B1617" s="28" t="str">
        <f t="shared" si="50"/>
        <v>Fergus</v>
      </c>
      <c r="C1617" s="30">
        <v>11586</v>
      </c>
      <c r="D1617" s="30">
        <v>11590</v>
      </c>
      <c r="E1617" s="30">
        <v>11585</v>
      </c>
      <c r="F1617" s="30">
        <v>11461</v>
      </c>
      <c r="G1617" s="30">
        <v>11391</v>
      </c>
      <c r="H1617" s="30">
        <v>11464</v>
      </c>
      <c r="I1617" s="30">
        <v>11329</v>
      </c>
      <c r="J1617" s="30">
        <v>11307</v>
      </c>
      <c r="K1617" s="30">
        <v>11349</v>
      </c>
      <c r="L1617" s="30">
        <v>11281</v>
      </c>
      <c r="M1617" s="30">
        <v>11117</v>
      </c>
      <c r="N1617" s="30">
        <v>11050</v>
      </c>
      <c r="O1617" s="24" t="str">
        <f t="shared" si="51"/>
        <v>Fergus County, Montana</v>
      </c>
    </row>
    <row r="1618" spans="1:15" x14ac:dyDescent="0.25">
      <c r="A1618" s="35" t="s">
        <v>2094</v>
      </c>
      <c r="B1618" s="28" t="str">
        <f t="shared" si="50"/>
        <v>Flathead</v>
      </c>
      <c r="C1618" s="30">
        <v>90928</v>
      </c>
      <c r="D1618" s="30">
        <v>90927</v>
      </c>
      <c r="E1618" s="30">
        <v>90864</v>
      </c>
      <c r="F1618" s="30">
        <v>91270</v>
      </c>
      <c r="G1618" s="30">
        <v>91597</v>
      </c>
      <c r="H1618" s="30">
        <v>92935</v>
      </c>
      <c r="I1618" s="30">
        <v>94567</v>
      </c>
      <c r="J1618" s="30">
        <v>95839</v>
      </c>
      <c r="K1618" s="30">
        <v>97742</v>
      </c>
      <c r="L1618" s="30">
        <v>100091</v>
      </c>
      <c r="M1618" s="30">
        <v>102017</v>
      </c>
      <c r="N1618" s="30">
        <v>103806</v>
      </c>
      <c r="O1618" s="24" t="str">
        <f t="shared" si="51"/>
        <v>Flathead County, Montana</v>
      </c>
    </row>
    <row r="1619" spans="1:15" x14ac:dyDescent="0.25">
      <c r="A1619" s="35" t="s">
        <v>2095</v>
      </c>
      <c r="B1619" s="28" t="str">
        <f t="shared" si="50"/>
        <v>Gallatin</v>
      </c>
      <c r="C1619" s="30">
        <v>89513</v>
      </c>
      <c r="D1619" s="30">
        <v>89515</v>
      </c>
      <c r="E1619" s="30">
        <v>89654</v>
      </c>
      <c r="F1619" s="30">
        <v>91375</v>
      </c>
      <c r="G1619" s="30">
        <v>92570</v>
      </c>
      <c r="H1619" s="30">
        <v>94798</v>
      </c>
      <c r="I1619" s="30">
        <v>97508</v>
      </c>
      <c r="J1619" s="30">
        <v>100882</v>
      </c>
      <c r="K1619" s="30">
        <v>104739</v>
      </c>
      <c r="L1619" s="30">
        <v>108576</v>
      </c>
      <c r="M1619" s="30">
        <v>111682</v>
      </c>
      <c r="N1619" s="30">
        <v>114434</v>
      </c>
      <c r="O1619" s="24" t="str">
        <f t="shared" si="51"/>
        <v>Gallatin County, Montana</v>
      </c>
    </row>
    <row r="1620" spans="1:15" x14ac:dyDescent="0.25">
      <c r="A1620" s="35" t="s">
        <v>2096</v>
      </c>
      <c r="B1620" s="28" t="str">
        <f t="shared" si="50"/>
        <v>Garfield</v>
      </c>
      <c r="C1620" s="30">
        <v>1206</v>
      </c>
      <c r="D1620" s="30">
        <v>1209</v>
      </c>
      <c r="E1620" s="30">
        <v>1192</v>
      </c>
      <c r="F1620" s="30">
        <v>1254</v>
      </c>
      <c r="G1620" s="30">
        <v>1244</v>
      </c>
      <c r="H1620" s="30">
        <v>1254</v>
      </c>
      <c r="I1620" s="30">
        <v>1275</v>
      </c>
      <c r="J1620" s="30">
        <v>1284</v>
      </c>
      <c r="K1620" s="30">
        <v>1299</v>
      </c>
      <c r="L1620" s="30">
        <v>1281</v>
      </c>
      <c r="M1620" s="30">
        <v>1257</v>
      </c>
      <c r="N1620" s="30">
        <v>1258</v>
      </c>
      <c r="O1620" s="24" t="str">
        <f t="shared" si="51"/>
        <v>Garfield County, Montana</v>
      </c>
    </row>
    <row r="1621" spans="1:15" x14ac:dyDescent="0.25">
      <c r="A1621" s="35" t="s">
        <v>2097</v>
      </c>
      <c r="B1621" s="28" t="str">
        <f t="shared" si="50"/>
        <v>Glacier</v>
      </c>
      <c r="C1621" s="30">
        <v>13399</v>
      </c>
      <c r="D1621" s="30">
        <v>13399</v>
      </c>
      <c r="E1621" s="30">
        <v>13421</v>
      </c>
      <c r="F1621" s="30">
        <v>13577</v>
      </c>
      <c r="G1621" s="30">
        <v>13667</v>
      </c>
      <c r="H1621" s="30">
        <v>13789</v>
      </c>
      <c r="I1621" s="30">
        <v>13704</v>
      </c>
      <c r="J1621" s="30">
        <v>13636</v>
      </c>
      <c r="K1621" s="30">
        <v>13711</v>
      </c>
      <c r="L1621" s="30">
        <v>13732</v>
      </c>
      <c r="M1621" s="30">
        <v>13828</v>
      </c>
      <c r="N1621" s="30">
        <v>13753</v>
      </c>
      <c r="O1621" s="24" t="str">
        <f t="shared" si="51"/>
        <v>Glacier County, Montana</v>
      </c>
    </row>
    <row r="1622" spans="1:15" x14ac:dyDescent="0.25">
      <c r="A1622" s="35" t="s">
        <v>2098</v>
      </c>
      <c r="B1622" s="28" t="str">
        <f t="shared" si="50"/>
        <v>Golden Valley</v>
      </c>
      <c r="C1622" s="30">
        <v>884</v>
      </c>
      <c r="D1622" s="30">
        <v>884</v>
      </c>
      <c r="E1622" s="30">
        <v>879</v>
      </c>
      <c r="F1622" s="30">
        <v>830</v>
      </c>
      <c r="G1622" s="30">
        <v>827</v>
      </c>
      <c r="H1622" s="30">
        <v>846</v>
      </c>
      <c r="I1622" s="30">
        <v>841</v>
      </c>
      <c r="J1622" s="30">
        <v>818</v>
      </c>
      <c r="K1622" s="30">
        <v>810</v>
      </c>
      <c r="L1622" s="30">
        <v>817</v>
      </c>
      <c r="M1622" s="30">
        <v>822</v>
      </c>
      <c r="N1622" s="30">
        <v>821</v>
      </c>
      <c r="O1622" s="24" t="str">
        <f t="shared" si="51"/>
        <v>Golden Valley County, Montana</v>
      </c>
    </row>
    <row r="1623" spans="1:15" x14ac:dyDescent="0.25">
      <c r="A1623" s="35" t="s">
        <v>2099</v>
      </c>
      <c r="B1623" s="28" t="str">
        <f t="shared" si="50"/>
        <v>Granite</v>
      </c>
      <c r="C1623" s="30">
        <v>3079</v>
      </c>
      <c r="D1623" s="30">
        <v>3074</v>
      </c>
      <c r="E1623" s="30">
        <v>3075</v>
      </c>
      <c r="F1623" s="30">
        <v>3079</v>
      </c>
      <c r="G1623" s="30">
        <v>3042</v>
      </c>
      <c r="H1623" s="30">
        <v>3069</v>
      </c>
      <c r="I1623" s="30">
        <v>3146</v>
      </c>
      <c r="J1623" s="30">
        <v>3163</v>
      </c>
      <c r="K1623" s="30">
        <v>3286</v>
      </c>
      <c r="L1623" s="30">
        <v>3356</v>
      </c>
      <c r="M1623" s="30">
        <v>3371</v>
      </c>
      <c r="N1623" s="30">
        <v>3379</v>
      </c>
      <c r="O1623" s="24" t="str">
        <f t="shared" si="51"/>
        <v>Granite County, Montana</v>
      </c>
    </row>
    <row r="1624" spans="1:15" x14ac:dyDescent="0.25">
      <c r="A1624" s="35" t="s">
        <v>2100</v>
      </c>
      <c r="B1624" s="28" t="str">
        <f t="shared" si="50"/>
        <v>Hill</v>
      </c>
      <c r="C1624" s="30">
        <v>16096</v>
      </c>
      <c r="D1624" s="30">
        <v>16096</v>
      </c>
      <c r="E1624" s="30">
        <v>16153</v>
      </c>
      <c r="F1624" s="30">
        <v>16394</v>
      </c>
      <c r="G1624" s="30">
        <v>16396</v>
      </c>
      <c r="H1624" s="30">
        <v>16535</v>
      </c>
      <c r="I1624" s="30">
        <v>16502</v>
      </c>
      <c r="J1624" s="30">
        <v>16438</v>
      </c>
      <c r="K1624" s="30">
        <v>16448</v>
      </c>
      <c r="L1624" s="30">
        <v>16469</v>
      </c>
      <c r="M1624" s="30">
        <v>16342</v>
      </c>
      <c r="N1624" s="30">
        <v>16484</v>
      </c>
      <c r="O1624" s="24" t="str">
        <f t="shared" si="51"/>
        <v>Hill County, Montana</v>
      </c>
    </row>
    <row r="1625" spans="1:15" x14ac:dyDescent="0.25">
      <c r="A1625" s="35" t="s">
        <v>2101</v>
      </c>
      <c r="B1625" s="28" t="str">
        <f t="shared" si="50"/>
        <v>Jefferson</v>
      </c>
      <c r="C1625" s="30">
        <v>11406</v>
      </c>
      <c r="D1625" s="30">
        <v>11403</v>
      </c>
      <c r="E1625" s="30">
        <v>11407</v>
      </c>
      <c r="F1625" s="30">
        <v>11375</v>
      </c>
      <c r="G1625" s="30">
        <v>11318</v>
      </c>
      <c r="H1625" s="30">
        <v>11455</v>
      </c>
      <c r="I1625" s="30">
        <v>11502</v>
      </c>
      <c r="J1625" s="30">
        <v>11572</v>
      </c>
      <c r="K1625" s="30">
        <v>11779</v>
      </c>
      <c r="L1625" s="30">
        <v>11921</v>
      </c>
      <c r="M1625" s="30">
        <v>12094</v>
      </c>
      <c r="N1625" s="30">
        <v>12221</v>
      </c>
      <c r="O1625" s="24" t="str">
        <f t="shared" si="51"/>
        <v>Jefferson County, Montana</v>
      </c>
    </row>
    <row r="1626" spans="1:15" x14ac:dyDescent="0.25">
      <c r="A1626" s="35" t="s">
        <v>2102</v>
      </c>
      <c r="B1626" s="28" t="str">
        <f t="shared" si="50"/>
        <v>Judith Basin</v>
      </c>
      <c r="C1626" s="30">
        <v>2072</v>
      </c>
      <c r="D1626" s="30">
        <v>2072</v>
      </c>
      <c r="E1626" s="30">
        <v>2073</v>
      </c>
      <c r="F1626" s="30">
        <v>2009</v>
      </c>
      <c r="G1626" s="30">
        <v>2004</v>
      </c>
      <c r="H1626" s="30">
        <v>2000</v>
      </c>
      <c r="I1626" s="30">
        <v>1984</v>
      </c>
      <c r="J1626" s="30">
        <v>1931</v>
      </c>
      <c r="K1626" s="30">
        <v>1940</v>
      </c>
      <c r="L1626" s="30">
        <v>1945</v>
      </c>
      <c r="M1626" s="30">
        <v>1946</v>
      </c>
      <c r="N1626" s="30">
        <v>2007</v>
      </c>
      <c r="O1626" s="24" t="str">
        <f t="shared" si="51"/>
        <v>Judith Basin County, Montana</v>
      </c>
    </row>
    <row r="1627" spans="1:15" x14ac:dyDescent="0.25">
      <c r="A1627" s="35" t="s">
        <v>2103</v>
      </c>
      <c r="B1627" s="28" t="str">
        <f t="shared" si="50"/>
        <v>Lake</v>
      </c>
      <c r="C1627" s="30">
        <v>28746</v>
      </c>
      <c r="D1627" s="30">
        <v>28748</v>
      </c>
      <c r="E1627" s="30">
        <v>28789</v>
      </c>
      <c r="F1627" s="30">
        <v>28977</v>
      </c>
      <c r="G1627" s="30">
        <v>29012</v>
      </c>
      <c r="H1627" s="30">
        <v>29121</v>
      </c>
      <c r="I1627" s="30">
        <v>29215</v>
      </c>
      <c r="J1627" s="30">
        <v>29457</v>
      </c>
      <c r="K1627" s="30">
        <v>29709</v>
      </c>
      <c r="L1627" s="30">
        <v>30221</v>
      </c>
      <c r="M1627" s="30">
        <v>30220</v>
      </c>
      <c r="N1627" s="30">
        <v>30458</v>
      </c>
      <c r="O1627" s="24" t="str">
        <f t="shared" si="51"/>
        <v>Lake County, Montana</v>
      </c>
    </row>
    <row r="1628" spans="1:15" x14ac:dyDescent="0.25">
      <c r="A1628" s="35" t="s">
        <v>2104</v>
      </c>
      <c r="B1628" s="28" t="str">
        <f t="shared" si="50"/>
        <v>Lewis and Clark</v>
      </c>
      <c r="C1628" s="30">
        <v>63395</v>
      </c>
      <c r="D1628" s="30">
        <v>63394</v>
      </c>
      <c r="E1628" s="30">
        <v>63577</v>
      </c>
      <c r="F1628" s="30">
        <v>64272</v>
      </c>
      <c r="G1628" s="30">
        <v>64736</v>
      </c>
      <c r="H1628" s="30">
        <v>65234</v>
      </c>
      <c r="I1628" s="30">
        <v>65703</v>
      </c>
      <c r="J1628" s="30">
        <v>66225</v>
      </c>
      <c r="K1628" s="30">
        <v>66894</v>
      </c>
      <c r="L1628" s="30">
        <v>67850</v>
      </c>
      <c r="M1628" s="30">
        <v>68622</v>
      </c>
      <c r="N1628" s="30">
        <v>69432</v>
      </c>
      <c r="O1628" s="24" t="str">
        <f t="shared" si="51"/>
        <v>Lewis and Clark County, Montana</v>
      </c>
    </row>
    <row r="1629" spans="1:15" x14ac:dyDescent="0.25">
      <c r="A1629" s="35" t="s">
        <v>2105</v>
      </c>
      <c r="B1629" s="28" t="str">
        <f t="shared" si="50"/>
        <v>Liberty</v>
      </c>
      <c r="C1629" s="30">
        <v>2339</v>
      </c>
      <c r="D1629" s="30">
        <v>2339</v>
      </c>
      <c r="E1629" s="30">
        <v>2349</v>
      </c>
      <c r="F1629" s="30">
        <v>2379</v>
      </c>
      <c r="G1629" s="30">
        <v>2393</v>
      </c>
      <c r="H1629" s="30">
        <v>2362</v>
      </c>
      <c r="I1629" s="30">
        <v>2348</v>
      </c>
      <c r="J1629" s="30">
        <v>2391</v>
      </c>
      <c r="K1629" s="30">
        <v>2409</v>
      </c>
      <c r="L1629" s="30">
        <v>2407</v>
      </c>
      <c r="M1629" s="30">
        <v>2416</v>
      </c>
      <c r="N1629" s="30">
        <v>2337</v>
      </c>
      <c r="O1629" s="24" t="str">
        <f t="shared" si="51"/>
        <v>Liberty County, Montana</v>
      </c>
    </row>
    <row r="1630" spans="1:15" x14ac:dyDescent="0.25">
      <c r="A1630" s="35" t="s">
        <v>2106</v>
      </c>
      <c r="B1630" s="28" t="str">
        <f t="shared" si="50"/>
        <v>Lincoln</v>
      </c>
      <c r="C1630" s="30">
        <v>19687</v>
      </c>
      <c r="D1630" s="30">
        <v>19683</v>
      </c>
      <c r="E1630" s="30">
        <v>19694</v>
      </c>
      <c r="F1630" s="30">
        <v>19625</v>
      </c>
      <c r="G1630" s="30">
        <v>19485</v>
      </c>
      <c r="H1630" s="30">
        <v>19424</v>
      </c>
      <c r="I1630" s="30">
        <v>19186</v>
      </c>
      <c r="J1630" s="30">
        <v>19060</v>
      </c>
      <c r="K1630" s="30">
        <v>19294</v>
      </c>
      <c r="L1630" s="30">
        <v>19556</v>
      </c>
      <c r="M1630" s="30">
        <v>19797</v>
      </c>
      <c r="N1630" s="30">
        <v>19980</v>
      </c>
      <c r="O1630" s="24" t="str">
        <f t="shared" si="51"/>
        <v>Lincoln County, Montana</v>
      </c>
    </row>
    <row r="1631" spans="1:15" x14ac:dyDescent="0.25">
      <c r="A1631" s="35" t="s">
        <v>2107</v>
      </c>
      <c r="B1631" s="28" t="str">
        <f t="shared" si="50"/>
        <v>McCone</v>
      </c>
      <c r="C1631" s="30">
        <v>1734</v>
      </c>
      <c r="D1631" s="30">
        <v>1734</v>
      </c>
      <c r="E1631" s="30">
        <v>1745</v>
      </c>
      <c r="F1631" s="30">
        <v>1709</v>
      </c>
      <c r="G1631" s="30">
        <v>1701</v>
      </c>
      <c r="H1631" s="30">
        <v>1715</v>
      </c>
      <c r="I1631" s="30">
        <v>1715</v>
      </c>
      <c r="J1631" s="30">
        <v>1700</v>
      </c>
      <c r="K1631" s="30">
        <v>1732</v>
      </c>
      <c r="L1631" s="30">
        <v>1698</v>
      </c>
      <c r="M1631" s="30">
        <v>1669</v>
      </c>
      <c r="N1631" s="30">
        <v>1664</v>
      </c>
      <c r="O1631" s="24" t="str">
        <f t="shared" si="51"/>
        <v>McCone County, Montana</v>
      </c>
    </row>
    <row r="1632" spans="1:15" x14ac:dyDescent="0.25">
      <c r="A1632" s="35" t="s">
        <v>2108</v>
      </c>
      <c r="B1632" s="28" t="str">
        <f t="shared" si="50"/>
        <v>Madison</v>
      </c>
      <c r="C1632" s="30">
        <v>7691</v>
      </c>
      <c r="D1632" s="30">
        <v>7691</v>
      </c>
      <c r="E1632" s="30">
        <v>7696</v>
      </c>
      <c r="F1632" s="30">
        <v>7644</v>
      </c>
      <c r="G1632" s="30">
        <v>7663</v>
      </c>
      <c r="H1632" s="30">
        <v>7674</v>
      </c>
      <c r="I1632" s="30">
        <v>7828</v>
      </c>
      <c r="J1632" s="30">
        <v>8026</v>
      </c>
      <c r="K1632" s="30">
        <v>8062</v>
      </c>
      <c r="L1632" s="30">
        <v>8291</v>
      </c>
      <c r="M1632" s="30">
        <v>8530</v>
      </c>
      <c r="N1632" s="30">
        <v>8600</v>
      </c>
      <c r="O1632" s="24" t="str">
        <f t="shared" si="51"/>
        <v>Madison County, Montana</v>
      </c>
    </row>
    <row r="1633" spans="1:15" x14ac:dyDescent="0.25">
      <c r="A1633" s="35" t="s">
        <v>2109</v>
      </c>
      <c r="B1633" s="28" t="str">
        <f t="shared" si="50"/>
        <v>Meagher</v>
      </c>
      <c r="C1633" s="30">
        <v>1891</v>
      </c>
      <c r="D1633" s="30">
        <v>1891</v>
      </c>
      <c r="E1633" s="30">
        <v>1878</v>
      </c>
      <c r="F1633" s="30">
        <v>1877</v>
      </c>
      <c r="G1633" s="30">
        <v>1886</v>
      </c>
      <c r="H1633" s="30">
        <v>1904</v>
      </c>
      <c r="I1633" s="30">
        <v>1856</v>
      </c>
      <c r="J1633" s="30">
        <v>1821</v>
      </c>
      <c r="K1633" s="30">
        <v>1845</v>
      </c>
      <c r="L1633" s="30">
        <v>1852</v>
      </c>
      <c r="M1633" s="30">
        <v>1857</v>
      </c>
      <c r="N1633" s="30">
        <v>1862</v>
      </c>
      <c r="O1633" s="24" t="str">
        <f t="shared" si="51"/>
        <v>Meagher County, Montana</v>
      </c>
    </row>
    <row r="1634" spans="1:15" x14ac:dyDescent="0.25">
      <c r="A1634" s="35" t="s">
        <v>2110</v>
      </c>
      <c r="B1634" s="28" t="str">
        <f t="shared" si="50"/>
        <v>Mineral</v>
      </c>
      <c r="C1634" s="30">
        <v>4223</v>
      </c>
      <c r="D1634" s="30">
        <v>4229</v>
      </c>
      <c r="E1634" s="30">
        <v>4229</v>
      </c>
      <c r="F1634" s="30">
        <v>4220</v>
      </c>
      <c r="G1634" s="30">
        <v>4128</v>
      </c>
      <c r="H1634" s="30">
        <v>4228</v>
      </c>
      <c r="I1634" s="30">
        <v>4195</v>
      </c>
      <c r="J1634" s="30">
        <v>4192</v>
      </c>
      <c r="K1634" s="30">
        <v>4124</v>
      </c>
      <c r="L1634" s="30">
        <v>4235</v>
      </c>
      <c r="M1634" s="30">
        <v>4307</v>
      </c>
      <c r="N1634" s="30">
        <v>4397</v>
      </c>
      <c r="O1634" s="24" t="str">
        <f t="shared" si="51"/>
        <v>Mineral County, Montana</v>
      </c>
    </row>
    <row r="1635" spans="1:15" x14ac:dyDescent="0.25">
      <c r="A1635" s="35" t="s">
        <v>2111</v>
      </c>
      <c r="B1635" s="28" t="str">
        <f t="shared" si="50"/>
        <v>Missoula</v>
      </c>
      <c r="C1635" s="30">
        <v>109299</v>
      </c>
      <c r="D1635" s="30">
        <v>109296</v>
      </c>
      <c r="E1635" s="30">
        <v>109467</v>
      </c>
      <c r="F1635" s="30">
        <v>110245</v>
      </c>
      <c r="G1635" s="30">
        <v>111042</v>
      </c>
      <c r="H1635" s="30">
        <v>111900</v>
      </c>
      <c r="I1635" s="30">
        <v>112801</v>
      </c>
      <c r="J1635" s="30">
        <v>114122</v>
      </c>
      <c r="K1635" s="30">
        <v>116349</v>
      </c>
      <c r="L1635" s="30">
        <v>117834</v>
      </c>
      <c r="M1635" s="30">
        <v>118640</v>
      </c>
      <c r="N1635" s="30">
        <v>119600</v>
      </c>
      <c r="O1635" s="24" t="str">
        <f t="shared" si="51"/>
        <v>Missoula County, Montana</v>
      </c>
    </row>
    <row r="1636" spans="1:15" x14ac:dyDescent="0.25">
      <c r="A1636" s="35" t="s">
        <v>2112</v>
      </c>
      <c r="B1636" s="28" t="str">
        <f t="shared" si="50"/>
        <v>Musselshell</v>
      </c>
      <c r="C1636" s="30">
        <v>4538</v>
      </c>
      <c r="D1636" s="30">
        <v>4538</v>
      </c>
      <c r="E1636" s="30">
        <v>4555</v>
      </c>
      <c r="F1636" s="30">
        <v>4747</v>
      </c>
      <c r="G1636" s="30">
        <v>4692</v>
      </c>
      <c r="H1636" s="30">
        <v>4681</v>
      </c>
      <c r="I1636" s="30">
        <v>4645</v>
      </c>
      <c r="J1636" s="30">
        <v>4628</v>
      </c>
      <c r="K1636" s="30">
        <v>4646</v>
      </c>
      <c r="L1636" s="30">
        <v>4632</v>
      </c>
      <c r="M1636" s="30">
        <v>4632</v>
      </c>
      <c r="N1636" s="30">
        <v>4633</v>
      </c>
      <c r="O1636" s="24" t="str">
        <f t="shared" si="51"/>
        <v>Musselshell County, Montana</v>
      </c>
    </row>
    <row r="1637" spans="1:15" x14ac:dyDescent="0.25">
      <c r="A1637" s="35" t="s">
        <v>2113</v>
      </c>
      <c r="B1637" s="28" t="str">
        <f t="shared" si="50"/>
        <v>Park</v>
      </c>
      <c r="C1637" s="30">
        <v>15636</v>
      </c>
      <c r="D1637" s="30">
        <v>15635</v>
      </c>
      <c r="E1637" s="30">
        <v>15596</v>
      </c>
      <c r="F1637" s="30">
        <v>15509</v>
      </c>
      <c r="G1637" s="30">
        <v>15591</v>
      </c>
      <c r="H1637" s="30">
        <v>15698</v>
      </c>
      <c r="I1637" s="30">
        <v>15919</v>
      </c>
      <c r="J1637" s="30">
        <v>16003</v>
      </c>
      <c r="K1637" s="30">
        <v>16115</v>
      </c>
      <c r="L1637" s="30">
        <v>16386</v>
      </c>
      <c r="M1637" s="30">
        <v>16648</v>
      </c>
      <c r="N1637" s="30">
        <v>16606</v>
      </c>
      <c r="O1637" s="24" t="str">
        <f t="shared" si="51"/>
        <v>Park County, Montana</v>
      </c>
    </row>
    <row r="1638" spans="1:15" x14ac:dyDescent="0.25">
      <c r="A1638" s="35" t="s">
        <v>2114</v>
      </c>
      <c r="B1638" s="28" t="str">
        <f t="shared" si="50"/>
        <v>Petroleum</v>
      </c>
      <c r="C1638" s="30">
        <v>494</v>
      </c>
      <c r="D1638" s="30">
        <v>488</v>
      </c>
      <c r="E1638" s="30">
        <v>489</v>
      </c>
      <c r="F1638" s="30">
        <v>490</v>
      </c>
      <c r="G1638" s="30">
        <v>504</v>
      </c>
      <c r="H1638" s="30">
        <v>504</v>
      </c>
      <c r="I1638" s="30">
        <v>488</v>
      </c>
      <c r="J1638" s="30">
        <v>474</v>
      </c>
      <c r="K1638" s="30">
        <v>491</v>
      </c>
      <c r="L1638" s="30">
        <v>512</v>
      </c>
      <c r="M1638" s="30">
        <v>512</v>
      </c>
      <c r="N1638" s="30">
        <v>487</v>
      </c>
      <c r="O1638" s="24" t="str">
        <f t="shared" si="51"/>
        <v>Petroleum County, Montana</v>
      </c>
    </row>
    <row r="1639" spans="1:15" x14ac:dyDescent="0.25">
      <c r="A1639" s="35" t="s">
        <v>2115</v>
      </c>
      <c r="B1639" s="28" t="str">
        <f t="shared" si="50"/>
        <v>Phillips</v>
      </c>
      <c r="C1639" s="30">
        <v>4253</v>
      </c>
      <c r="D1639" s="30">
        <v>4252</v>
      </c>
      <c r="E1639" s="30">
        <v>4252</v>
      </c>
      <c r="F1639" s="30">
        <v>4186</v>
      </c>
      <c r="G1639" s="30">
        <v>4121</v>
      </c>
      <c r="H1639" s="30">
        <v>4159</v>
      </c>
      <c r="I1639" s="30">
        <v>4170</v>
      </c>
      <c r="J1639" s="30">
        <v>4146</v>
      </c>
      <c r="K1639" s="30">
        <v>4113</v>
      </c>
      <c r="L1639" s="30">
        <v>4113</v>
      </c>
      <c r="M1639" s="30">
        <v>4060</v>
      </c>
      <c r="N1639" s="30">
        <v>3954</v>
      </c>
      <c r="O1639" s="24" t="str">
        <f t="shared" si="51"/>
        <v>Phillips County, Montana</v>
      </c>
    </row>
    <row r="1640" spans="1:15" x14ac:dyDescent="0.25">
      <c r="A1640" s="35" t="s">
        <v>2116</v>
      </c>
      <c r="B1640" s="28" t="str">
        <f t="shared" si="50"/>
        <v>Pondera</v>
      </c>
      <c r="C1640" s="30">
        <v>6153</v>
      </c>
      <c r="D1640" s="30">
        <v>6155</v>
      </c>
      <c r="E1640" s="30">
        <v>6160</v>
      </c>
      <c r="F1640" s="30">
        <v>6193</v>
      </c>
      <c r="G1640" s="30">
        <v>6150</v>
      </c>
      <c r="H1640" s="30">
        <v>6216</v>
      </c>
      <c r="I1640" s="30">
        <v>6138</v>
      </c>
      <c r="J1640" s="30">
        <v>6095</v>
      </c>
      <c r="K1640" s="30">
        <v>6035</v>
      </c>
      <c r="L1640" s="30">
        <v>5968</v>
      </c>
      <c r="M1640" s="30">
        <v>5960</v>
      </c>
      <c r="N1640" s="30">
        <v>5911</v>
      </c>
      <c r="O1640" s="24" t="str">
        <f t="shared" si="51"/>
        <v>Pondera County, Montana</v>
      </c>
    </row>
    <row r="1641" spans="1:15" x14ac:dyDescent="0.25">
      <c r="A1641" s="35" t="s">
        <v>2117</v>
      </c>
      <c r="B1641" s="28" t="str">
        <f t="shared" si="50"/>
        <v>Powder River</v>
      </c>
      <c r="C1641" s="30">
        <v>1743</v>
      </c>
      <c r="D1641" s="30">
        <v>1743</v>
      </c>
      <c r="E1641" s="30">
        <v>1739</v>
      </c>
      <c r="F1641" s="30">
        <v>1739</v>
      </c>
      <c r="G1641" s="30">
        <v>1753</v>
      </c>
      <c r="H1641" s="30">
        <v>1753</v>
      </c>
      <c r="I1641" s="30">
        <v>1777</v>
      </c>
      <c r="J1641" s="30">
        <v>1768</v>
      </c>
      <c r="K1641" s="30">
        <v>1746</v>
      </c>
      <c r="L1641" s="30">
        <v>1750</v>
      </c>
      <c r="M1641" s="30">
        <v>1720</v>
      </c>
      <c r="N1641" s="30">
        <v>1682</v>
      </c>
      <c r="O1641" s="24" t="str">
        <f t="shared" si="51"/>
        <v>Powder River County, Montana</v>
      </c>
    </row>
    <row r="1642" spans="1:15" x14ac:dyDescent="0.25">
      <c r="A1642" s="35" t="s">
        <v>2118</v>
      </c>
      <c r="B1642" s="28" t="str">
        <f t="shared" si="50"/>
        <v>Powell</v>
      </c>
      <c r="C1642" s="30">
        <v>7027</v>
      </c>
      <c r="D1642" s="30">
        <v>7034</v>
      </c>
      <c r="E1642" s="30">
        <v>7019</v>
      </c>
      <c r="F1642" s="30">
        <v>7084</v>
      </c>
      <c r="G1642" s="30">
        <v>7081</v>
      </c>
      <c r="H1642" s="30">
        <v>6957</v>
      </c>
      <c r="I1642" s="30">
        <v>6882</v>
      </c>
      <c r="J1642" s="30">
        <v>6799</v>
      </c>
      <c r="K1642" s="30">
        <v>6841</v>
      </c>
      <c r="L1642" s="30">
        <v>6789</v>
      </c>
      <c r="M1642" s="30">
        <v>6953</v>
      </c>
      <c r="N1642" s="30">
        <v>6890</v>
      </c>
      <c r="O1642" s="24" t="str">
        <f t="shared" si="51"/>
        <v>Powell County, Montana</v>
      </c>
    </row>
    <row r="1643" spans="1:15" x14ac:dyDescent="0.25">
      <c r="A1643" s="35" t="s">
        <v>2119</v>
      </c>
      <c r="B1643" s="28" t="str">
        <f t="shared" si="50"/>
        <v>Prairie</v>
      </c>
      <c r="C1643" s="30">
        <v>1179</v>
      </c>
      <c r="D1643" s="30">
        <v>1179</v>
      </c>
      <c r="E1643" s="30">
        <v>1183</v>
      </c>
      <c r="F1643" s="30">
        <v>1141</v>
      </c>
      <c r="G1643" s="30">
        <v>1141</v>
      </c>
      <c r="H1643" s="30">
        <v>1163</v>
      </c>
      <c r="I1643" s="30">
        <v>1125</v>
      </c>
      <c r="J1643" s="30">
        <v>1140</v>
      </c>
      <c r="K1643" s="30">
        <v>1159</v>
      </c>
      <c r="L1643" s="30">
        <v>1099</v>
      </c>
      <c r="M1643" s="30">
        <v>1070</v>
      </c>
      <c r="N1643" s="30">
        <v>1077</v>
      </c>
      <c r="O1643" s="24" t="str">
        <f t="shared" si="51"/>
        <v>Prairie County, Montana</v>
      </c>
    </row>
    <row r="1644" spans="1:15" x14ac:dyDescent="0.25">
      <c r="A1644" s="35" t="s">
        <v>2120</v>
      </c>
      <c r="B1644" s="28" t="str">
        <f t="shared" si="50"/>
        <v>Ravalli</v>
      </c>
      <c r="C1644" s="30">
        <v>40212</v>
      </c>
      <c r="D1644" s="30">
        <v>40210</v>
      </c>
      <c r="E1644" s="30">
        <v>40324</v>
      </c>
      <c r="F1644" s="30">
        <v>40380</v>
      </c>
      <c r="G1644" s="30">
        <v>40576</v>
      </c>
      <c r="H1644" s="30">
        <v>40668</v>
      </c>
      <c r="I1644" s="30">
        <v>40745</v>
      </c>
      <c r="J1644" s="30">
        <v>41148</v>
      </c>
      <c r="K1644" s="30">
        <v>41918</v>
      </c>
      <c r="L1644" s="30">
        <v>42524</v>
      </c>
      <c r="M1644" s="30">
        <v>43166</v>
      </c>
      <c r="N1644" s="30">
        <v>43806</v>
      </c>
      <c r="O1644" s="24" t="str">
        <f t="shared" si="51"/>
        <v>Ravalli County, Montana</v>
      </c>
    </row>
    <row r="1645" spans="1:15" x14ac:dyDescent="0.25">
      <c r="A1645" s="35" t="s">
        <v>2121</v>
      </c>
      <c r="B1645" s="28" t="str">
        <f t="shared" si="50"/>
        <v>Richland</v>
      </c>
      <c r="C1645" s="30">
        <v>9746</v>
      </c>
      <c r="D1645" s="30">
        <v>9746</v>
      </c>
      <c r="E1645" s="30">
        <v>9759</v>
      </c>
      <c r="F1645" s="30">
        <v>10144</v>
      </c>
      <c r="G1645" s="30">
        <v>10780</v>
      </c>
      <c r="H1645" s="30">
        <v>11154</v>
      </c>
      <c r="I1645" s="30">
        <v>11531</v>
      </c>
      <c r="J1645" s="30">
        <v>11902</v>
      </c>
      <c r="K1645" s="30">
        <v>11408</v>
      </c>
      <c r="L1645" s="30">
        <v>11027</v>
      </c>
      <c r="M1645" s="30">
        <v>10855</v>
      </c>
      <c r="N1645" s="30">
        <v>10803</v>
      </c>
      <c r="O1645" s="24" t="str">
        <f t="shared" si="51"/>
        <v>Richland County, Montana</v>
      </c>
    </row>
    <row r="1646" spans="1:15" x14ac:dyDescent="0.25">
      <c r="A1646" s="35" t="s">
        <v>2122</v>
      </c>
      <c r="B1646" s="28" t="str">
        <f t="shared" si="50"/>
        <v>Roosevelt</v>
      </c>
      <c r="C1646" s="30">
        <v>10425</v>
      </c>
      <c r="D1646" s="30">
        <v>10425</v>
      </c>
      <c r="E1646" s="30">
        <v>10443</v>
      </c>
      <c r="F1646" s="30">
        <v>10497</v>
      </c>
      <c r="G1646" s="30">
        <v>10856</v>
      </c>
      <c r="H1646" s="30">
        <v>11089</v>
      </c>
      <c r="I1646" s="30">
        <v>11285</v>
      </c>
      <c r="J1646" s="30">
        <v>11417</v>
      </c>
      <c r="K1646" s="30">
        <v>11225</v>
      </c>
      <c r="L1646" s="30">
        <v>11160</v>
      </c>
      <c r="M1646" s="30">
        <v>11069</v>
      </c>
      <c r="N1646" s="30">
        <v>11004</v>
      </c>
      <c r="O1646" s="24" t="str">
        <f t="shared" si="51"/>
        <v>Roosevelt County, Montana</v>
      </c>
    </row>
    <row r="1647" spans="1:15" x14ac:dyDescent="0.25">
      <c r="A1647" s="35" t="s">
        <v>2123</v>
      </c>
      <c r="B1647" s="28" t="str">
        <f t="shared" si="50"/>
        <v>Rosebud</v>
      </c>
      <c r="C1647" s="30">
        <v>9233</v>
      </c>
      <c r="D1647" s="30">
        <v>9235</v>
      </c>
      <c r="E1647" s="30">
        <v>9242</v>
      </c>
      <c r="F1647" s="30">
        <v>9324</v>
      </c>
      <c r="G1647" s="30">
        <v>9346</v>
      </c>
      <c r="H1647" s="30">
        <v>9298</v>
      </c>
      <c r="I1647" s="30">
        <v>9321</v>
      </c>
      <c r="J1647" s="30">
        <v>9347</v>
      </c>
      <c r="K1647" s="30">
        <v>9232</v>
      </c>
      <c r="L1647" s="30">
        <v>9205</v>
      </c>
      <c r="M1647" s="30">
        <v>9040</v>
      </c>
      <c r="N1647" s="30">
        <v>8937</v>
      </c>
      <c r="O1647" s="24" t="str">
        <f t="shared" si="51"/>
        <v>Rosebud County, Montana</v>
      </c>
    </row>
    <row r="1648" spans="1:15" x14ac:dyDescent="0.25">
      <c r="A1648" s="35" t="s">
        <v>2124</v>
      </c>
      <c r="B1648" s="28" t="str">
        <f t="shared" si="50"/>
        <v>Sanders</v>
      </c>
      <c r="C1648" s="30">
        <v>11413</v>
      </c>
      <c r="D1648" s="30">
        <v>11413</v>
      </c>
      <c r="E1648" s="30">
        <v>11395</v>
      </c>
      <c r="F1648" s="30">
        <v>11400</v>
      </c>
      <c r="G1648" s="30">
        <v>11375</v>
      </c>
      <c r="H1648" s="30">
        <v>11310</v>
      </c>
      <c r="I1648" s="30">
        <v>11313</v>
      </c>
      <c r="J1648" s="30">
        <v>11293</v>
      </c>
      <c r="K1648" s="30">
        <v>11465</v>
      </c>
      <c r="L1648" s="30">
        <v>11689</v>
      </c>
      <c r="M1648" s="30">
        <v>11847</v>
      </c>
      <c r="N1648" s="30">
        <v>12113</v>
      </c>
      <c r="O1648" s="24" t="str">
        <f t="shared" si="51"/>
        <v>Sanders County, Montana</v>
      </c>
    </row>
    <row r="1649" spans="1:15" x14ac:dyDescent="0.25">
      <c r="A1649" s="35" t="s">
        <v>2125</v>
      </c>
      <c r="B1649" s="28" t="str">
        <f t="shared" si="50"/>
        <v>Sheridan</v>
      </c>
      <c r="C1649" s="30">
        <v>3384</v>
      </c>
      <c r="D1649" s="30">
        <v>3384</v>
      </c>
      <c r="E1649" s="30">
        <v>3368</v>
      </c>
      <c r="F1649" s="30">
        <v>3418</v>
      </c>
      <c r="G1649" s="30">
        <v>3550</v>
      </c>
      <c r="H1649" s="30">
        <v>3626</v>
      </c>
      <c r="I1649" s="30">
        <v>3661</v>
      </c>
      <c r="J1649" s="30">
        <v>3673</v>
      </c>
      <c r="K1649" s="30">
        <v>3608</v>
      </c>
      <c r="L1649" s="30">
        <v>3471</v>
      </c>
      <c r="M1649" s="30">
        <v>3386</v>
      </c>
      <c r="N1649" s="30">
        <v>3309</v>
      </c>
      <c r="O1649" s="24" t="str">
        <f t="shared" si="51"/>
        <v>Sheridan County, Montana</v>
      </c>
    </row>
    <row r="1650" spans="1:15" x14ac:dyDescent="0.25">
      <c r="A1650" s="35" t="s">
        <v>2126</v>
      </c>
      <c r="B1650" s="28" t="str">
        <f t="shared" si="50"/>
        <v>Silver Bow</v>
      </c>
      <c r="C1650" s="30">
        <v>34200</v>
      </c>
      <c r="D1650" s="30">
        <v>34209</v>
      </c>
      <c r="E1650" s="30">
        <v>34230</v>
      </c>
      <c r="F1650" s="30">
        <v>34405</v>
      </c>
      <c r="G1650" s="30">
        <v>34474</v>
      </c>
      <c r="H1650" s="30">
        <v>34574</v>
      </c>
      <c r="I1650" s="30">
        <v>34752</v>
      </c>
      <c r="J1650" s="30">
        <v>34691</v>
      </c>
      <c r="K1650" s="30">
        <v>34696</v>
      </c>
      <c r="L1650" s="30">
        <v>34811</v>
      </c>
      <c r="M1650" s="30">
        <v>34739</v>
      </c>
      <c r="N1650" s="30">
        <v>34915</v>
      </c>
      <c r="O1650" s="24" t="str">
        <f t="shared" si="51"/>
        <v>Silver Bow County, Montana</v>
      </c>
    </row>
    <row r="1651" spans="1:15" x14ac:dyDescent="0.25">
      <c r="A1651" s="35" t="s">
        <v>2127</v>
      </c>
      <c r="B1651" s="28" t="str">
        <f t="shared" si="50"/>
        <v>Stillwater</v>
      </c>
      <c r="C1651" s="30">
        <v>9117</v>
      </c>
      <c r="D1651" s="30">
        <v>9096</v>
      </c>
      <c r="E1651" s="30">
        <v>9114</v>
      </c>
      <c r="F1651" s="30">
        <v>9156</v>
      </c>
      <c r="G1651" s="30">
        <v>9166</v>
      </c>
      <c r="H1651" s="30">
        <v>9255</v>
      </c>
      <c r="I1651" s="30">
        <v>9235</v>
      </c>
      <c r="J1651" s="30">
        <v>9425</v>
      </c>
      <c r="K1651" s="30">
        <v>9360</v>
      </c>
      <c r="L1651" s="30">
        <v>9419</v>
      </c>
      <c r="M1651" s="30">
        <v>9483</v>
      </c>
      <c r="N1651" s="30">
        <v>9642</v>
      </c>
      <c r="O1651" s="24" t="str">
        <f t="shared" si="51"/>
        <v>Stillwater County, Montana</v>
      </c>
    </row>
    <row r="1652" spans="1:15" x14ac:dyDescent="0.25">
      <c r="A1652" s="35" t="s">
        <v>2128</v>
      </c>
      <c r="B1652" s="28" t="str">
        <f t="shared" si="50"/>
        <v>Sweet Grass</v>
      </c>
      <c r="C1652" s="30">
        <v>3651</v>
      </c>
      <c r="D1652" s="30">
        <v>3651</v>
      </c>
      <c r="E1652" s="30">
        <v>3619</v>
      </c>
      <c r="F1652" s="30">
        <v>3585</v>
      </c>
      <c r="G1652" s="30">
        <v>3581</v>
      </c>
      <c r="H1652" s="30">
        <v>3658</v>
      </c>
      <c r="I1652" s="30">
        <v>3639</v>
      </c>
      <c r="J1652" s="30">
        <v>3620</v>
      </c>
      <c r="K1652" s="30">
        <v>3616</v>
      </c>
      <c r="L1652" s="30">
        <v>3676</v>
      </c>
      <c r="M1652" s="30">
        <v>3703</v>
      </c>
      <c r="N1652" s="30">
        <v>3737</v>
      </c>
      <c r="O1652" s="24" t="str">
        <f t="shared" si="51"/>
        <v>Sweet Grass County, Montana</v>
      </c>
    </row>
    <row r="1653" spans="1:15" x14ac:dyDescent="0.25">
      <c r="A1653" s="35" t="s">
        <v>2129</v>
      </c>
      <c r="B1653" s="28" t="str">
        <f t="shared" si="50"/>
        <v>Teton</v>
      </c>
      <c r="C1653" s="30">
        <v>6073</v>
      </c>
      <c r="D1653" s="30">
        <v>6071</v>
      </c>
      <c r="E1653" s="30">
        <v>6074</v>
      </c>
      <c r="F1653" s="30">
        <v>6060</v>
      </c>
      <c r="G1653" s="30">
        <v>6057</v>
      </c>
      <c r="H1653" s="30">
        <v>6051</v>
      </c>
      <c r="I1653" s="30">
        <v>6031</v>
      </c>
      <c r="J1653" s="30">
        <v>6062</v>
      </c>
      <c r="K1653" s="30">
        <v>6011</v>
      </c>
      <c r="L1653" s="30">
        <v>6091</v>
      </c>
      <c r="M1653" s="30">
        <v>6117</v>
      </c>
      <c r="N1653" s="30">
        <v>6147</v>
      </c>
      <c r="O1653" s="24" t="str">
        <f t="shared" si="51"/>
        <v>Teton County, Montana</v>
      </c>
    </row>
    <row r="1654" spans="1:15" x14ac:dyDescent="0.25">
      <c r="A1654" s="35" t="s">
        <v>2130</v>
      </c>
      <c r="B1654" s="28" t="str">
        <f t="shared" si="50"/>
        <v>Toole</v>
      </c>
      <c r="C1654" s="30">
        <v>5324</v>
      </c>
      <c r="D1654" s="30">
        <v>5324</v>
      </c>
      <c r="E1654" s="30">
        <v>5343</v>
      </c>
      <c r="F1654" s="30">
        <v>5154</v>
      </c>
      <c r="G1654" s="30">
        <v>5217</v>
      </c>
      <c r="H1654" s="30">
        <v>5121</v>
      </c>
      <c r="I1654" s="30">
        <v>5117</v>
      </c>
      <c r="J1654" s="30">
        <v>5077</v>
      </c>
      <c r="K1654" s="30">
        <v>4951</v>
      </c>
      <c r="L1654" s="30">
        <v>4860</v>
      </c>
      <c r="M1654" s="30">
        <v>4835</v>
      </c>
      <c r="N1654" s="30">
        <v>4736</v>
      </c>
      <c r="O1654" s="24" t="str">
        <f t="shared" si="51"/>
        <v>Toole County, Montana</v>
      </c>
    </row>
    <row r="1655" spans="1:15" x14ac:dyDescent="0.25">
      <c r="A1655" s="35" t="s">
        <v>2131</v>
      </c>
      <c r="B1655" s="28" t="str">
        <f t="shared" si="50"/>
        <v>Treasure</v>
      </c>
      <c r="C1655" s="30">
        <v>718</v>
      </c>
      <c r="D1655" s="30">
        <v>718</v>
      </c>
      <c r="E1655" s="30">
        <v>718</v>
      </c>
      <c r="F1655" s="30">
        <v>713</v>
      </c>
      <c r="G1655" s="30">
        <v>722</v>
      </c>
      <c r="H1655" s="30">
        <v>693</v>
      </c>
      <c r="I1655" s="30">
        <v>689</v>
      </c>
      <c r="J1655" s="30">
        <v>684</v>
      </c>
      <c r="K1655" s="30">
        <v>680</v>
      </c>
      <c r="L1655" s="30">
        <v>673</v>
      </c>
      <c r="M1655" s="30">
        <v>673</v>
      </c>
      <c r="N1655" s="30">
        <v>696</v>
      </c>
      <c r="O1655" s="24" t="str">
        <f t="shared" si="51"/>
        <v>Treasure County, Montana</v>
      </c>
    </row>
    <row r="1656" spans="1:15" x14ac:dyDescent="0.25">
      <c r="A1656" s="35" t="s">
        <v>2132</v>
      </c>
      <c r="B1656" s="28" t="str">
        <f t="shared" si="50"/>
        <v>Valley</v>
      </c>
      <c r="C1656" s="30">
        <v>7369</v>
      </c>
      <c r="D1656" s="30">
        <v>7369</v>
      </c>
      <c r="E1656" s="30">
        <v>7378</v>
      </c>
      <c r="F1656" s="30">
        <v>7461</v>
      </c>
      <c r="G1656" s="30">
        <v>7499</v>
      </c>
      <c r="H1656" s="30">
        <v>7628</v>
      </c>
      <c r="I1656" s="30">
        <v>7627</v>
      </c>
      <c r="J1656" s="30">
        <v>7621</v>
      </c>
      <c r="K1656" s="30">
        <v>7532</v>
      </c>
      <c r="L1656" s="30">
        <v>7402</v>
      </c>
      <c r="M1656" s="30">
        <v>7406</v>
      </c>
      <c r="N1656" s="30">
        <v>7396</v>
      </c>
      <c r="O1656" s="24" t="str">
        <f t="shared" si="51"/>
        <v>Valley County, Montana</v>
      </c>
    </row>
    <row r="1657" spans="1:15" x14ac:dyDescent="0.25">
      <c r="A1657" s="35" t="s">
        <v>2133</v>
      </c>
      <c r="B1657" s="28" t="str">
        <f t="shared" si="50"/>
        <v>Wheatland</v>
      </c>
      <c r="C1657" s="30">
        <v>2168</v>
      </c>
      <c r="D1657" s="30">
        <v>2168</v>
      </c>
      <c r="E1657" s="30">
        <v>2156</v>
      </c>
      <c r="F1657" s="30">
        <v>2132</v>
      </c>
      <c r="G1657" s="30">
        <v>2091</v>
      </c>
      <c r="H1657" s="30">
        <v>2123</v>
      </c>
      <c r="I1657" s="30">
        <v>2090</v>
      </c>
      <c r="J1657" s="30">
        <v>2111</v>
      </c>
      <c r="K1657" s="30">
        <v>2130</v>
      </c>
      <c r="L1657" s="30">
        <v>2161</v>
      </c>
      <c r="M1657" s="30">
        <v>2184</v>
      </c>
      <c r="N1657" s="30">
        <v>2126</v>
      </c>
      <c r="O1657" s="24" t="str">
        <f t="shared" si="51"/>
        <v>Wheatland County, Montana</v>
      </c>
    </row>
    <row r="1658" spans="1:15" x14ac:dyDescent="0.25">
      <c r="A1658" s="35" t="s">
        <v>2134</v>
      </c>
      <c r="B1658" s="28" t="str">
        <f t="shared" si="50"/>
        <v>Wibaux</v>
      </c>
      <c r="C1658" s="30">
        <v>1017</v>
      </c>
      <c r="D1658" s="30">
        <v>1017</v>
      </c>
      <c r="E1658" s="30">
        <v>1008</v>
      </c>
      <c r="F1658" s="30">
        <v>982</v>
      </c>
      <c r="G1658" s="30">
        <v>1034</v>
      </c>
      <c r="H1658" s="30">
        <v>1101</v>
      </c>
      <c r="I1658" s="30">
        <v>1084</v>
      </c>
      <c r="J1658" s="30">
        <v>1072</v>
      </c>
      <c r="K1658" s="30">
        <v>1042</v>
      </c>
      <c r="L1658" s="30">
        <v>1018</v>
      </c>
      <c r="M1658" s="30">
        <v>1030</v>
      </c>
      <c r="N1658" s="30">
        <v>969</v>
      </c>
      <c r="O1658" s="24" t="str">
        <f t="shared" si="51"/>
        <v>Wibaux County, Montana</v>
      </c>
    </row>
    <row r="1659" spans="1:15" x14ac:dyDescent="0.25">
      <c r="A1659" s="35" t="s">
        <v>2135</v>
      </c>
      <c r="B1659" s="28" t="str">
        <f t="shared" si="50"/>
        <v>Yellowstone</v>
      </c>
      <c r="C1659" s="30">
        <v>147972</v>
      </c>
      <c r="D1659" s="30">
        <v>147991</v>
      </c>
      <c r="E1659" s="30">
        <v>148394</v>
      </c>
      <c r="F1659" s="30">
        <v>149772</v>
      </c>
      <c r="G1659" s="30">
        <v>151635</v>
      </c>
      <c r="H1659" s="30">
        <v>153775</v>
      </c>
      <c r="I1659" s="30">
        <v>155279</v>
      </c>
      <c r="J1659" s="30">
        <v>156529</v>
      </c>
      <c r="K1659" s="30">
        <v>157914</v>
      </c>
      <c r="L1659" s="30">
        <v>159266</v>
      </c>
      <c r="M1659" s="30">
        <v>160029</v>
      </c>
      <c r="N1659" s="30">
        <v>161300</v>
      </c>
      <c r="O1659" s="24" t="str">
        <f t="shared" si="51"/>
        <v>Yellowstone County, Montana</v>
      </c>
    </row>
    <row r="1660" spans="1:15" x14ac:dyDescent="0.25">
      <c r="A1660" s="35" t="s">
        <v>2136</v>
      </c>
      <c r="B1660" s="28" t="str">
        <f t="shared" si="50"/>
        <v>Adams</v>
      </c>
      <c r="C1660" s="30">
        <v>31364</v>
      </c>
      <c r="D1660" s="30">
        <v>31367</v>
      </c>
      <c r="E1660" s="30">
        <v>31328</v>
      </c>
      <c r="F1660" s="30">
        <v>31204</v>
      </c>
      <c r="G1660" s="30">
        <v>31345</v>
      </c>
      <c r="H1660" s="30">
        <v>31527</v>
      </c>
      <c r="I1660" s="30">
        <v>31389</v>
      </c>
      <c r="J1660" s="30">
        <v>31567</v>
      </c>
      <c r="K1660" s="30">
        <v>31683</v>
      </c>
      <c r="L1660" s="30">
        <v>31808</v>
      </c>
      <c r="M1660" s="30">
        <v>31514</v>
      </c>
      <c r="N1660" s="30">
        <v>31363</v>
      </c>
      <c r="O1660" s="24" t="str">
        <f t="shared" si="51"/>
        <v>Adams County, Nebraska</v>
      </c>
    </row>
    <row r="1661" spans="1:15" x14ac:dyDescent="0.25">
      <c r="A1661" s="35" t="s">
        <v>2137</v>
      </c>
      <c r="B1661" s="28" t="str">
        <f t="shared" si="50"/>
        <v>Antelope</v>
      </c>
      <c r="C1661" s="30">
        <v>6685</v>
      </c>
      <c r="D1661" s="30">
        <v>6685</v>
      </c>
      <c r="E1661" s="30">
        <v>6679</v>
      </c>
      <c r="F1661" s="30">
        <v>6621</v>
      </c>
      <c r="G1661" s="30">
        <v>6550</v>
      </c>
      <c r="H1661" s="30">
        <v>6472</v>
      </c>
      <c r="I1661" s="30">
        <v>6419</v>
      </c>
      <c r="J1661" s="30">
        <v>6415</v>
      </c>
      <c r="K1661" s="30">
        <v>6345</v>
      </c>
      <c r="L1661" s="30">
        <v>6341</v>
      </c>
      <c r="M1661" s="30">
        <v>6308</v>
      </c>
      <c r="N1661" s="30">
        <v>6298</v>
      </c>
      <c r="O1661" s="24" t="str">
        <f t="shared" si="51"/>
        <v>Antelope County, Nebraska</v>
      </c>
    </row>
    <row r="1662" spans="1:15" x14ac:dyDescent="0.25">
      <c r="A1662" s="35" t="s">
        <v>2138</v>
      </c>
      <c r="B1662" s="28" t="str">
        <f t="shared" si="50"/>
        <v>Arthur</v>
      </c>
      <c r="C1662" s="30">
        <v>460</v>
      </c>
      <c r="D1662" s="30">
        <v>460</v>
      </c>
      <c r="E1662" s="30">
        <v>465</v>
      </c>
      <c r="F1662" s="30">
        <v>468</v>
      </c>
      <c r="G1662" s="30">
        <v>479</v>
      </c>
      <c r="H1662" s="30">
        <v>454</v>
      </c>
      <c r="I1662" s="30">
        <v>451</v>
      </c>
      <c r="J1662" s="30">
        <v>451</v>
      </c>
      <c r="K1662" s="30">
        <v>466</v>
      </c>
      <c r="L1662" s="30">
        <v>455</v>
      </c>
      <c r="M1662" s="30">
        <v>462</v>
      </c>
      <c r="N1662" s="30">
        <v>463</v>
      </c>
      <c r="O1662" s="24" t="str">
        <f t="shared" si="51"/>
        <v>Arthur County, Nebraska</v>
      </c>
    </row>
    <row r="1663" spans="1:15" x14ac:dyDescent="0.25">
      <c r="A1663" s="35" t="s">
        <v>2139</v>
      </c>
      <c r="B1663" s="28" t="str">
        <f t="shared" si="50"/>
        <v>Banner</v>
      </c>
      <c r="C1663" s="30">
        <v>690</v>
      </c>
      <c r="D1663" s="30">
        <v>690</v>
      </c>
      <c r="E1663" s="30">
        <v>691</v>
      </c>
      <c r="F1663" s="30">
        <v>655</v>
      </c>
      <c r="G1663" s="30">
        <v>684</v>
      </c>
      <c r="H1663" s="30">
        <v>678</v>
      </c>
      <c r="I1663" s="30">
        <v>670</v>
      </c>
      <c r="J1663" s="30">
        <v>711</v>
      </c>
      <c r="K1663" s="30">
        <v>716</v>
      </c>
      <c r="L1663" s="30">
        <v>726</v>
      </c>
      <c r="M1663" s="30">
        <v>725</v>
      </c>
      <c r="N1663" s="30">
        <v>745</v>
      </c>
      <c r="O1663" s="24" t="str">
        <f t="shared" si="51"/>
        <v>Banner County, Nebraska</v>
      </c>
    </row>
    <row r="1664" spans="1:15" x14ac:dyDescent="0.25">
      <c r="A1664" s="35" t="s">
        <v>2140</v>
      </c>
      <c r="B1664" s="28" t="str">
        <f t="shared" si="50"/>
        <v>Blaine</v>
      </c>
      <c r="C1664" s="30">
        <v>478</v>
      </c>
      <c r="D1664" s="30">
        <v>478</v>
      </c>
      <c r="E1664" s="30">
        <v>478</v>
      </c>
      <c r="F1664" s="30">
        <v>475</v>
      </c>
      <c r="G1664" s="30">
        <v>498</v>
      </c>
      <c r="H1664" s="30">
        <v>470</v>
      </c>
      <c r="I1664" s="30">
        <v>490</v>
      </c>
      <c r="J1664" s="30">
        <v>477</v>
      </c>
      <c r="K1664" s="30">
        <v>470</v>
      </c>
      <c r="L1664" s="30">
        <v>479</v>
      </c>
      <c r="M1664" s="30">
        <v>480</v>
      </c>
      <c r="N1664" s="30">
        <v>465</v>
      </c>
      <c r="O1664" s="24" t="str">
        <f t="shared" si="51"/>
        <v>Blaine County, Nebraska</v>
      </c>
    </row>
    <row r="1665" spans="1:15" x14ac:dyDescent="0.25">
      <c r="A1665" s="35" t="s">
        <v>2141</v>
      </c>
      <c r="B1665" s="28" t="str">
        <f t="shared" si="50"/>
        <v>Boone</v>
      </c>
      <c r="C1665" s="30">
        <v>5505</v>
      </c>
      <c r="D1665" s="30">
        <v>5505</v>
      </c>
      <c r="E1665" s="30">
        <v>5511</v>
      </c>
      <c r="F1665" s="30">
        <v>5407</v>
      </c>
      <c r="G1665" s="30">
        <v>5429</v>
      </c>
      <c r="H1665" s="30">
        <v>5397</v>
      </c>
      <c r="I1665" s="30">
        <v>5357</v>
      </c>
      <c r="J1665" s="30">
        <v>5310</v>
      </c>
      <c r="K1665" s="30">
        <v>5333</v>
      </c>
      <c r="L1665" s="30">
        <v>5320</v>
      </c>
      <c r="M1665" s="30">
        <v>5241</v>
      </c>
      <c r="N1665" s="30">
        <v>5192</v>
      </c>
      <c r="O1665" s="24" t="str">
        <f t="shared" si="51"/>
        <v>Boone County, Nebraska</v>
      </c>
    </row>
    <row r="1666" spans="1:15" x14ac:dyDescent="0.25">
      <c r="A1666" s="35" t="s">
        <v>2142</v>
      </c>
      <c r="B1666" s="28" t="str">
        <f t="shared" si="50"/>
        <v>Box Butte</v>
      </c>
      <c r="C1666" s="30">
        <v>11308</v>
      </c>
      <c r="D1666" s="30">
        <v>11308</v>
      </c>
      <c r="E1666" s="30">
        <v>11275</v>
      </c>
      <c r="F1666" s="30">
        <v>11295</v>
      </c>
      <c r="G1666" s="30">
        <v>11265</v>
      </c>
      <c r="H1666" s="30">
        <v>11296</v>
      </c>
      <c r="I1666" s="30">
        <v>11298</v>
      </c>
      <c r="J1666" s="30">
        <v>11325</v>
      </c>
      <c r="K1666" s="30">
        <v>11176</v>
      </c>
      <c r="L1666" s="30">
        <v>10835</v>
      </c>
      <c r="M1666" s="30">
        <v>10733</v>
      </c>
      <c r="N1666" s="30">
        <v>10783</v>
      </c>
      <c r="O1666" s="24" t="str">
        <f t="shared" si="51"/>
        <v>Box Butte County, Nebraska</v>
      </c>
    </row>
    <row r="1667" spans="1:15" x14ac:dyDescent="0.25">
      <c r="A1667" s="35" t="s">
        <v>2143</v>
      </c>
      <c r="B1667" s="28" t="str">
        <f t="shared" si="50"/>
        <v>Boyd</v>
      </c>
      <c r="C1667" s="30">
        <v>2099</v>
      </c>
      <c r="D1667" s="30">
        <v>2099</v>
      </c>
      <c r="E1667" s="30">
        <v>2105</v>
      </c>
      <c r="F1667" s="30">
        <v>2079</v>
      </c>
      <c r="G1667" s="30">
        <v>2060</v>
      </c>
      <c r="H1667" s="30">
        <v>2016</v>
      </c>
      <c r="I1667" s="30">
        <v>2019</v>
      </c>
      <c r="J1667" s="30">
        <v>2002</v>
      </c>
      <c r="K1667" s="30">
        <v>1980</v>
      </c>
      <c r="L1667" s="30">
        <v>1955</v>
      </c>
      <c r="M1667" s="30">
        <v>1950</v>
      </c>
      <c r="N1667" s="30">
        <v>1919</v>
      </c>
      <c r="O1667" s="24" t="str">
        <f t="shared" si="51"/>
        <v>Boyd County, Nebraska</v>
      </c>
    </row>
    <row r="1668" spans="1:15" x14ac:dyDescent="0.25">
      <c r="A1668" s="35" t="s">
        <v>2144</v>
      </c>
      <c r="B1668" s="28" t="str">
        <f t="shared" si="50"/>
        <v>Brown</v>
      </c>
      <c r="C1668" s="30">
        <v>3145</v>
      </c>
      <c r="D1668" s="30">
        <v>3143</v>
      </c>
      <c r="E1668" s="30">
        <v>3155</v>
      </c>
      <c r="F1668" s="30">
        <v>3098</v>
      </c>
      <c r="G1668" s="30">
        <v>3052</v>
      </c>
      <c r="H1668" s="30">
        <v>2958</v>
      </c>
      <c r="I1668" s="30">
        <v>2974</v>
      </c>
      <c r="J1668" s="30">
        <v>2982</v>
      </c>
      <c r="K1668" s="30">
        <v>2980</v>
      </c>
      <c r="L1668" s="30">
        <v>3000</v>
      </c>
      <c r="M1668" s="30">
        <v>2967</v>
      </c>
      <c r="N1668" s="30">
        <v>2955</v>
      </c>
      <c r="O1668" s="24" t="str">
        <f t="shared" si="51"/>
        <v>Brown County, Nebraska</v>
      </c>
    </row>
    <row r="1669" spans="1:15" x14ac:dyDescent="0.25">
      <c r="A1669" s="35" t="s">
        <v>2145</v>
      </c>
      <c r="B1669" s="28" t="str">
        <f t="shared" si="50"/>
        <v>Buffalo</v>
      </c>
      <c r="C1669" s="30">
        <v>46102</v>
      </c>
      <c r="D1669" s="30">
        <v>46099</v>
      </c>
      <c r="E1669" s="30">
        <v>46175</v>
      </c>
      <c r="F1669" s="30">
        <v>46824</v>
      </c>
      <c r="G1669" s="30">
        <v>47637</v>
      </c>
      <c r="H1669" s="30">
        <v>47999</v>
      </c>
      <c r="I1669" s="30">
        <v>48200</v>
      </c>
      <c r="J1669" s="30">
        <v>48578</v>
      </c>
      <c r="K1669" s="30">
        <v>49104</v>
      </c>
      <c r="L1669" s="30">
        <v>49350</v>
      </c>
      <c r="M1669" s="30">
        <v>49352</v>
      </c>
      <c r="N1669" s="30">
        <v>49659</v>
      </c>
      <c r="O1669" s="24" t="str">
        <f t="shared" si="51"/>
        <v>Buffalo County, Nebraska</v>
      </c>
    </row>
    <row r="1670" spans="1:15" x14ac:dyDescent="0.25">
      <c r="A1670" s="35" t="s">
        <v>2146</v>
      </c>
      <c r="B1670" s="28" t="str">
        <f t="shared" si="50"/>
        <v>Burt</v>
      </c>
      <c r="C1670" s="30">
        <v>6858</v>
      </c>
      <c r="D1670" s="30">
        <v>6858</v>
      </c>
      <c r="E1670" s="30">
        <v>6842</v>
      </c>
      <c r="F1670" s="30">
        <v>6783</v>
      </c>
      <c r="G1670" s="30">
        <v>6681</v>
      </c>
      <c r="H1670" s="30">
        <v>6570</v>
      </c>
      <c r="I1670" s="30">
        <v>6546</v>
      </c>
      <c r="J1670" s="30">
        <v>6538</v>
      </c>
      <c r="K1670" s="30">
        <v>6537</v>
      </c>
      <c r="L1670" s="30">
        <v>6531</v>
      </c>
      <c r="M1670" s="30">
        <v>6486</v>
      </c>
      <c r="N1670" s="30">
        <v>6459</v>
      </c>
      <c r="O1670" s="24" t="str">
        <f t="shared" si="51"/>
        <v>Burt County, Nebraska</v>
      </c>
    </row>
    <row r="1671" spans="1:15" x14ac:dyDescent="0.25">
      <c r="A1671" s="35" t="s">
        <v>2147</v>
      </c>
      <c r="B1671" s="28" t="str">
        <f t="shared" ref="B1671:B1734" si="52">LEFT(A1671,FIND("County",A1671,1)-2)</f>
        <v>Butler</v>
      </c>
      <c r="C1671" s="30">
        <v>8395</v>
      </c>
      <c r="D1671" s="30">
        <v>8395</v>
      </c>
      <c r="E1671" s="30">
        <v>8374</v>
      </c>
      <c r="F1671" s="30">
        <v>8256</v>
      </c>
      <c r="G1671" s="30">
        <v>8252</v>
      </c>
      <c r="H1671" s="30">
        <v>8231</v>
      </c>
      <c r="I1671" s="30">
        <v>8181</v>
      </c>
      <c r="J1671" s="30">
        <v>8058</v>
      </c>
      <c r="K1671" s="30">
        <v>7996</v>
      </c>
      <c r="L1671" s="30">
        <v>8032</v>
      </c>
      <c r="M1671" s="30">
        <v>8043</v>
      </c>
      <c r="N1671" s="30">
        <v>8016</v>
      </c>
      <c r="O1671" s="24" t="str">
        <f t="shared" ref="O1671:O1734" si="53">A1671</f>
        <v>Butler County, Nebraska</v>
      </c>
    </row>
    <row r="1672" spans="1:15" x14ac:dyDescent="0.25">
      <c r="A1672" s="35" t="s">
        <v>2148</v>
      </c>
      <c r="B1672" s="28" t="str">
        <f t="shared" si="52"/>
        <v>Cass</v>
      </c>
      <c r="C1672" s="30">
        <v>25241</v>
      </c>
      <c r="D1672" s="30">
        <v>25241</v>
      </c>
      <c r="E1672" s="30">
        <v>25239</v>
      </c>
      <c r="F1672" s="30">
        <v>25237</v>
      </c>
      <c r="G1672" s="30">
        <v>25126</v>
      </c>
      <c r="H1672" s="30">
        <v>25295</v>
      </c>
      <c r="I1672" s="30">
        <v>25404</v>
      </c>
      <c r="J1672" s="30">
        <v>25421</v>
      </c>
      <c r="K1672" s="30">
        <v>25647</v>
      </c>
      <c r="L1672" s="30">
        <v>25935</v>
      </c>
      <c r="M1672" s="30">
        <v>26189</v>
      </c>
      <c r="N1672" s="30">
        <v>26248</v>
      </c>
      <c r="O1672" s="24" t="str">
        <f t="shared" si="53"/>
        <v>Cass County, Nebraska</v>
      </c>
    </row>
    <row r="1673" spans="1:15" x14ac:dyDescent="0.25">
      <c r="A1673" s="35" t="s">
        <v>2149</v>
      </c>
      <c r="B1673" s="28" t="str">
        <f t="shared" si="52"/>
        <v>Cedar</v>
      </c>
      <c r="C1673" s="30">
        <v>8852</v>
      </c>
      <c r="D1673" s="30">
        <v>8852</v>
      </c>
      <c r="E1673" s="30">
        <v>8819</v>
      </c>
      <c r="F1673" s="30">
        <v>8752</v>
      </c>
      <c r="G1673" s="30">
        <v>8699</v>
      </c>
      <c r="H1673" s="30">
        <v>8625</v>
      </c>
      <c r="I1673" s="30">
        <v>8542</v>
      </c>
      <c r="J1673" s="30">
        <v>8518</v>
      </c>
      <c r="K1673" s="30">
        <v>8604</v>
      </c>
      <c r="L1673" s="30">
        <v>8515</v>
      </c>
      <c r="M1673" s="30">
        <v>8453</v>
      </c>
      <c r="N1673" s="30">
        <v>8402</v>
      </c>
      <c r="O1673" s="24" t="str">
        <f t="shared" si="53"/>
        <v>Cedar County, Nebraska</v>
      </c>
    </row>
    <row r="1674" spans="1:15" x14ac:dyDescent="0.25">
      <c r="A1674" s="35" t="s">
        <v>2150</v>
      </c>
      <c r="B1674" s="28" t="str">
        <f t="shared" si="52"/>
        <v>Chase</v>
      </c>
      <c r="C1674" s="30">
        <v>3966</v>
      </c>
      <c r="D1674" s="30">
        <v>3966</v>
      </c>
      <c r="E1674" s="30">
        <v>3966</v>
      </c>
      <c r="F1674" s="30">
        <v>3983</v>
      </c>
      <c r="G1674" s="30">
        <v>4015</v>
      </c>
      <c r="H1674" s="30">
        <v>3981</v>
      </c>
      <c r="I1674" s="30">
        <v>3981</v>
      </c>
      <c r="J1674" s="30">
        <v>3963</v>
      </c>
      <c r="K1674" s="30">
        <v>3914</v>
      </c>
      <c r="L1674" s="30">
        <v>3928</v>
      </c>
      <c r="M1674" s="30">
        <v>3937</v>
      </c>
      <c r="N1674" s="30">
        <v>3924</v>
      </c>
      <c r="O1674" s="24" t="str">
        <f t="shared" si="53"/>
        <v>Chase County, Nebraska</v>
      </c>
    </row>
    <row r="1675" spans="1:15" x14ac:dyDescent="0.25">
      <c r="A1675" s="35" t="s">
        <v>2151</v>
      </c>
      <c r="B1675" s="28" t="str">
        <f t="shared" si="52"/>
        <v>Cherry</v>
      </c>
      <c r="C1675" s="30">
        <v>5713</v>
      </c>
      <c r="D1675" s="30">
        <v>5713</v>
      </c>
      <c r="E1675" s="30">
        <v>5694</v>
      </c>
      <c r="F1675" s="30">
        <v>5730</v>
      </c>
      <c r="G1675" s="30">
        <v>5732</v>
      </c>
      <c r="H1675" s="30">
        <v>5755</v>
      </c>
      <c r="I1675" s="30">
        <v>5744</v>
      </c>
      <c r="J1675" s="30">
        <v>5824</v>
      </c>
      <c r="K1675" s="30">
        <v>5829</v>
      </c>
      <c r="L1675" s="30">
        <v>5790</v>
      </c>
      <c r="M1675" s="30">
        <v>5763</v>
      </c>
      <c r="N1675" s="30">
        <v>5689</v>
      </c>
      <c r="O1675" s="24" t="str">
        <f t="shared" si="53"/>
        <v>Cherry County, Nebraska</v>
      </c>
    </row>
    <row r="1676" spans="1:15" x14ac:dyDescent="0.25">
      <c r="A1676" s="35" t="s">
        <v>2152</v>
      </c>
      <c r="B1676" s="28" t="str">
        <f t="shared" si="52"/>
        <v>Cheyenne</v>
      </c>
      <c r="C1676" s="30">
        <v>9998</v>
      </c>
      <c r="D1676" s="30">
        <v>9998</v>
      </c>
      <c r="E1676" s="30">
        <v>9968</v>
      </c>
      <c r="F1676" s="30">
        <v>9989</v>
      </c>
      <c r="G1676" s="30">
        <v>10073</v>
      </c>
      <c r="H1676" s="30">
        <v>10067</v>
      </c>
      <c r="I1676" s="30">
        <v>10113</v>
      </c>
      <c r="J1676" s="30">
        <v>10137</v>
      </c>
      <c r="K1676" s="30">
        <v>10047</v>
      </c>
      <c r="L1676" s="30">
        <v>9644</v>
      </c>
      <c r="M1676" s="30">
        <v>9282</v>
      </c>
      <c r="N1676" s="30">
        <v>8910</v>
      </c>
      <c r="O1676" s="24" t="str">
        <f t="shared" si="53"/>
        <v>Cheyenne County, Nebraska</v>
      </c>
    </row>
    <row r="1677" spans="1:15" x14ac:dyDescent="0.25">
      <c r="A1677" s="35" t="s">
        <v>2153</v>
      </c>
      <c r="B1677" s="28" t="str">
        <f t="shared" si="52"/>
        <v>Clay</v>
      </c>
      <c r="C1677" s="30">
        <v>6542</v>
      </c>
      <c r="D1677" s="30">
        <v>6539</v>
      </c>
      <c r="E1677" s="30">
        <v>6536</v>
      </c>
      <c r="F1677" s="30">
        <v>6453</v>
      </c>
      <c r="G1677" s="30">
        <v>6384</v>
      </c>
      <c r="H1677" s="30">
        <v>6358</v>
      </c>
      <c r="I1677" s="30">
        <v>6314</v>
      </c>
      <c r="J1677" s="30">
        <v>6291</v>
      </c>
      <c r="K1677" s="30">
        <v>6135</v>
      </c>
      <c r="L1677" s="30">
        <v>6186</v>
      </c>
      <c r="M1677" s="30">
        <v>6202</v>
      </c>
      <c r="N1677" s="30">
        <v>6203</v>
      </c>
      <c r="O1677" s="24" t="str">
        <f t="shared" si="53"/>
        <v>Clay County, Nebraska</v>
      </c>
    </row>
    <row r="1678" spans="1:15" x14ac:dyDescent="0.25">
      <c r="A1678" s="35" t="s">
        <v>2154</v>
      </c>
      <c r="B1678" s="28" t="str">
        <f t="shared" si="52"/>
        <v>Colfax</v>
      </c>
      <c r="C1678" s="30">
        <v>10515</v>
      </c>
      <c r="D1678" s="30">
        <v>10515</v>
      </c>
      <c r="E1678" s="30">
        <v>10540</v>
      </c>
      <c r="F1678" s="30">
        <v>10566</v>
      </c>
      <c r="G1678" s="30">
        <v>10552</v>
      </c>
      <c r="H1678" s="30">
        <v>10454</v>
      </c>
      <c r="I1678" s="30">
        <v>10663</v>
      </c>
      <c r="J1678" s="30">
        <v>10717</v>
      </c>
      <c r="K1678" s="30">
        <v>10712</v>
      </c>
      <c r="L1678" s="30">
        <v>10700</v>
      </c>
      <c r="M1678" s="30">
        <v>10734</v>
      </c>
      <c r="N1678" s="30">
        <v>10709</v>
      </c>
      <c r="O1678" s="24" t="str">
        <f t="shared" si="53"/>
        <v>Colfax County, Nebraska</v>
      </c>
    </row>
    <row r="1679" spans="1:15" x14ac:dyDescent="0.25">
      <c r="A1679" s="35" t="s">
        <v>2155</v>
      </c>
      <c r="B1679" s="28" t="str">
        <f t="shared" si="52"/>
        <v>Cuming</v>
      </c>
      <c r="C1679" s="30">
        <v>9139</v>
      </c>
      <c r="D1679" s="30">
        <v>9139</v>
      </c>
      <c r="E1679" s="30">
        <v>9160</v>
      </c>
      <c r="F1679" s="30">
        <v>9117</v>
      </c>
      <c r="G1679" s="30">
        <v>9082</v>
      </c>
      <c r="H1679" s="30">
        <v>9010</v>
      </c>
      <c r="I1679" s="30">
        <v>9017</v>
      </c>
      <c r="J1679" s="30">
        <v>9075</v>
      </c>
      <c r="K1679" s="30">
        <v>8957</v>
      </c>
      <c r="L1679" s="30">
        <v>8947</v>
      </c>
      <c r="M1679" s="30">
        <v>8935</v>
      </c>
      <c r="N1679" s="30">
        <v>8846</v>
      </c>
      <c r="O1679" s="24" t="str">
        <f t="shared" si="53"/>
        <v>Cuming County, Nebraska</v>
      </c>
    </row>
    <row r="1680" spans="1:15" x14ac:dyDescent="0.25">
      <c r="A1680" s="35" t="s">
        <v>2156</v>
      </c>
      <c r="B1680" s="28" t="str">
        <f t="shared" si="52"/>
        <v>Custer</v>
      </c>
      <c r="C1680" s="30">
        <v>10939</v>
      </c>
      <c r="D1680" s="30">
        <v>10939</v>
      </c>
      <c r="E1680" s="30">
        <v>10905</v>
      </c>
      <c r="F1680" s="30">
        <v>10903</v>
      </c>
      <c r="G1680" s="30">
        <v>10844</v>
      </c>
      <c r="H1680" s="30">
        <v>10828</v>
      </c>
      <c r="I1680" s="30">
        <v>10770</v>
      </c>
      <c r="J1680" s="30">
        <v>10828</v>
      </c>
      <c r="K1680" s="30">
        <v>10824</v>
      </c>
      <c r="L1680" s="30">
        <v>10869</v>
      </c>
      <c r="M1680" s="30">
        <v>10830</v>
      </c>
      <c r="N1680" s="30">
        <v>10777</v>
      </c>
      <c r="O1680" s="24" t="str">
        <f t="shared" si="53"/>
        <v>Custer County, Nebraska</v>
      </c>
    </row>
    <row r="1681" spans="1:15" x14ac:dyDescent="0.25">
      <c r="A1681" s="35" t="s">
        <v>2157</v>
      </c>
      <c r="B1681" s="28" t="str">
        <f t="shared" si="52"/>
        <v>Dakota</v>
      </c>
      <c r="C1681" s="30">
        <v>21006</v>
      </c>
      <c r="D1681" s="30">
        <v>21006</v>
      </c>
      <c r="E1681" s="30">
        <v>21034</v>
      </c>
      <c r="F1681" s="30">
        <v>20811</v>
      </c>
      <c r="G1681" s="30">
        <v>20714</v>
      </c>
      <c r="H1681" s="30">
        <v>20765</v>
      </c>
      <c r="I1681" s="30">
        <v>20547</v>
      </c>
      <c r="J1681" s="30">
        <v>20550</v>
      </c>
      <c r="K1681" s="30">
        <v>20279</v>
      </c>
      <c r="L1681" s="30">
        <v>20010</v>
      </c>
      <c r="M1681" s="30">
        <v>20002</v>
      </c>
      <c r="N1681" s="30">
        <v>20026</v>
      </c>
      <c r="O1681" s="24" t="str">
        <f t="shared" si="53"/>
        <v>Dakota County, Nebraska</v>
      </c>
    </row>
    <row r="1682" spans="1:15" x14ac:dyDescent="0.25">
      <c r="A1682" s="35" t="s">
        <v>2158</v>
      </c>
      <c r="B1682" s="28" t="str">
        <f t="shared" si="52"/>
        <v>Dawes</v>
      </c>
      <c r="C1682" s="30">
        <v>9182</v>
      </c>
      <c r="D1682" s="30">
        <v>9182</v>
      </c>
      <c r="E1682" s="30">
        <v>9168</v>
      </c>
      <c r="F1682" s="30">
        <v>9203</v>
      </c>
      <c r="G1682" s="30">
        <v>9133</v>
      </c>
      <c r="H1682" s="30">
        <v>9062</v>
      </c>
      <c r="I1682" s="30">
        <v>9018</v>
      </c>
      <c r="J1682" s="30">
        <v>8958</v>
      </c>
      <c r="K1682" s="30">
        <v>8911</v>
      </c>
      <c r="L1682" s="30">
        <v>8888</v>
      </c>
      <c r="M1682" s="30">
        <v>8705</v>
      </c>
      <c r="N1682" s="30">
        <v>8589</v>
      </c>
      <c r="O1682" s="24" t="str">
        <f t="shared" si="53"/>
        <v>Dawes County, Nebraska</v>
      </c>
    </row>
    <row r="1683" spans="1:15" x14ac:dyDescent="0.25">
      <c r="A1683" s="35" t="s">
        <v>2159</v>
      </c>
      <c r="B1683" s="28" t="str">
        <f t="shared" si="52"/>
        <v>Dawson</v>
      </c>
      <c r="C1683" s="30">
        <v>24326</v>
      </c>
      <c r="D1683" s="30">
        <v>24326</v>
      </c>
      <c r="E1683" s="30">
        <v>24312</v>
      </c>
      <c r="F1683" s="30">
        <v>24216</v>
      </c>
      <c r="G1683" s="30">
        <v>23977</v>
      </c>
      <c r="H1683" s="30">
        <v>24016</v>
      </c>
      <c r="I1683" s="30">
        <v>23986</v>
      </c>
      <c r="J1683" s="30">
        <v>23892</v>
      </c>
      <c r="K1683" s="30">
        <v>23779</v>
      </c>
      <c r="L1683" s="30">
        <v>23657</v>
      </c>
      <c r="M1683" s="30">
        <v>23744</v>
      </c>
      <c r="N1683" s="30">
        <v>23595</v>
      </c>
      <c r="O1683" s="24" t="str">
        <f t="shared" si="53"/>
        <v>Dawson County, Nebraska</v>
      </c>
    </row>
    <row r="1684" spans="1:15" x14ac:dyDescent="0.25">
      <c r="A1684" s="35" t="s">
        <v>2160</v>
      </c>
      <c r="B1684" s="28" t="str">
        <f t="shared" si="52"/>
        <v>Deuel</v>
      </c>
      <c r="C1684" s="30">
        <v>1941</v>
      </c>
      <c r="D1684" s="30">
        <v>1932</v>
      </c>
      <c r="E1684" s="30">
        <v>1925</v>
      </c>
      <c r="F1684" s="30">
        <v>1957</v>
      </c>
      <c r="G1684" s="30">
        <v>1959</v>
      </c>
      <c r="H1684" s="30">
        <v>1920</v>
      </c>
      <c r="I1684" s="30">
        <v>1926</v>
      </c>
      <c r="J1684" s="30">
        <v>1910</v>
      </c>
      <c r="K1684" s="30">
        <v>1861</v>
      </c>
      <c r="L1684" s="30">
        <v>1861</v>
      </c>
      <c r="M1684" s="30">
        <v>1821</v>
      </c>
      <c r="N1684" s="30">
        <v>1794</v>
      </c>
      <c r="O1684" s="24" t="str">
        <f t="shared" si="53"/>
        <v>Deuel County, Nebraska</v>
      </c>
    </row>
    <row r="1685" spans="1:15" x14ac:dyDescent="0.25">
      <c r="A1685" s="35" t="s">
        <v>2161</v>
      </c>
      <c r="B1685" s="28" t="str">
        <f t="shared" si="52"/>
        <v>Dixon</v>
      </c>
      <c r="C1685" s="30">
        <v>6000</v>
      </c>
      <c r="D1685" s="30">
        <v>6003</v>
      </c>
      <c r="E1685" s="30">
        <v>5988</v>
      </c>
      <c r="F1685" s="30">
        <v>5998</v>
      </c>
      <c r="G1685" s="30">
        <v>5888</v>
      </c>
      <c r="H1685" s="30">
        <v>5815</v>
      </c>
      <c r="I1685" s="30">
        <v>5760</v>
      </c>
      <c r="J1685" s="30">
        <v>5769</v>
      </c>
      <c r="K1685" s="30">
        <v>5742</v>
      </c>
      <c r="L1685" s="30">
        <v>5746</v>
      </c>
      <c r="M1685" s="30">
        <v>5700</v>
      </c>
      <c r="N1685" s="30">
        <v>5636</v>
      </c>
      <c r="O1685" s="24" t="str">
        <f t="shared" si="53"/>
        <v>Dixon County, Nebraska</v>
      </c>
    </row>
    <row r="1686" spans="1:15" x14ac:dyDescent="0.25">
      <c r="A1686" s="35" t="s">
        <v>2162</v>
      </c>
      <c r="B1686" s="28" t="str">
        <f t="shared" si="52"/>
        <v>Dodge</v>
      </c>
      <c r="C1686" s="30">
        <v>36691</v>
      </c>
      <c r="D1686" s="30">
        <v>36685</v>
      </c>
      <c r="E1686" s="30">
        <v>36673</v>
      </c>
      <c r="F1686" s="30">
        <v>36930</v>
      </c>
      <c r="G1686" s="30">
        <v>36590</v>
      </c>
      <c r="H1686" s="30">
        <v>36497</v>
      </c>
      <c r="I1686" s="30">
        <v>36614</v>
      </c>
      <c r="J1686" s="30">
        <v>36567</v>
      </c>
      <c r="K1686" s="30">
        <v>36677</v>
      </c>
      <c r="L1686" s="30">
        <v>36789</v>
      </c>
      <c r="M1686" s="30">
        <v>36725</v>
      </c>
      <c r="N1686" s="30">
        <v>36565</v>
      </c>
      <c r="O1686" s="24" t="str">
        <f t="shared" si="53"/>
        <v>Dodge County, Nebraska</v>
      </c>
    </row>
    <row r="1687" spans="1:15" x14ac:dyDescent="0.25">
      <c r="A1687" s="35" t="s">
        <v>2163</v>
      </c>
      <c r="B1687" s="28" t="str">
        <f t="shared" si="52"/>
        <v>Douglas</v>
      </c>
      <c r="C1687" s="30">
        <v>517110</v>
      </c>
      <c r="D1687" s="30">
        <v>517116</v>
      </c>
      <c r="E1687" s="30">
        <v>518574</v>
      </c>
      <c r="F1687" s="30">
        <v>524167</v>
      </c>
      <c r="G1687" s="30">
        <v>530755</v>
      </c>
      <c r="H1687" s="30">
        <v>536734</v>
      </c>
      <c r="I1687" s="30">
        <v>543005</v>
      </c>
      <c r="J1687" s="30">
        <v>549029</v>
      </c>
      <c r="K1687" s="30">
        <v>555607</v>
      </c>
      <c r="L1687" s="30">
        <v>560733</v>
      </c>
      <c r="M1687" s="30">
        <v>566391</v>
      </c>
      <c r="N1687" s="30">
        <v>571327</v>
      </c>
      <c r="O1687" s="24" t="str">
        <f t="shared" si="53"/>
        <v>Douglas County, Nebraska</v>
      </c>
    </row>
    <row r="1688" spans="1:15" x14ac:dyDescent="0.25">
      <c r="A1688" s="35" t="s">
        <v>2164</v>
      </c>
      <c r="B1688" s="28" t="str">
        <f t="shared" si="52"/>
        <v>Dundy</v>
      </c>
      <c r="C1688" s="30">
        <v>2008</v>
      </c>
      <c r="D1688" s="30">
        <v>2008</v>
      </c>
      <c r="E1688" s="30">
        <v>2008</v>
      </c>
      <c r="F1688" s="30">
        <v>1976</v>
      </c>
      <c r="G1688" s="30">
        <v>1979</v>
      </c>
      <c r="H1688" s="30">
        <v>1955</v>
      </c>
      <c r="I1688" s="30">
        <v>1863</v>
      </c>
      <c r="J1688" s="30">
        <v>1770</v>
      </c>
      <c r="K1688" s="30">
        <v>1806</v>
      </c>
      <c r="L1688" s="30">
        <v>1783</v>
      </c>
      <c r="M1688" s="30">
        <v>1764</v>
      </c>
      <c r="N1688" s="30">
        <v>1693</v>
      </c>
      <c r="O1688" s="24" t="str">
        <f t="shared" si="53"/>
        <v>Dundy County, Nebraska</v>
      </c>
    </row>
    <row r="1689" spans="1:15" x14ac:dyDescent="0.25">
      <c r="A1689" s="35" t="s">
        <v>2165</v>
      </c>
      <c r="B1689" s="28" t="str">
        <f t="shared" si="52"/>
        <v>Fillmore</v>
      </c>
      <c r="C1689" s="30">
        <v>5890</v>
      </c>
      <c r="D1689" s="30">
        <v>5890</v>
      </c>
      <c r="E1689" s="30">
        <v>5871</v>
      </c>
      <c r="F1689" s="30">
        <v>5827</v>
      </c>
      <c r="G1689" s="30">
        <v>5713</v>
      </c>
      <c r="H1689" s="30">
        <v>5637</v>
      </c>
      <c r="I1689" s="30">
        <v>5604</v>
      </c>
      <c r="J1689" s="30">
        <v>5553</v>
      </c>
      <c r="K1689" s="30">
        <v>5622</v>
      </c>
      <c r="L1689" s="30">
        <v>5561</v>
      </c>
      <c r="M1689" s="30">
        <v>5535</v>
      </c>
      <c r="N1689" s="30">
        <v>5462</v>
      </c>
      <c r="O1689" s="24" t="str">
        <f t="shared" si="53"/>
        <v>Fillmore County, Nebraska</v>
      </c>
    </row>
    <row r="1690" spans="1:15" x14ac:dyDescent="0.25">
      <c r="A1690" s="35" t="s">
        <v>2166</v>
      </c>
      <c r="B1690" s="28" t="str">
        <f t="shared" si="52"/>
        <v>Franklin</v>
      </c>
      <c r="C1690" s="30">
        <v>3225</v>
      </c>
      <c r="D1690" s="30">
        <v>3225</v>
      </c>
      <c r="E1690" s="30">
        <v>3244</v>
      </c>
      <c r="F1690" s="30">
        <v>3204</v>
      </c>
      <c r="G1690" s="30">
        <v>3183</v>
      </c>
      <c r="H1690" s="30">
        <v>3063</v>
      </c>
      <c r="I1690" s="30">
        <v>3046</v>
      </c>
      <c r="J1690" s="30">
        <v>2977</v>
      </c>
      <c r="K1690" s="30">
        <v>2994</v>
      </c>
      <c r="L1690" s="30">
        <v>2974</v>
      </c>
      <c r="M1690" s="30">
        <v>3013</v>
      </c>
      <c r="N1690" s="30">
        <v>2979</v>
      </c>
      <c r="O1690" s="24" t="str">
        <f t="shared" si="53"/>
        <v>Franklin County, Nebraska</v>
      </c>
    </row>
    <row r="1691" spans="1:15" x14ac:dyDescent="0.25">
      <c r="A1691" s="35" t="s">
        <v>2167</v>
      </c>
      <c r="B1691" s="28" t="str">
        <f t="shared" si="52"/>
        <v>Frontier</v>
      </c>
      <c r="C1691" s="30">
        <v>2756</v>
      </c>
      <c r="D1691" s="30">
        <v>2756</v>
      </c>
      <c r="E1691" s="30">
        <v>2760</v>
      </c>
      <c r="F1691" s="30">
        <v>2714</v>
      </c>
      <c r="G1691" s="30">
        <v>2719</v>
      </c>
      <c r="H1691" s="30">
        <v>2716</v>
      </c>
      <c r="I1691" s="30">
        <v>2722</v>
      </c>
      <c r="J1691" s="30">
        <v>2631</v>
      </c>
      <c r="K1691" s="30">
        <v>2645</v>
      </c>
      <c r="L1691" s="30">
        <v>2623</v>
      </c>
      <c r="M1691" s="30">
        <v>2600</v>
      </c>
      <c r="N1691" s="30">
        <v>2627</v>
      </c>
      <c r="O1691" s="24" t="str">
        <f t="shared" si="53"/>
        <v>Frontier County, Nebraska</v>
      </c>
    </row>
    <row r="1692" spans="1:15" x14ac:dyDescent="0.25">
      <c r="A1692" s="35" t="s">
        <v>2168</v>
      </c>
      <c r="B1692" s="28" t="str">
        <f t="shared" si="52"/>
        <v>Furnas</v>
      </c>
      <c r="C1692" s="30">
        <v>4959</v>
      </c>
      <c r="D1692" s="30">
        <v>4959</v>
      </c>
      <c r="E1692" s="30">
        <v>4945</v>
      </c>
      <c r="F1692" s="30">
        <v>4915</v>
      </c>
      <c r="G1692" s="30">
        <v>4882</v>
      </c>
      <c r="H1692" s="30">
        <v>4830</v>
      </c>
      <c r="I1692" s="30">
        <v>4853</v>
      </c>
      <c r="J1692" s="30">
        <v>4831</v>
      </c>
      <c r="K1692" s="30">
        <v>4762</v>
      </c>
      <c r="L1692" s="30">
        <v>4763</v>
      </c>
      <c r="M1692" s="30">
        <v>4701</v>
      </c>
      <c r="N1692" s="30">
        <v>4676</v>
      </c>
      <c r="O1692" s="24" t="str">
        <f t="shared" si="53"/>
        <v>Furnas County, Nebraska</v>
      </c>
    </row>
    <row r="1693" spans="1:15" x14ac:dyDescent="0.25">
      <c r="A1693" s="35" t="s">
        <v>2169</v>
      </c>
      <c r="B1693" s="28" t="str">
        <f t="shared" si="52"/>
        <v>Gage</v>
      </c>
      <c r="C1693" s="30">
        <v>22311</v>
      </c>
      <c r="D1693" s="30">
        <v>22311</v>
      </c>
      <c r="E1693" s="30">
        <v>22269</v>
      </c>
      <c r="F1693" s="30">
        <v>21908</v>
      </c>
      <c r="G1693" s="30">
        <v>21654</v>
      </c>
      <c r="H1693" s="30">
        <v>21767</v>
      </c>
      <c r="I1693" s="30">
        <v>21557</v>
      </c>
      <c r="J1693" s="30">
        <v>21715</v>
      </c>
      <c r="K1693" s="30">
        <v>21625</v>
      </c>
      <c r="L1693" s="30">
        <v>21621</v>
      </c>
      <c r="M1693" s="30">
        <v>21495</v>
      </c>
      <c r="N1693" s="30">
        <v>21513</v>
      </c>
      <c r="O1693" s="24" t="str">
        <f t="shared" si="53"/>
        <v>Gage County, Nebraska</v>
      </c>
    </row>
    <row r="1694" spans="1:15" x14ac:dyDescent="0.25">
      <c r="A1694" s="35" t="s">
        <v>2170</v>
      </c>
      <c r="B1694" s="28" t="str">
        <f t="shared" si="52"/>
        <v>Garden</v>
      </c>
      <c r="C1694" s="30">
        <v>2057</v>
      </c>
      <c r="D1694" s="30">
        <v>2057</v>
      </c>
      <c r="E1694" s="30">
        <v>2075</v>
      </c>
      <c r="F1694" s="30">
        <v>2062</v>
      </c>
      <c r="G1694" s="30">
        <v>1983</v>
      </c>
      <c r="H1694" s="30">
        <v>1923</v>
      </c>
      <c r="I1694" s="30">
        <v>1908</v>
      </c>
      <c r="J1694" s="30">
        <v>1916</v>
      </c>
      <c r="K1694" s="30">
        <v>1907</v>
      </c>
      <c r="L1694" s="30">
        <v>1890</v>
      </c>
      <c r="M1694" s="30">
        <v>1890</v>
      </c>
      <c r="N1694" s="30">
        <v>1837</v>
      </c>
      <c r="O1694" s="24" t="str">
        <f t="shared" si="53"/>
        <v>Garden County, Nebraska</v>
      </c>
    </row>
    <row r="1695" spans="1:15" x14ac:dyDescent="0.25">
      <c r="A1695" s="35" t="s">
        <v>2171</v>
      </c>
      <c r="B1695" s="28" t="str">
        <f t="shared" si="52"/>
        <v>Garfield</v>
      </c>
      <c r="C1695" s="30">
        <v>2049</v>
      </c>
      <c r="D1695" s="30">
        <v>2049</v>
      </c>
      <c r="E1695" s="30">
        <v>2035</v>
      </c>
      <c r="F1695" s="30">
        <v>2010</v>
      </c>
      <c r="G1695" s="30">
        <v>1994</v>
      </c>
      <c r="H1695" s="30">
        <v>2022</v>
      </c>
      <c r="I1695" s="30">
        <v>2000</v>
      </c>
      <c r="J1695" s="30">
        <v>2014</v>
      </c>
      <c r="K1695" s="30">
        <v>1994</v>
      </c>
      <c r="L1695" s="30">
        <v>1986</v>
      </c>
      <c r="M1695" s="30">
        <v>1974</v>
      </c>
      <c r="N1695" s="30">
        <v>1969</v>
      </c>
      <c r="O1695" s="24" t="str">
        <f t="shared" si="53"/>
        <v>Garfield County, Nebraska</v>
      </c>
    </row>
    <row r="1696" spans="1:15" x14ac:dyDescent="0.25">
      <c r="A1696" s="35" t="s">
        <v>2172</v>
      </c>
      <c r="B1696" s="28" t="str">
        <f t="shared" si="52"/>
        <v>Gosper</v>
      </c>
      <c r="C1696" s="30">
        <v>2044</v>
      </c>
      <c r="D1696" s="30">
        <v>2044</v>
      </c>
      <c r="E1696" s="30">
        <v>2040</v>
      </c>
      <c r="F1696" s="30">
        <v>1991</v>
      </c>
      <c r="G1696" s="30">
        <v>2080</v>
      </c>
      <c r="H1696" s="30">
        <v>2017</v>
      </c>
      <c r="I1696" s="30">
        <v>2004</v>
      </c>
      <c r="J1696" s="30">
        <v>2025</v>
      </c>
      <c r="K1696" s="30">
        <v>2025</v>
      </c>
      <c r="L1696" s="30">
        <v>2028</v>
      </c>
      <c r="M1696" s="30">
        <v>1996</v>
      </c>
      <c r="N1696" s="30">
        <v>1990</v>
      </c>
      <c r="O1696" s="24" t="str">
        <f t="shared" si="53"/>
        <v>Gosper County, Nebraska</v>
      </c>
    </row>
    <row r="1697" spans="1:15" x14ac:dyDescent="0.25">
      <c r="A1697" s="35" t="s">
        <v>2173</v>
      </c>
      <c r="B1697" s="28" t="str">
        <f t="shared" si="52"/>
        <v>Grant</v>
      </c>
      <c r="C1697" s="30">
        <v>614</v>
      </c>
      <c r="D1697" s="30">
        <v>614</v>
      </c>
      <c r="E1697" s="30">
        <v>613</v>
      </c>
      <c r="F1697" s="30">
        <v>634</v>
      </c>
      <c r="G1697" s="30">
        <v>625</v>
      </c>
      <c r="H1697" s="30">
        <v>633</v>
      </c>
      <c r="I1697" s="30">
        <v>626</v>
      </c>
      <c r="J1697" s="30">
        <v>646</v>
      </c>
      <c r="K1697" s="30">
        <v>665</v>
      </c>
      <c r="L1697" s="30">
        <v>649</v>
      </c>
      <c r="M1697" s="30">
        <v>657</v>
      </c>
      <c r="N1697" s="30">
        <v>623</v>
      </c>
      <c r="O1697" s="24" t="str">
        <f t="shared" si="53"/>
        <v>Grant County, Nebraska</v>
      </c>
    </row>
    <row r="1698" spans="1:15" x14ac:dyDescent="0.25">
      <c r="A1698" s="35" t="s">
        <v>2174</v>
      </c>
      <c r="B1698" s="28" t="str">
        <f t="shared" si="52"/>
        <v>Greeley</v>
      </c>
      <c r="C1698" s="30">
        <v>2538</v>
      </c>
      <c r="D1698" s="30">
        <v>2538</v>
      </c>
      <c r="E1698" s="30">
        <v>2546</v>
      </c>
      <c r="F1698" s="30">
        <v>2535</v>
      </c>
      <c r="G1698" s="30">
        <v>2464</v>
      </c>
      <c r="H1698" s="30">
        <v>2483</v>
      </c>
      <c r="I1698" s="30">
        <v>2483</v>
      </c>
      <c r="J1698" s="30">
        <v>2435</v>
      </c>
      <c r="K1698" s="30">
        <v>2400</v>
      </c>
      <c r="L1698" s="30">
        <v>2363</v>
      </c>
      <c r="M1698" s="30">
        <v>2355</v>
      </c>
      <c r="N1698" s="30">
        <v>2356</v>
      </c>
      <c r="O1698" s="24" t="str">
        <f t="shared" si="53"/>
        <v>Greeley County, Nebraska</v>
      </c>
    </row>
    <row r="1699" spans="1:15" x14ac:dyDescent="0.25">
      <c r="A1699" s="35" t="s">
        <v>2175</v>
      </c>
      <c r="B1699" s="28" t="str">
        <f t="shared" si="52"/>
        <v>Hall</v>
      </c>
      <c r="C1699" s="30">
        <v>58607</v>
      </c>
      <c r="D1699" s="30">
        <v>58611</v>
      </c>
      <c r="E1699" s="30">
        <v>58805</v>
      </c>
      <c r="F1699" s="30">
        <v>59492</v>
      </c>
      <c r="G1699" s="30">
        <v>60095</v>
      </c>
      <c r="H1699" s="30">
        <v>60485</v>
      </c>
      <c r="I1699" s="30">
        <v>61099</v>
      </c>
      <c r="J1699" s="30">
        <v>61132</v>
      </c>
      <c r="K1699" s="30">
        <v>61353</v>
      </c>
      <c r="L1699" s="30">
        <v>61201</v>
      </c>
      <c r="M1699" s="30">
        <v>61286</v>
      </c>
      <c r="N1699" s="30">
        <v>61353</v>
      </c>
      <c r="O1699" s="24" t="str">
        <f t="shared" si="53"/>
        <v>Hall County, Nebraska</v>
      </c>
    </row>
    <row r="1700" spans="1:15" x14ac:dyDescent="0.25">
      <c r="A1700" s="35" t="s">
        <v>2176</v>
      </c>
      <c r="B1700" s="28" t="str">
        <f t="shared" si="52"/>
        <v>Hamilton</v>
      </c>
      <c r="C1700" s="30">
        <v>9124</v>
      </c>
      <c r="D1700" s="30">
        <v>9114</v>
      </c>
      <c r="E1700" s="30">
        <v>9127</v>
      </c>
      <c r="F1700" s="30">
        <v>9078</v>
      </c>
      <c r="G1700" s="30">
        <v>9040</v>
      </c>
      <c r="H1700" s="30">
        <v>9122</v>
      </c>
      <c r="I1700" s="30">
        <v>9102</v>
      </c>
      <c r="J1700" s="30">
        <v>9141</v>
      </c>
      <c r="K1700" s="30">
        <v>9158</v>
      </c>
      <c r="L1700" s="30">
        <v>9194</v>
      </c>
      <c r="M1700" s="30">
        <v>9260</v>
      </c>
      <c r="N1700" s="30">
        <v>9324</v>
      </c>
      <c r="O1700" s="24" t="str">
        <f t="shared" si="53"/>
        <v>Hamilton County, Nebraska</v>
      </c>
    </row>
    <row r="1701" spans="1:15" x14ac:dyDescent="0.25">
      <c r="A1701" s="35" t="s">
        <v>2177</v>
      </c>
      <c r="B1701" s="28" t="str">
        <f t="shared" si="52"/>
        <v>Harlan</v>
      </c>
      <c r="C1701" s="30">
        <v>3423</v>
      </c>
      <c r="D1701" s="30">
        <v>3417</v>
      </c>
      <c r="E1701" s="30">
        <v>3422</v>
      </c>
      <c r="F1701" s="30">
        <v>3436</v>
      </c>
      <c r="G1701" s="30">
        <v>3411</v>
      </c>
      <c r="H1701" s="30">
        <v>3488</v>
      </c>
      <c r="I1701" s="30">
        <v>3468</v>
      </c>
      <c r="J1701" s="30">
        <v>3441</v>
      </c>
      <c r="K1701" s="30">
        <v>3451</v>
      </c>
      <c r="L1701" s="30">
        <v>3415</v>
      </c>
      <c r="M1701" s="30">
        <v>3386</v>
      </c>
      <c r="N1701" s="30">
        <v>3380</v>
      </c>
      <c r="O1701" s="24" t="str">
        <f t="shared" si="53"/>
        <v>Harlan County, Nebraska</v>
      </c>
    </row>
    <row r="1702" spans="1:15" x14ac:dyDescent="0.25">
      <c r="A1702" s="35" t="s">
        <v>2178</v>
      </c>
      <c r="B1702" s="28" t="str">
        <f t="shared" si="52"/>
        <v>Hayes</v>
      </c>
      <c r="C1702" s="30">
        <v>967</v>
      </c>
      <c r="D1702" s="30">
        <v>960</v>
      </c>
      <c r="E1702" s="30">
        <v>956</v>
      </c>
      <c r="F1702" s="30">
        <v>952</v>
      </c>
      <c r="G1702" s="30">
        <v>919</v>
      </c>
      <c r="H1702" s="30">
        <v>947</v>
      </c>
      <c r="I1702" s="30">
        <v>910</v>
      </c>
      <c r="J1702" s="30">
        <v>915</v>
      </c>
      <c r="K1702" s="30">
        <v>891</v>
      </c>
      <c r="L1702" s="30">
        <v>893</v>
      </c>
      <c r="M1702" s="30">
        <v>917</v>
      </c>
      <c r="N1702" s="30">
        <v>922</v>
      </c>
      <c r="O1702" s="24" t="str">
        <f t="shared" si="53"/>
        <v>Hayes County, Nebraska</v>
      </c>
    </row>
    <row r="1703" spans="1:15" x14ac:dyDescent="0.25">
      <c r="A1703" s="35" t="s">
        <v>2179</v>
      </c>
      <c r="B1703" s="28" t="str">
        <f t="shared" si="52"/>
        <v>Hitchcock</v>
      </c>
      <c r="C1703" s="30">
        <v>2908</v>
      </c>
      <c r="D1703" s="30">
        <v>2908</v>
      </c>
      <c r="E1703" s="30">
        <v>2897</v>
      </c>
      <c r="F1703" s="30">
        <v>2857</v>
      </c>
      <c r="G1703" s="30">
        <v>2873</v>
      </c>
      <c r="H1703" s="30">
        <v>2853</v>
      </c>
      <c r="I1703" s="30">
        <v>2879</v>
      </c>
      <c r="J1703" s="30">
        <v>2879</v>
      </c>
      <c r="K1703" s="30">
        <v>2828</v>
      </c>
      <c r="L1703" s="30">
        <v>2806</v>
      </c>
      <c r="M1703" s="30">
        <v>2801</v>
      </c>
      <c r="N1703" s="30">
        <v>2762</v>
      </c>
      <c r="O1703" s="24" t="str">
        <f t="shared" si="53"/>
        <v>Hitchcock County, Nebraska</v>
      </c>
    </row>
    <row r="1704" spans="1:15" x14ac:dyDescent="0.25">
      <c r="A1704" s="35" t="s">
        <v>2180</v>
      </c>
      <c r="B1704" s="28" t="str">
        <f t="shared" si="52"/>
        <v>Holt</v>
      </c>
      <c r="C1704" s="30">
        <v>10435</v>
      </c>
      <c r="D1704" s="30">
        <v>10435</v>
      </c>
      <c r="E1704" s="30">
        <v>10434</v>
      </c>
      <c r="F1704" s="30">
        <v>10443</v>
      </c>
      <c r="G1704" s="30">
        <v>10376</v>
      </c>
      <c r="H1704" s="30">
        <v>10380</v>
      </c>
      <c r="I1704" s="30">
        <v>10359</v>
      </c>
      <c r="J1704" s="30">
        <v>10263</v>
      </c>
      <c r="K1704" s="30">
        <v>10223</v>
      </c>
      <c r="L1704" s="30">
        <v>10182</v>
      </c>
      <c r="M1704" s="30">
        <v>10148</v>
      </c>
      <c r="N1704" s="30">
        <v>10067</v>
      </c>
      <c r="O1704" s="24" t="str">
        <f t="shared" si="53"/>
        <v>Holt County, Nebraska</v>
      </c>
    </row>
    <row r="1705" spans="1:15" x14ac:dyDescent="0.25">
      <c r="A1705" s="35" t="s">
        <v>2181</v>
      </c>
      <c r="B1705" s="28" t="str">
        <f t="shared" si="52"/>
        <v>Hooker</v>
      </c>
      <c r="C1705" s="30">
        <v>736</v>
      </c>
      <c r="D1705" s="30">
        <v>736</v>
      </c>
      <c r="E1705" s="30">
        <v>737</v>
      </c>
      <c r="F1705" s="30">
        <v>743</v>
      </c>
      <c r="G1705" s="30">
        <v>718</v>
      </c>
      <c r="H1705" s="30">
        <v>731</v>
      </c>
      <c r="I1705" s="30">
        <v>722</v>
      </c>
      <c r="J1705" s="30">
        <v>714</v>
      </c>
      <c r="K1705" s="30">
        <v>683</v>
      </c>
      <c r="L1705" s="30">
        <v>666</v>
      </c>
      <c r="M1705" s="30">
        <v>676</v>
      </c>
      <c r="N1705" s="30">
        <v>682</v>
      </c>
      <c r="O1705" s="24" t="str">
        <f t="shared" si="53"/>
        <v>Hooker County, Nebraska</v>
      </c>
    </row>
    <row r="1706" spans="1:15" x14ac:dyDescent="0.25">
      <c r="A1706" s="35" t="s">
        <v>2182</v>
      </c>
      <c r="B1706" s="28" t="str">
        <f t="shared" si="52"/>
        <v>Howard</v>
      </c>
      <c r="C1706" s="30">
        <v>6274</v>
      </c>
      <c r="D1706" s="30">
        <v>6274</v>
      </c>
      <c r="E1706" s="30">
        <v>6279</v>
      </c>
      <c r="F1706" s="30">
        <v>6295</v>
      </c>
      <c r="G1706" s="30">
        <v>6298</v>
      </c>
      <c r="H1706" s="30">
        <v>6337</v>
      </c>
      <c r="I1706" s="30">
        <v>6353</v>
      </c>
      <c r="J1706" s="30">
        <v>6382</v>
      </c>
      <c r="K1706" s="30">
        <v>6407</v>
      </c>
      <c r="L1706" s="30">
        <v>6396</v>
      </c>
      <c r="M1706" s="30">
        <v>6457</v>
      </c>
      <c r="N1706" s="30">
        <v>6445</v>
      </c>
      <c r="O1706" s="24" t="str">
        <f t="shared" si="53"/>
        <v>Howard County, Nebraska</v>
      </c>
    </row>
    <row r="1707" spans="1:15" x14ac:dyDescent="0.25">
      <c r="A1707" s="35" t="s">
        <v>2183</v>
      </c>
      <c r="B1707" s="28" t="str">
        <f t="shared" si="52"/>
        <v>Jefferson</v>
      </c>
      <c r="C1707" s="30">
        <v>7547</v>
      </c>
      <c r="D1707" s="30">
        <v>7547</v>
      </c>
      <c r="E1707" s="30">
        <v>7522</v>
      </c>
      <c r="F1707" s="30">
        <v>7551</v>
      </c>
      <c r="G1707" s="30">
        <v>7534</v>
      </c>
      <c r="H1707" s="30">
        <v>7512</v>
      </c>
      <c r="I1707" s="30">
        <v>7300</v>
      </c>
      <c r="J1707" s="30">
        <v>7221</v>
      </c>
      <c r="K1707" s="30">
        <v>7181</v>
      </c>
      <c r="L1707" s="30">
        <v>7176</v>
      </c>
      <c r="M1707" s="30">
        <v>7098</v>
      </c>
      <c r="N1707" s="30">
        <v>7046</v>
      </c>
      <c r="O1707" s="24" t="str">
        <f t="shared" si="53"/>
        <v>Jefferson County, Nebraska</v>
      </c>
    </row>
    <row r="1708" spans="1:15" x14ac:dyDescent="0.25">
      <c r="A1708" s="35" t="s">
        <v>2184</v>
      </c>
      <c r="B1708" s="28" t="str">
        <f t="shared" si="52"/>
        <v>Johnson</v>
      </c>
      <c r="C1708" s="30">
        <v>5217</v>
      </c>
      <c r="D1708" s="30">
        <v>5217</v>
      </c>
      <c r="E1708" s="30">
        <v>5233</v>
      </c>
      <c r="F1708" s="30">
        <v>5217</v>
      </c>
      <c r="G1708" s="30">
        <v>5186</v>
      </c>
      <c r="H1708" s="30">
        <v>5167</v>
      </c>
      <c r="I1708" s="30">
        <v>5223</v>
      </c>
      <c r="J1708" s="30">
        <v>5239</v>
      </c>
      <c r="K1708" s="30">
        <v>5213</v>
      </c>
      <c r="L1708" s="30">
        <v>5169</v>
      </c>
      <c r="M1708" s="30">
        <v>5115</v>
      </c>
      <c r="N1708" s="30">
        <v>5071</v>
      </c>
      <c r="O1708" s="24" t="str">
        <f t="shared" si="53"/>
        <v>Johnson County, Nebraska</v>
      </c>
    </row>
    <row r="1709" spans="1:15" x14ac:dyDescent="0.25">
      <c r="A1709" s="35" t="s">
        <v>2185</v>
      </c>
      <c r="B1709" s="28" t="str">
        <f t="shared" si="52"/>
        <v>Kearney</v>
      </c>
      <c r="C1709" s="30">
        <v>6489</v>
      </c>
      <c r="D1709" s="30">
        <v>6489</v>
      </c>
      <c r="E1709" s="30">
        <v>6477</v>
      </c>
      <c r="F1709" s="30">
        <v>6547</v>
      </c>
      <c r="G1709" s="30">
        <v>6508</v>
      </c>
      <c r="H1709" s="30">
        <v>6486</v>
      </c>
      <c r="I1709" s="30">
        <v>6587</v>
      </c>
      <c r="J1709" s="30">
        <v>6558</v>
      </c>
      <c r="K1709" s="30">
        <v>6561</v>
      </c>
      <c r="L1709" s="30">
        <v>6492</v>
      </c>
      <c r="M1709" s="30">
        <v>6539</v>
      </c>
      <c r="N1709" s="30">
        <v>6495</v>
      </c>
      <c r="O1709" s="24" t="str">
        <f t="shared" si="53"/>
        <v>Kearney County, Nebraska</v>
      </c>
    </row>
    <row r="1710" spans="1:15" x14ac:dyDescent="0.25">
      <c r="A1710" s="35" t="s">
        <v>2186</v>
      </c>
      <c r="B1710" s="28" t="str">
        <f t="shared" si="52"/>
        <v>Keith</v>
      </c>
      <c r="C1710" s="30">
        <v>8368</v>
      </c>
      <c r="D1710" s="30">
        <v>8371</v>
      </c>
      <c r="E1710" s="30">
        <v>8357</v>
      </c>
      <c r="F1710" s="30">
        <v>8241</v>
      </c>
      <c r="G1710" s="30">
        <v>8225</v>
      </c>
      <c r="H1710" s="30">
        <v>8158</v>
      </c>
      <c r="I1710" s="30">
        <v>8176</v>
      </c>
      <c r="J1710" s="30">
        <v>8136</v>
      </c>
      <c r="K1710" s="30">
        <v>8096</v>
      </c>
      <c r="L1710" s="30">
        <v>8070</v>
      </c>
      <c r="M1710" s="30">
        <v>8003</v>
      </c>
      <c r="N1710" s="30">
        <v>8034</v>
      </c>
      <c r="O1710" s="24" t="str">
        <f t="shared" si="53"/>
        <v>Keith County, Nebraska</v>
      </c>
    </row>
    <row r="1711" spans="1:15" x14ac:dyDescent="0.25">
      <c r="A1711" s="35" t="s">
        <v>2187</v>
      </c>
      <c r="B1711" s="28" t="str">
        <f t="shared" si="52"/>
        <v>Keya Paha</v>
      </c>
      <c r="C1711" s="30">
        <v>824</v>
      </c>
      <c r="D1711" s="30">
        <v>824</v>
      </c>
      <c r="E1711" s="30">
        <v>824</v>
      </c>
      <c r="F1711" s="30">
        <v>819</v>
      </c>
      <c r="G1711" s="30">
        <v>797</v>
      </c>
      <c r="H1711" s="30">
        <v>790</v>
      </c>
      <c r="I1711" s="30">
        <v>795</v>
      </c>
      <c r="J1711" s="30">
        <v>797</v>
      </c>
      <c r="K1711" s="30">
        <v>792</v>
      </c>
      <c r="L1711" s="30">
        <v>790</v>
      </c>
      <c r="M1711" s="30">
        <v>806</v>
      </c>
      <c r="N1711" s="30">
        <v>806</v>
      </c>
      <c r="O1711" s="24" t="str">
        <f t="shared" si="53"/>
        <v>Keya Paha County, Nebraska</v>
      </c>
    </row>
    <row r="1712" spans="1:15" x14ac:dyDescent="0.25">
      <c r="A1712" s="35" t="s">
        <v>2188</v>
      </c>
      <c r="B1712" s="28" t="str">
        <f t="shared" si="52"/>
        <v>Kimball</v>
      </c>
      <c r="C1712" s="30">
        <v>3821</v>
      </c>
      <c r="D1712" s="30">
        <v>3821</v>
      </c>
      <c r="E1712" s="30">
        <v>3834</v>
      </c>
      <c r="F1712" s="30">
        <v>3808</v>
      </c>
      <c r="G1712" s="30">
        <v>3802</v>
      </c>
      <c r="H1712" s="30">
        <v>3694</v>
      </c>
      <c r="I1712" s="30">
        <v>3726</v>
      </c>
      <c r="J1712" s="30">
        <v>3716</v>
      </c>
      <c r="K1712" s="30">
        <v>3669</v>
      </c>
      <c r="L1712" s="30">
        <v>3568</v>
      </c>
      <c r="M1712" s="30">
        <v>3578</v>
      </c>
      <c r="N1712" s="30">
        <v>3632</v>
      </c>
      <c r="O1712" s="24" t="str">
        <f t="shared" si="53"/>
        <v>Kimball County, Nebraska</v>
      </c>
    </row>
    <row r="1713" spans="1:15" x14ac:dyDescent="0.25">
      <c r="A1713" s="35" t="s">
        <v>2189</v>
      </c>
      <c r="B1713" s="28" t="str">
        <f t="shared" si="52"/>
        <v>Knox</v>
      </c>
      <c r="C1713" s="30">
        <v>8701</v>
      </c>
      <c r="D1713" s="30">
        <v>8701</v>
      </c>
      <c r="E1713" s="30">
        <v>8677</v>
      </c>
      <c r="F1713" s="30">
        <v>8575</v>
      </c>
      <c r="G1713" s="30">
        <v>8574</v>
      </c>
      <c r="H1713" s="30">
        <v>8552</v>
      </c>
      <c r="I1713" s="30">
        <v>8474</v>
      </c>
      <c r="J1713" s="30">
        <v>8468</v>
      </c>
      <c r="K1713" s="30">
        <v>8484</v>
      </c>
      <c r="L1713" s="30">
        <v>8439</v>
      </c>
      <c r="M1713" s="30">
        <v>8405</v>
      </c>
      <c r="N1713" s="30">
        <v>8332</v>
      </c>
      <c r="O1713" s="24" t="str">
        <f t="shared" si="53"/>
        <v>Knox County, Nebraska</v>
      </c>
    </row>
    <row r="1714" spans="1:15" x14ac:dyDescent="0.25">
      <c r="A1714" s="35" t="s">
        <v>2190</v>
      </c>
      <c r="B1714" s="28" t="str">
        <f t="shared" si="52"/>
        <v>Lancaster</v>
      </c>
      <c r="C1714" s="30">
        <v>285407</v>
      </c>
      <c r="D1714" s="30">
        <v>285407</v>
      </c>
      <c r="E1714" s="30">
        <v>286162</v>
      </c>
      <c r="F1714" s="30">
        <v>289914</v>
      </c>
      <c r="G1714" s="30">
        <v>293431</v>
      </c>
      <c r="H1714" s="30">
        <v>297109</v>
      </c>
      <c r="I1714" s="30">
        <v>302622</v>
      </c>
      <c r="J1714" s="30">
        <v>306096</v>
      </c>
      <c r="K1714" s="30">
        <v>310306</v>
      </c>
      <c r="L1714" s="30">
        <v>313772</v>
      </c>
      <c r="M1714" s="30">
        <v>316527</v>
      </c>
      <c r="N1714" s="30">
        <v>319090</v>
      </c>
      <c r="O1714" s="24" t="str">
        <f t="shared" si="53"/>
        <v>Lancaster County, Nebraska</v>
      </c>
    </row>
    <row r="1715" spans="1:15" x14ac:dyDescent="0.25">
      <c r="A1715" s="35" t="s">
        <v>2191</v>
      </c>
      <c r="B1715" s="28" t="str">
        <f t="shared" si="52"/>
        <v>Lincoln</v>
      </c>
      <c r="C1715" s="30">
        <v>36288</v>
      </c>
      <c r="D1715" s="30">
        <v>36288</v>
      </c>
      <c r="E1715" s="30">
        <v>36250</v>
      </c>
      <c r="F1715" s="30">
        <v>36030</v>
      </c>
      <c r="G1715" s="30">
        <v>35973</v>
      </c>
      <c r="H1715" s="30">
        <v>35936</v>
      </c>
      <c r="I1715" s="30">
        <v>35648</v>
      </c>
      <c r="J1715" s="30">
        <v>35501</v>
      </c>
      <c r="K1715" s="30">
        <v>35487</v>
      </c>
      <c r="L1715" s="30">
        <v>35265</v>
      </c>
      <c r="M1715" s="30">
        <v>35148</v>
      </c>
      <c r="N1715" s="30">
        <v>34914</v>
      </c>
      <c r="O1715" s="24" t="str">
        <f t="shared" si="53"/>
        <v>Lincoln County, Nebraska</v>
      </c>
    </row>
    <row r="1716" spans="1:15" x14ac:dyDescent="0.25">
      <c r="A1716" s="35" t="s">
        <v>2192</v>
      </c>
      <c r="B1716" s="28" t="str">
        <f t="shared" si="52"/>
        <v>Logan</v>
      </c>
      <c r="C1716" s="30">
        <v>763</v>
      </c>
      <c r="D1716" s="30">
        <v>763</v>
      </c>
      <c r="E1716" s="30">
        <v>772</v>
      </c>
      <c r="F1716" s="30">
        <v>779</v>
      </c>
      <c r="G1716" s="30">
        <v>785</v>
      </c>
      <c r="H1716" s="30">
        <v>777</v>
      </c>
      <c r="I1716" s="30">
        <v>767</v>
      </c>
      <c r="J1716" s="30">
        <v>791</v>
      </c>
      <c r="K1716" s="30">
        <v>792</v>
      </c>
      <c r="L1716" s="30">
        <v>765</v>
      </c>
      <c r="M1716" s="30">
        <v>755</v>
      </c>
      <c r="N1716" s="30">
        <v>748</v>
      </c>
      <c r="O1716" s="24" t="str">
        <f t="shared" si="53"/>
        <v>Logan County, Nebraska</v>
      </c>
    </row>
    <row r="1717" spans="1:15" x14ac:dyDescent="0.25">
      <c r="A1717" s="35" t="s">
        <v>2193</v>
      </c>
      <c r="B1717" s="28" t="str">
        <f t="shared" si="52"/>
        <v>Loup</v>
      </c>
      <c r="C1717" s="30">
        <v>632</v>
      </c>
      <c r="D1717" s="30">
        <v>628</v>
      </c>
      <c r="E1717" s="30">
        <v>628</v>
      </c>
      <c r="F1717" s="30">
        <v>617</v>
      </c>
      <c r="G1717" s="30">
        <v>605</v>
      </c>
      <c r="H1717" s="30">
        <v>587</v>
      </c>
      <c r="I1717" s="30">
        <v>596</v>
      </c>
      <c r="J1717" s="30">
        <v>606</v>
      </c>
      <c r="K1717" s="30">
        <v>616</v>
      </c>
      <c r="L1717" s="30">
        <v>604</v>
      </c>
      <c r="M1717" s="30">
        <v>617</v>
      </c>
      <c r="N1717" s="30">
        <v>664</v>
      </c>
      <c r="O1717" s="24" t="str">
        <f t="shared" si="53"/>
        <v>Loup County, Nebraska</v>
      </c>
    </row>
    <row r="1718" spans="1:15" x14ac:dyDescent="0.25">
      <c r="A1718" s="35" t="s">
        <v>2194</v>
      </c>
      <c r="B1718" s="28" t="str">
        <f t="shared" si="52"/>
        <v>McPherson</v>
      </c>
      <c r="C1718" s="30">
        <v>539</v>
      </c>
      <c r="D1718" s="30">
        <v>539</v>
      </c>
      <c r="E1718" s="30">
        <v>539</v>
      </c>
      <c r="F1718" s="30">
        <v>551</v>
      </c>
      <c r="G1718" s="30">
        <v>509</v>
      </c>
      <c r="H1718" s="30">
        <v>528</v>
      </c>
      <c r="I1718" s="30">
        <v>510</v>
      </c>
      <c r="J1718" s="30">
        <v>489</v>
      </c>
      <c r="K1718" s="30">
        <v>503</v>
      </c>
      <c r="L1718" s="30">
        <v>493</v>
      </c>
      <c r="M1718" s="30">
        <v>490</v>
      </c>
      <c r="N1718" s="30">
        <v>494</v>
      </c>
      <c r="O1718" s="24" t="str">
        <f t="shared" si="53"/>
        <v>McPherson County, Nebraska</v>
      </c>
    </row>
    <row r="1719" spans="1:15" x14ac:dyDescent="0.25">
      <c r="A1719" s="35" t="s">
        <v>2195</v>
      </c>
      <c r="B1719" s="28" t="str">
        <f t="shared" si="52"/>
        <v>Madison</v>
      </c>
      <c r="C1719" s="30">
        <v>34876</v>
      </c>
      <c r="D1719" s="30">
        <v>34876</v>
      </c>
      <c r="E1719" s="30">
        <v>34961</v>
      </c>
      <c r="F1719" s="30">
        <v>35005</v>
      </c>
      <c r="G1719" s="30">
        <v>35084</v>
      </c>
      <c r="H1719" s="30">
        <v>35147</v>
      </c>
      <c r="I1719" s="30">
        <v>35083</v>
      </c>
      <c r="J1719" s="30">
        <v>34999</v>
      </c>
      <c r="K1719" s="30">
        <v>34979</v>
      </c>
      <c r="L1719" s="30">
        <v>35132</v>
      </c>
      <c r="M1719" s="30">
        <v>35189</v>
      </c>
      <c r="N1719" s="30">
        <v>35099</v>
      </c>
      <c r="O1719" s="24" t="str">
        <f t="shared" si="53"/>
        <v>Madison County, Nebraska</v>
      </c>
    </row>
    <row r="1720" spans="1:15" x14ac:dyDescent="0.25">
      <c r="A1720" s="35" t="s">
        <v>2196</v>
      </c>
      <c r="B1720" s="28" t="str">
        <f t="shared" si="52"/>
        <v>Merrick</v>
      </c>
      <c r="C1720" s="30">
        <v>7845</v>
      </c>
      <c r="D1720" s="30">
        <v>7859</v>
      </c>
      <c r="E1720" s="30">
        <v>7852</v>
      </c>
      <c r="F1720" s="30">
        <v>7760</v>
      </c>
      <c r="G1720" s="30">
        <v>7845</v>
      </c>
      <c r="H1720" s="30">
        <v>7830</v>
      </c>
      <c r="I1720" s="30">
        <v>7788</v>
      </c>
      <c r="J1720" s="30">
        <v>7805</v>
      </c>
      <c r="K1720" s="30">
        <v>7838</v>
      </c>
      <c r="L1720" s="30">
        <v>7859</v>
      </c>
      <c r="M1720" s="30">
        <v>7733</v>
      </c>
      <c r="N1720" s="30">
        <v>7755</v>
      </c>
      <c r="O1720" s="24" t="str">
        <f t="shared" si="53"/>
        <v>Merrick County, Nebraska</v>
      </c>
    </row>
    <row r="1721" spans="1:15" x14ac:dyDescent="0.25">
      <c r="A1721" s="35" t="s">
        <v>2197</v>
      </c>
      <c r="B1721" s="28" t="str">
        <f t="shared" si="52"/>
        <v>Morrill</v>
      </c>
      <c r="C1721" s="30">
        <v>5042</v>
      </c>
      <c r="D1721" s="30">
        <v>5042</v>
      </c>
      <c r="E1721" s="30">
        <v>5039</v>
      </c>
      <c r="F1721" s="30">
        <v>4984</v>
      </c>
      <c r="G1721" s="30">
        <v>4934</v>
      </c>
      <c r="H1721" s="30">
        <v>4925</v>
      </c>
      <c r="I1721" s="30">
        <v>4918</v>
      </c>
      <c r="J1721" s="30">
        <v>4925</v>
      </c>
      <c r="K1721" s="30">
        <v>4867</v>
      </c>
      <c r="L1721" s="30">
        <v>4796</v>
      </c>
      <c r="M1721" s="30">
        <v>4674</v>
      </c>
      <c r="N1721" s="30">
        <v>4642</v>
      </c>
      <c r="O1721" s="24" t="str">
        <f t="shared" si="53"/>
        <v>Morrill County, Nebraska</v>
      </c>
    </row>
    <row r="1722" spans="1:15" x14ac:dyDescent="0.25">
      <c r="A1722" s="35" t="s">
        <v>2198</v>
      </c>
      <c r="B1722" s="28" t="str">
        <f t="shared" si="52"/>
        <v>Nance</v>
      </c>
      <c r="C1722" s="30">
        <v>3735</v>
      </c>
      <c r="D1722" s="30">
        <v>3735</v>
      </c>
      <c r="E1722" s="30">
        <v>3740</v>
      </c>
      <c r="F1722" s="30">
        <v>3731</v>
      </c>
      <c r="G1722" s="30">
        <v>3674</v>
      </c>
      <c r="H1722" s="30">
        <v>3558</v>
      </c>
      <c r="I1722" s="30">
        <v>3527</v>
      </c>
      <c r="J1722" s="30">
        <v>3573</v>
      </c>
      <c r="K1722" s="30">
        <v>3561</v>
      </c>
      <c r="L1722" s="30">
        <v>3561</v>
      </c>
      <c r="M1722" s="30">
        <v>3506</v>
      </c>
      <c r="N1722" s="30">
        <v>3519</v>
      </c>
      <c r="O1722" s="24" t="str">
        <f t="shared" si="53"/>
        <v>Nance County, Nebraska</v>
      </c>
    </row>
    <row r="1723" spans="1:15" x14ac:dyDescent="0.25">
      <c r="A1723" s="35" t="s">
        <v>2199</v>
      </c>
      <c r="B1723" s="28" t="str">
        <f t="shared" si="52"/>
        <v>Nemaha</v>
      </c>
      <c r="C1723" s="30">
        <v>7248</v>
      </c>
      <c r="D1723" s="30">
        <v>7248</v>
      </c>
      <c r="E1723" s="30">
        <v>7238</v>
      </c>
      <c r="F1723" s="30">
        <v>7238</v>
      </c>
      <c r="G1723" s="30">
        <v>7152</v>
      </c>
      <c r="H1723" s="30">
        <v>7149</v>
      </c>
      <c r="I1723" s="30">
        <v>7130</v>
      </c>
      <c r="J1723" s="30">
        <v>7005</v>
      </c>
      <c r="K1723" s="30">
        <v>6973</v>
      </c>
      <c r="L1723" s="30">
        <v>6957</v>
      </c>
      <c r="M1723" s="30">
        <v>6957</v>
      </c>
      <c r="N1723" s="30">
        <v>6972</v>
      </c>
      <c r="O1723" s="24" t="str">
        <f t="shared" si="53"/>
        <v>Nemaha County, Nebraska</v>
      </c>
    </row>
    <row r="1724" spans="1:15" x14ac:dyDescent="0.25">
      <c r="A1724" s="35" t="s">
        <v>2200</v>
      </c>
      <c r="B1724" s="28" t="str">
        <f t="shared" si="52"/>
        <v>Nuckolls</v>
      </c>
      <c r="C1724" s="30">
        <v>4500</v>
      </c>
      <c r="D1724" s="30">
        <v>4500</v>
      </c>
      <c r="E1724" s="30">
        <v>4514</v>
      </c>
      <c r="F1724" s="30">
        <v>4447</v>
      </c>
      <c r="G1724" s="30">
        <v>4430</v>
      </c>
      <c r="H1724" s="30">
        <v>4384</v>
      </c>
      <c r="I1724" s="30">
        <v>4347</v>
      </c>
      <c r="J1724" s="30">
        <v>4322</v>
      </c>
      <c r="K1724" s="30">
        <v>4274</v>
      </c>
      <c r="L1724" s="30">
        <v>4269</v>
      </c>
      <c r="M1724" s="30">
        <v>4207</v>
      </c>
      <c r="N1724" s="30">
        <v>4148</v>
      </c>
      <c r="O1724" s="24" t="str">
        <f t="shared" si="53"/>
        <v>Nuckolls County, Nebraska</v>
      </c>
    </row>
    <row r="1725" spans="1:15" x14ac:dyDescent="0.25">
      <c r="A1725" s="35" t="s">
        <v>2201</v>
      </c>
      <c r="B1725" s="28" t="str">
        <f t="shared" si="52"/>
        <v>Otoe</v>
      </c>
      <c r="C1725" s="30">
        <v>15740</v>
      </c>
      <c r="D1725" s="30">
        <v>15740</v>
      </c>
      <c r="E1725" s="30">
        <v>15748</v>
      </c>
      <c r="F1725" s="30">
        <v>15741</v>
      </c>
      <c r="G1725" s="30">
        <v>15689</v>
      </c>
      <c r="H1725" s="30">
        <v>15688</v>
      </c>
      <c r="I1725" s="30">
        <v>15780</v>
      </c>
      <c r="J1725" s="30">
        <v>15842</v>
      </c>
      <c r="K1725" s="30">
        <v>15950</v>
      </c>
      <c r="L1725" s="30">
        <v>15956</v>
      </c>
      <c r="M1725" s="30">
        <v>15983</v>
      </c>
      <c r="N1725" s="30">
        <v>16012</v>
      </c>
      <c r="O1725" s="24" t="str">
        <f t="shared" si="53"/>
        <v>Otoe County, Nebraska</v>
      </c>
    </row>
    <row r="1726" spans="1:15" x14ac:dyDescent="0.25">
      <c r="A1726" s="35" t="s">
        <v>2202</v>
      </c>
      <c r="B1726" s="28" t="str">
        <f t="shared" si="52"/>
        <v>Pawnee</v>
      </c>
      <c r="C1726" s="30">
        <v>2773</v>
      </c>
      <c r="D1726" s="30">
        <v>2773</v>
      </c>
      <c r="E1726" s="30">
        <v>2781</v>
      </c>
      <c r="F1726" s="30">
        <v>2791</v>
      </c>
      <c r="G1726" s="30">
        <v>2791</v>
      </c>
      <c r="H1726" s="30">
        <v>2750</v>
      </c>
      <c r="I1726" s="30">
        <v>2726</v>
      </c>
      <c r="J1726" s="30">
        <v>2691</v>
      </c>
      <c r="K1726" s="30">
        <v>2699</v>
      </c>
      <c r="L1726" s="30">
        <v>2621</v>
      </c>
      <c r="M1726" s="30">
        <v>2623</v>
      </c>
      <c r="N1726" s="30">
        <v>2613</v>
      </c>
      <c r="O1726" s="24" t="str">
        <f t="shared" si="53"/>
        <v>Pawnee County, Nebraska</v>
      </c>
    </row>
    <row r="1727" spans="1:15" x14ac:dyDescent="0.25">
      <c r="A1727" s="35" t="s">
        <v>2203</v>
      </c>
      <c r="B1727" s="28" t="str">
        <f t="shared" si="52"/>
        <v>Perkins</v>
      </c>
      <c r="C1727" s="30">
        <v>2970</v>
      </c>
      <c r="D1727" s="30">
        <v>2967</v>
      </c>
      <c r="E1727" s="30">
        <v>2978</v>
      </c>
      <c r="F1727" s="30">
        <v>2944</v>
      </c>
      <c r="G1727" s="30">
        <v>2930</v>
      </c>
      <c r="H1727" s="30">
        <v>2891</v>
      </c>
      <c r="I1727" s="30">
        <v>2875</v>
      </c>
      <c r="J1727" s="30">
        <v>2932</v>
      </c>
      <c r="K1727" s="30">
        <v>2892</v>
      </c>
      <c r="L1727" s="30">
        <v>2886</v>
      </c>
      <c r="M1727" s="30">
        <v>2902</v>
      </c>
      <c r="N1727" s="30">
        <v>2891</v>
      </c>
      <c r="O1727" s="24" t="str">
        <f t="shared" si="53"/>
        <v>Perkins County, Nebraska</v>
      </c>
    </row>
    <row r="1728" spans="1:15" x14ac:dyDescent="0.25">
      <c r="A1728" s="35" t="s">
        <v>2204</v>
      </c>
      <c r="B1728" s="28" t="str">
        <f t="shared" si="52"/>
        <v>Phelps</v>
      </c>
      <c r="C1728" s="30">
        <v>9188</v>
      </c>
      <c r="D1728" s="30">
        <v>9188</v>
      </c>
      <c r="E1728" s="30">
        <v>9183</v>
      </c>
      <c r="F1728" s="30">
        <v>9142</v>
      </c>
      <c r="G1728" s="30">
        <v>9210</v>
      </c>
      <c r="H1728" s="30">
        <v>9179</v>
      </c>
      <c r="I1728" s="30">
        <v>9162</v>
      </c>
      <c r="J1728" s="30">
        <v>9217</v>
      </c>
      <c r="K1728" s="30">
        <v>9193</v>
      </c>
      <c r="L1728" s="30">
        <v>9050</v>
      </c>
      <c r="M1728" s="30">
        <v>9006</v>
      </c>
      <c r="N1728" s="30">
        <v>9034</v>
      </c>
      <c r="O1728" s="24" t="str">
        <f t="shared" si="53"/>
        <v>Phelps County, Nebraska</v>
      </c>
    </row>
    <row r="1729" spans="1:15" x14ac:dyDescent="0.25">
      <c r="A1729" s="35" t="s">
        <v>2205</v>
      </c>
      <c r="B1729" s="28" t="str">
        <f t="shared" si="52"/>
        <v>Pierce</v>
      </c>
      <c r="C1729" s="30">
        <v>7266</v>
      </c>
      <c r="D1729" s="30">
        <v>7266</v>
      </c>
      <c r="E1729" s="30">
        <v>7260</v>
      </c>
      <c r="F1729" s="30">
        <v>7194</v>
      </c>
      <c r="G1729" s="30">
        <v>7187</v>
      </c>
      <c r="H1729" s="30">
        <v>7180</v>
      </c>
      <c r="I1729" s="30">
        <v>7204</v>
      </c>
      <c r="J1729" s="30">
        <v>7190</v>
      </c>
      <c r="K1729" s="30">
        <v>7144</v>
      </c>
      <c r="L1729" s="30">
        <v>7093</v>
      </c>
      <c r="M1729" s="30">
        <v>7145</v>
      </c>
      <c r="N1729" s="30">
        <v>7148</v>
      </c>
      <c r="O1729" s="24" t="str">
        <f t="shared" si="53"/>
        <v>Pierce County, Nebraska</v>
      </c>
    </row>
    <row r="1730" spans="1:15" x14ac:dyDescent="0.25">
      <c r="A1730" s="35" t="s">
        <v>2206</v>
      </c>
      <c r="B1730" s="28" t="str">
        <f t="shared" si="52"/>
        <v>Platte</v>
      </c>
      <c r="C1730" s="30">
        <v>32237</v>
      </c>
      <c r="D1730" s="30">
        <v>32237</v>
      </c>
      <c r="E1730" s="30">
        <v>32305</v>
      </c>
      <c r="F1730" s="30">
        <v>32512</v>
      </c>
      <c r="G1730" s="30">
        <v>32669</v>
      </c>
      <c r="H1730" s="30">
        <v>32595</v>
      </c>
      <c r="I1730" s="30">
        <v>32740</v>
      </c>
      <c r="J1730" s="30">
        <v>32876</v>
      </c>
      <c r="K1730" s="30">
        <v>33008</v>
      </c>
      <c r="L1730" s="30">
        <v>33231</v>
      </c>
      <c r="M1730" s="30">
        <v>33287</v>
      </c>
      <c r="N1730" s="30">
        <v>33470</v>
      </c>
      <c r="O1730" s="24" t="str">
        <f t="shared" si="53"/>
        <v>Platte County, Nebraska</v>
      </c>
    </row>
    <row r="1731" spans="1:15" x14ac:dyDescent="0.25">
      <c r="A1731" s="35" t="s">
        <v>2207</v>
      </c>
      <c r="B1731" s="28" t="str">
        <f t="shared" si="52"/>
        <v>Polk</v>
      </c>
      <c r="C1731" s="30">
        <v>5406</v>
      </c>
      <c r="D1731" s="30">
        <v>5402</v>
      </c>
      <c r="E1731" s="30">
        <v>5394</v>
      </c>
      <c r="F1731" s="30">
        <v>5336</v>
      </c>
      <c r="G1731" s="30">
        <v>5266</v>
      </c>
      <c r="H1731" s="30">
        <v>5242</v>
      </c>
      <c r="I1731" s="30">
        <v>5268</v>
      </c>
      <c r="J1731" s="30">
        <v>5171</v>
      </c>
      <c r="K1731" s="30">
        <v>5190</v>
      </c>
      <c r="L1731" s="30">
        <v>5309</v>
      </c>
      <c r="M1731" s="30">
        <v>5240</v>
      </c>
      <c r="N1731" s="30">
        <v>5213</v>
      </c>
      <c r="O1731" s="24" t="str">
        <f t="shared" si="53"/>
        <v>Polk County, Nebraska</v>
      </c>
    </row>
    <row r="1732" spans="1:15" x14ac:dyDescent="0.25">
      <c r="A1732" s="35" t="s">
        <v>2208</v>
      </c>
      <c r="B1732" s="28" t="str">
        <f t="shared" si="52"/>
        <v>Red Willow</v>
      </c>
      <c r="C1732" s="30">
        <v>11055</v>
      </c>
      <c r="D1732" s="30">
        <v>11055</v>
      </c>
      <c r="E1732" s="30">
        <v>11059</v>
      </c>
      <c r="F1732" s="30">
        <v>11049</v>
      </c>
      <c r="G1732" s="30">
        <v>11044</v>
      </c>
      <c r="H1732" s="30">
        <v>11053</v>
      </c>
      <c r="I1732" s="30">
        <v>10901</v>
      </c>
      <c r="J1732" s="30">
        <v>10883</v>
      </c>
      <c r="K1732" s="30">
        <v>10767</v>
      </c>
      <c r="L1732" s="30">
        <v>10760</v>
      </c>
      <c r="M1732" s="30">
        <v>10705</v>
      </c>
      <c r="N1732" s="30">
        <v>10724</v>
      </c>
      <c r="O1732" s="24" t="str">
        <f t="shared" si="53"/>
        <v>Red Willow County, Nebraska</v>
      </c>
    </row>
    <row r="1733" spans="1:15" x14ac:dyDescent="0.25">
      <c r="A1733" s="35" t="s">
        <v>2209</v>
      </c>
      <c r="B1733" s="28" t="str">
        <f t="shared" si="52"/>
        <v>Richardson</v>
      </c>
      <c r="C1733" s="30">
        <v>8363</v>
      </c>
      <c r="D1733" s="30">
        <v>8363</v>
      </c>
      <c r="E1733" s="30">
        <v>8372</v>
      </c>
      <c r="F1733" s="30">
        <v>8342</v>
      </c>
      <c r="G1733" s="30">
        <v>8283</v>
      </c>
      <c r="H1733" s="30">
        <v>8131</v>
      </c>
      <c r="I1733" s="30">
        <v>8110</v>
      </c>
      <c r="J1733" s="30">
        <v>8025</v>
      </c>
      <c r="K1733" s="30">
        <v>8004</v>
      </c>
      <c r="L1733" s="30">
        <v>7971</v>
      </c>
      <c r="M1733" s="30">
        <v>7938</v>
      </c>
      <c r="N1733" s="30">
        <v>7865</v>
      </c>
      <c r="O1733" s="24" t="str">
        <f t="shared" si="53"/>
        <v>Richardson County, Nebraska</v>
      </c>
    </row>
    <row r="1734" spans="1:15" x14ac:dyDescent="0.25">
      <c r="A1734" s="35" t="s">
        <v>2210</v>
      </c>
      <c r="B1734" s="28" t="str">
        <f t="shared" si="52"/>
        <v>Rock</v>
      </c>
      <c r="C1734" s="30">
        <v>1526</v>
      </c>
      <c r="D1734" s="30">
        <v>1528</v>
      </c>
      <c r="E1734" s="30">
        <v>1524</v>
      </c>
      <c r="F1734" s="30">
        <v>1480</v>
      </c>
      <c r="G1734" s="30">
        <v>1426</v>
      </c>
      <c r="H1734" s="30">
        <v>1440</v>
      </c>
      <c r="I1734" s="30">
        <v>1449</v>
      </c>
      <c r="J1734" s="30">
        <v>1417</v>
      </c>
      <c r="K1734" s="30">
        <v>1404</v>
      </c>
      <c r="L1734" s="30">
        <v>1420</v>
      </c>
      <c r="M1734" s="30">
        <v>1351</v>
      </c>
      <c r="N1734" s="30">
        <v>1357</v>
      </c>
      <c r="O1734" s="24" t="str">
        <f t="shared" si="53"/>
        <v>Rock County, Nebraska</v>
      </c>
    </row>
    <row r="1735" spans="1:15" x14ac:dyDescent="0.25">
      <c r="A1735" s="35" t="s">
        <v>2211</v>
      </c>
      <c r="B1735" s="28" t="str">
        <f t="shared" ref="B1735:B1798" si="54">LEFT(A1735,FIND("County",A1735,1)-2)</f>
        <v>Saline</v>
      </c>
      <c r="C1735" s="30">
        <v>14200</v>
      </c>
      <c r="D1735" s="30">
        <v>14200</v>
      </c>
      <c r="E1735" s="30">
        <v>14222</v>
      </c>
      <c r="F1735" s="30">
        <v>14326</v>
      </c>
      <c r="G1735" s="30">
        <v>14416</v>
      </c>
      <c r="H1735" s="30">
        <v>14299</v>
      </c>
      <c r="I1735" s="30">
        <v>14297</v>
      </c>
      <c r="J1735" s="30">
        <v>14196</v>
      </c>
      <c r="K1735" s="30">
        <v>14228</v>
      </c>
      <c r="L1735" s="30">
        <v>14365</v>
      </c>
      <c r="M1735" s="30">
        <v>14336</v>
      </c>
      <c r="N1735" s="30">
        <v>14224</v>
      </c>
      <c r="O1735" s="24" t="str">
        <f t="shared" ref="O1735:O1798" si="55">A1735</f>
        <v>Saline County, Nebraska</v>
      </c>
    </row>
    <row r="1736" spans="1:15" x14ac:dyDescent="0.25">
      <c r="A1736" s="35" t="s">
        <v>2212</v>
      </c>
      <c r="B1736" s="28" t="str">
        <f t="shared" si="54"/>
        <v>Sarpy</v>
      </c>
      <c r="C1736" s="30">
        <v>158840</v>
      </c>
      <c r="D1736" s="30">
        <v>158835</v>
      </c>
      <c r="E1736" s="30">
        <v>159720</v>
      </c>
      <c r="F1736" s="30">
        <v>162568</v>
      </c>
      <c r="G1736" s="30">
        <v>165664</v>
      </c>
      <c r="H1736" s="30">
        <v>168990</v>
      </c>
      <c r="I1736" s="30">
        <v>171853</v>
      </c>
      <c r="J1736" s="30">
        <v>175173</v>
      </c>
      <c r="K1736" s="30">
        <v>178355</v>
      </c>
      <c r="L1736" s="30">
        <v>181376</v>
      </c>
      <c r="M1736" s="30">
        <v>184062</v>
      </c>
      <c r="N1736" s="30">
        <v>187196</v>
      </c>
      <c r="O1736" s="24" t="str">
        <f t="shared" si="55"/>
        <v>Sarpy County, Nebraska</v>
      </c>
    </row>
    <row r="1737" spans="1:15" x14ac:dyDescent="0.25">
      <c r="A1737" s="35" t="s">
        <v>2213</v>
      </c>
      <c r="B1737" s="28" t="str">
        <f t="shared" si="54"/>
        <v>Saunders</v>
      </c>
      <c r="C1737" s="30">
        <v>20780</v>
      </c>
      <c r="D1737" s="30">
        <v>20778</v>
      </c>
      <c r="E1737" s="30">
        <v>20869</v>
      </c>
      <c r="F1737" s="30">
        <v>20841</v>
      </c>
      <c r="G1737" s="30">
        <v>20797</v>
      </c>
      <c r="H1737" s="30">
        <v>20877</v>
      </c>
      <c r="I1737" s="30">
        <v>20860</v>
      </c>
      <c r="J1737" s="30">
        <v>20949</v>
      </c>
      <c r="K1737" s="30">
        <v>20992</v>
      </c>
      <c r="L1737" s="30">
        <v>21032</v>
      </c>
      <c r="M1737" s="30">
        <v>21274</v>
      </c>
      <c r="N1737" s="30">
        <v>21578</v>
      </c>
      <c r="O1737" s="24" t="str">
        <f t="shared" si="55"/>
        <v>Saunders County, Nebraska</v>
      </c>
    </row>
    <row r="1738" spans="1:15" x14ac:dyDescent="0.25">
      <c r="A1738" s="35" t="s">
        <v>2214</v>
      </c>
      <c r="B1738" s="28" t="str">
        <f t="shared" si="54"/>
        <v>Scotts Bluff</v>
      </c>
      <c r="C1738" s="30">
        <v>36970</v>
      </c>
      <c r="D1738" s="30">
        <v>36970</v>
      </c>
      <c r="E1738" s="30">
        <v>37057</v>
      </c>
      <c r="F1738" s="30">
        <v>36956</v>
      </c>
      <c r="G1738" s="30">
        <v>36905</v>
      </c>
      <c r="H1738" s="30">
        <v>36853</v>
      </c>
      <c r="I1738" s="30">
        <v>36437</v>
      </c>
      <c r="J1738" s="30">
        <v>36245</v>
      </c>
      <c r="K1738" s="30">
        <v>36420</v>
      </c>
      <c r="L1738" s="30">
        <v>36160</v>
      </c>
      <c r="M1738" s="30">
        <v>35925</v>
      </c>
      <c r="N1738" s="30">
        <v>35618</v>
      </c>
      <c r="O1738" s="24" t="str">
        <f t="shared" si="55"/>
        <v>Scotts Bluff County, Nebraska</v>
      </c>
    </row>
    <row r="1739" spans="1:15" x14ac:dyDescent="0.25">
      <c r="A1739" s="35" t="s">
        <v>2215</v>
      </c>
      <c r="B1739" s="28" t="str">
        <f t="shared" si="54"/>
        <v>Seward</v>
      </c>
      <c r="C1739" s="30">
        <v>16750</v>
      </c>
      <c r="D1739" s="30">
        <v>16750</v>
      </c>
      <c r="E1739" s="30">
        <v>16799</v>
      </c>
      <c r="F1739" s="30">
        <v>16705</v>
      </c>
      <c r="G1739" s="30">
        <v>16897</v>
      </c>
      <c r="H1739" s="30">
        <v>16994</v>
      </c>
      <c r="I1739" s="30">
        <v>17012</v>
      </c>
      <c r="J1739" s="30">
        <v>16994</v>
      </c>
      <c r="K1739" s="30">
        <v>17103</v>
      </c>
      <c r="L1739" s="30">
        <v>17203</v>
      </c>
      <c r="M1739" s="30">
        <v>17273</v>
      </c>
      <c r="N1739" s="30">
        <v>17284</v>
      </c>
      <c r="O1739" s="24" t="str">
        <f t="shared" si="55"/>
        <v>Seward County, Nebraska</v>
      </c>
    </row>
    <row r="1740" spans="1:15" x14ac:dyDescent="0.25">
      <c r="A1740" s="35" t="s">
        <v>2216</v>
      </c>
      <c r="B1740" s="28" t="str">
        <f t="shared" si="54"/>
        <v>Sheridan</v>
      </c>
      <c r="C1740" s="30">
        <v>5469</v>
      </c>
      <c r="D1740" s="30">
        <v>5469</v>
      </c>
      <c r="E1740" s="30">
        <v>5444</v>
      </c>
      <c r="F1740" s="30">
        <v>5360</v>
      </c>
      <c r="G1740" s="30">
        <v>5327</v>
      </c>
      <c r="H1740" s="30">
        <v>5208</v>
      </c>
      <c r="I1740" s="30">
        <v>5250</v>
      </c>
      <c r="J1740" s="30">
        <v>5216</v>
      </c>
      <c r="K1740" s="30">
        <v>5235</v>
      </c>
      <c r="L1740" s="30">
        <v>5268</v>
      </c>
      <c r="M1740" s="30">
        <v>5189</v>
      </c>
      <c r="N1740" s="30">
        <v>5246</v>
      </c>
      <c r="O1740" s="24" t="str">
        <f t="shared" si="55"/>
        <v>Sheridan County, Nebraska</v>
      </c>
    </row>
    <row r="1741" spans="1:15" x14ac:dyDescent="0.25">
      <c r="A1741" s="35" t="s">
        <v>2217</v>
      </c>
      <c r="B1741" s="28" t="str">
        <f t="shared" si="54"/>
        <v>Sherman</v>
      </c>
      <c r="C1741" s="30">
        <v>3152</v>
      </c>
      <c r="D1741" s="30">
        <v>3152</v>
      </c>
      <c r="E1741" s="30">
        <v>3164</v>
      </c>
      <c r="F1741" s="30">
        <v>3102</v>
      </c>
      <c r="G1741" s="30">
        <v>3078</v>
      </c>
      <c r="H1741" s="30">
        <v>3061</v>
      </c>
      <c r="I1741" s="30">
        <v>3034</v>
      </c>
      <c r="J1741" s="30">
        <v>3036</v>
      </c>
      <c r="K1741" s="30">
        <v>3012</v>
      </c>
      <c r="L1741" s="30">
        <v>3074</v>
      </c>
      <c r="M1741" s="30">
        <v>3044</v>
      </c>
      <c r="N1741" s="30">
        <v>3001</v>
      </c>
      <c r="O1741" s="24" t="str">
        <f t="shared" si="55"/>
        <v>Sherman County, Nebraska</v>
      </c>
    </row>
    <row r="1742" spans="1:15" x14ac:dyDescent="0.25">
      <c r="A1742" s="35" t="s">
        <v>2218</v>
      </c>
      <c r="B1742" s="28" t="str">
        <f t="shared" si="54"/>
        <v>Sioux</v>
      </c>
      <c r="C1742" s="30">
        <v>1311</v>
      </c>
      <c r="D1742" s="30">
        <v>1311</v>
      </c>
      <c r="E1742" s="30">
        <v>1311</v>
      </c>
      <c r="F1742" s="30">
        <v>1319</v>
      </c>
      <c r="G1742" s="30">
        <v>1323</v>
      </c>
      <c r="H1742" s="30">
        <v>1330</v>
      </c>
      <c r="I1742" s="30">
        <v>1321</v>
      </c>
      <c r="J1742" s="30">
        <v>1276</v>
      </c>
      <c r="K1742" s="30">
        <v>1259</v>
      </c>
      <c r="L1742" s="30">
        <v>1195</v>
      </c>
      <c r="M1742" s="30">
        <v>1186</v>
      </c>
      <c r="N1742" s="30">
        <v>1166</v>
      </c>
      <c r="O1742" s="24" t="str">
        <f t="shared" si="55"/>
        <v>Sioux County, Nebraska</v>
      </c>
    </row>
    <row r="1743" spans="1:15" x14ac:dyDescent="0.25">
      <c r="A1743" s="35" t="s">
        <v>2219</v>
      </c>
      <c r="B1743" s="28" t="str">
        <f t="shared" si="54"/>
        <v>Stanton</v>
      </c>
      <c r="C1743" s="30">
        <v>6129</v>
      </c>
      <c r="D1743" s="30">
        <v>6128</v>
      </c>
      <c r="E1743" s="30">
        <v>6142</v>
      </c>
      <c r="F1743" s="30">
        <v>6176</v>
      </c>
      <c r="G1743" s="30">
        <v>6091</v>
      </c>
      <c r="H1743" s="30">
        <v>6087</v>
      </c>
      <c r="I1743" s="30">
        <v>6097</v>
      </c>
      <c r="J1743" s="30">
        <v>5944</v>
      </c>
      <c r="K1743" s="30">
        <v>5975</v>
      </c>
      <c r="L1743" s="30">
        <v>5974</v>
      </c>
      <c r="M1743" s="30">
        <v>5970</v>
      </c>
      <c r="N1743" s="30">
        <v>5920</v>
      </c>
      <c r="O1743" s="24" t="str">
        <f t="shared" si="55"/>
        <v>Stanton County, Nebraska</v>
      </c>
    </row>
    <row r="1744" spans="1:15" x14ac:dyDescent="0.25">
      <c r="A1744" s="35" t="s">
        <v>2220</v>
      </c>
      <c r="B1744" s="28" t="str">
        <f t="shared" si="54"/>
        <v>Thayer</v>
      </c>
      <c r="C1744" s="30">
        <v>5228</v>
      </c>
      <c r="D1744" s="30">
        <v>5228</v>
      </c>
      <c r="E1744" s="30">
        <v>5235</v>
      </c>
      <c r="F1744" s="30">
        <v>5170</v>
      </c>
      <c r="G1744" s="30">
        <v>5145</v>
      </c>
      <c r="H1744" s="30">
        <v>5179</v>
      </c>
      <c r="I1744" s="30">
        <v>5213</v>
      </c>
      <c r="J1744" s="30">
        <v>5129</v>
      </c>
      <c r="K1744" s="30">
        <v>5080</v>
      </c>
      <c r="L1744" s="30">
        <v>5034</v>
      </c>
      <c r="M1744" s="30">
        <v>5039</v>
      </c>
      <c r="N1744" s="30">
        <v>5003</v>
      </c>
      <c r="O1744" s="24" t="str">
        <f t="shared" si="55"/>
        <v>Thayer County, Nebraska</v>
      </c>
    </row>
    <row r="1745" spans="1:15" x14ac:dyDescent="0.25">
      <c r="A1745" s="35" t="s">
        <v>2221</v>
      </c>
      <c r="B1745" s="28" t="str">
        <f t="shared" si="54"/>
        <v>Thomas</v>
      </c>
      <c r="C1745" s="30">
        <v>647</v>
      </c>
      <c r="D1745" s="30">
        <v>647</v>
      </c>
      <c r="E1745" s="30">
        <v>647</v>
      </c>
      <c r="F1745" s="30">
        <v>698</v>
      </c>
      <c r="G1745" s="30">
        <v>701</v>
      </c>
      <c r="H1745" s="30">
        <v>705</v>
      </c>
      <c r="I1745" s="30">
        <v>701</v>
      </c>
      <c r="J1745" s="30">
        <v>693</v>
      </c>
      <c r="K1745" s="30">
        <v>722</v>
      </c>
      <c r="L1745" s="30">
        <v>722</v>
      </c>
      <c r="M1745" s="30">
        <v>714</v>
      </c>
      <c r="N1745" s="30">
        <v>722</v>
      </c>
      <c r="O1745" s="24" t="str">
        <f t="shared" si="55"/>
        <v>Thomas County, Nebraska</v>
      </c>
    </row>
    <row r="1746" spans="1:15" x14ac:dyDescent="0.25">
      <c r="A1746" s="35" t="s">
        <v>2222</v>
      </c>
      <c r="B1746" s="28" t="str">
        <f t="shared" si="54"/>
        <v>Thurston</v>
      </c>
      <c r="C1746" s="30">
        <v>6940</v>
      </c>
      <c r="D1746" s="30">
        <v>6939</v>
      </c>
      <c r="E1746" s="30">
        <v>6969</v>
      </c>
      <c r="F1746" s="30">
        <v>6903</v>
      </c>
      <c r="G1746" s="30">
        <v>6925</v>
      </c>
      <c r="H1746" s="30">
        <v>6872</v>
      </c>
      <c r="I1746" s="30">
        <v>6961</v>
      </c>
      <c r="J1746" s="30">
        <v>7073</v>
      </c>
      <c r="K1746" s="30">
        <v>7139</v>
      </c>
      <c r="L1746" s="30">
        <v>7196</v>
      </c>
      <c r="M1746" s="30">
        <v>7274</v>
      </c>
      <c r="N1746" s="30">
        <v>7224</v>
      </c>
      <c r="O1746" s="24" t="str">
        <f t="shared" si="55"/>
        <v>Thurston County, Nebraska</v>
      </c>
    </row>
    <row r="1747" spans="1:15" x14ac:dyDescent="0.25">
      <c r="A1747" s="35" t="s">
        <v>2223</v>
      </c>
      <c r="B1747" s="28" t="str">
        <f t="shared" si="54"/>
        <v>Valley</v>
      </c>
      <c r="C1747" s="30">
        <v>4260</v>
      </c>
      <c r="D1747" s="30">
        <v>4260</v>
      </c>
      <c r="E1747" s="30">
        <v>4265</v>
      </c>
      <c r="F1747" s="30">
        <v>4228</v>
      </c>
      <c r="G1747" s="30">
        <v>4216</v>
      </c>
      <c r="H1747" s="30">
        <v>4181</v>
      </c>
      <c r="I1747" s="30">
        <v>4217</v>
      </c>
      <c r="J1747" s="30">
        <v>4168</v>
      </c>
      <c r="K1747" s="30">
        <v>4201</v>
      </c>
      <c r="L1747" s="30">
        <v>4227</v>
      </c>
      <c r="M1747" s="30">
        <v>4197</v>
      </c>
      <c r="N1747" s="30">
        <v>4158</v>
      </c>
      <c r="O1747" s="24" t="str">
        <f t="shared" si="55"/>
        <v>Valley County, Nebraska</v>
      </c>
    </row>
    <row r="1748" spans="1:15" x14ac:dyDescent="0.25">
      <c r="A1748" s="35" t="s">
        <v>2224</v>
      </c>
      <c r="B1748" s="28" t="str">
        <f t="shared" si="54"/>
        <v>Washington</v>
      </c>
      <c r="C1748" s="30">
        <v>20234</v>
      </c>
      <c r="D1748" s="30">
        <v>20232</v>
      </c>
      <c r="E1748" s="30">
        <v>19921</v>
      </c>
      <c r="F1748" s="30">
        <v>19918</v>
      </c>
      <c r="G1748" s="30">
        <v>19949</v>
      </c>
      <c r="H1748" s="30">
        <v>19851</v>
      </c>
      <c r="I1748" s="30">
        <v>19930</v>
      </c>
      <c r="J1748" s="30">
        <v>19917</v>
      </c>
      <c r="K1748" s="30">
        <v>20213</v>
      </c>
      <c r="L1748" s="30">
        <v>20328</v>
      </c>
      <c r="M1748" s="30">
        <v>20617</v>
      </c>
      <c r="N1748" s="30">
        <v>20729</v>
      </c>
      <c r="O1748" s="24" t="str">
        <f t="shared" si="55"/>
        <v>Washington County, Nebraska</v>
      </c>
    </row>
    <row r="1749" spans="1:15" x14ac:dyDescent="0.25">
      <c r="A1749" s="35" t="s">
        <v>2225</v>
      </c>
      <c r="B1749" s="28" t="str">
        <f t="shared" si="54"/>
        <v>Wayne</v>
      </c>
      <c r="C1749" s="30">
        <v>9595</v>
      </c>
      <c r="D1749" s="30">
        <v>9592</v>
      </c>
      <c r="E1749" s="30">
        <v>9609</v>
      </c>
      <c r="F1749" s="30">
        <v>9451</v>
      </c>
      <c r="G1749" s="30">
        <v>9499</v>
      </c>
      <c r="H1749" s="30">
        <v>9441</v>
      </c>
      <c r="I1749" s="30">
        <v>9402</v>
      </c>
      <c r="J1749" s="30">
        <v>9366</v>
      </c>
      <c r="K1749" s="30">
        <v>9379</v>
      </c>
      <c r="L1749" s="30">
        <v>9213</v>
      </c>
      <c r="M1749" s="30">
        <v>9318</v>
      </c>
      <c r="N1749" s="30">
        <v>9385</v>
      </c>
      <c r="O1749" s="24" t="str">
        <f t="shared" si="55"/>
        <v>Wayne County, Nebraska</v>
      </c>
    </row>
    <row r="1750" spans="1:15" x14ac:dyDescent="0.25">
      <c r="A1750" s="35" t="s">
        <v>2226</v>
      </c>
      <c r="B1750" s="28" t="str">
        <f t="shared" si="54"/>
        <v>Webster</v>
      </c>
      <c r="C1750" s="30">
        <v>3812</v>
      </c>
      <c r="D1750" s="30">
        <v>3812</v>
      </c>
      <c r="E1750" s="30">
        <v>3809</v>
      </c>
      <c r="F1750" s="30">
        <v>3757</v>
      </c>
      <c r="G1750" s="30">
        <v>3734</v>
      </c>
      <c r="H1750" s="30">
        <v>3643</v>
      </c>
      <c r="I1750" s="30">
        <v>3645</v>
      </c>
      <c r="J1750" s="30">
        <v>3592</v>
      </c>
      <c r="K1750" s="30">
        <v>3566</v>
      </c>
      <c r="L1750" s="30">
        <v>3505</v>
      </c>
      <c r="M1750" s="30">
        <v>3534</v>
      </c>
      <c r="N1750" s="30">
        <v>3487</v>
      </c>
      <c r="O1750" s="24" t="str">
        <f t="shared" si="55"/>
        <v>Webster County, Nebraska</v>
      </c>
    </row>
    <row r="1751" spans="1:15" x14ac:dyDescent="0.25">
      <c r="A1751" s="35" t="s">
        <v>2227</v>
      </c>
      <c r="B1751" s="28" t="str">
        <f t="shared" si="54"/>
        <v>Wheeler</v>
      </c>
      <c r="C1751" s="30">
        <v>818</v>
      </c>
      <c r="D1751" s="30">
        <v>818</v>
      </c>
      <c r="E1751" s="30">
        <v>825</v>
      </c>
      <c r="F1751" s="30">
        <v>815</v>
      </c>
      <c r="G1751" s="30">
        <v>797</v>
      </c>
      <c r="H1751" s="30">
        <v>779</v>
      </c>
      <c r="I1751" s="30">
        <v>786</v>
      </c>
      <c r="J1751" s="30">
        <v>779</v>
      </c>
      <c r="K1751" s="30">
        <v>804</v>
      </c>
      <c r="L1751" s="30">
        <v>815</v>
      </c>
      <c r="M1751" s="30">
        <v>802</v>
      </c>
      <c r="N1751" s="30">
        <v>783</v>
      </c>
      <c r="O1751" s="24" t="str">
        <f t="shared" si="55"/>
        <v>Wheeler County, Nebraska</v>
      </c>
    </row>
    <row r="1752" spans="1:15" x14ac:dyDescent="0.25">
      <c r="A1752" s="35" t="s">
        <v>2228</v>
      </c>
      <c r="B1752" s="28" t="str">
        <f t="shared" si="54"/>
        <v>York</v>
      </c>
      <c r="C1752" s="30">
        <v>13665</v>
      </c>
      <c r="D1752" s="30">
        <v>13665</v>
      </c>
      <c r="E1752" s="30">
        <v>13669</v>
      </c>
      <c r="F1752" s="30">
        <v>13785</v>
      </c>
      <c r="G1752" s="30">
        <v>13835</v>
      </c>
      <c r="H1752" s="30">
        <v>13852</v>
      </c>
      <c r="I1752" s="30">
        <v>13917</v>
      </c>
      <c r="J1752" s="30">
        <v>13797</v>
      </c>
      <c r="K1752" s="30">
        <v>13740</v>
      </c>
      <c r="L1752" s="30">
        <v>13762</v>
      </c>
      <c r="M1752" s="30">
        <v>13748</v>
      </c>
      <c r="N1752" s="30">
        <v>13679</v>
      </c>
      <c r="O1752" s="24" t="str">
        <f t="shared" si="55"/>
        <v>York County, Nebraska</v>
      </c>
    </row>
    <row r="1753" spans="1:15" x14ac:dyDescent="0.25">
      <c r="A1753" s="35" t="s">
        <v>2229</v>
      </c>
      <c r="B1753" s="28" t="str">
        <f t="shared" si="54"/>
        <v>Churchill</v>
      </c>
      <c r="C1753" s="30">
        <v>24877</v>
      </c>
      <c r="D1753" s="30">
        <v>24875</v>
      </c>
      <c r="E1753" s="30">
        <v>24818</v>
      </c>
      <c r="F1753" s="30">
        <v>24593</v>
      </c>
      <c r="G1753" s="30">
        <v>24245</v>
      </c>
      <c r="H1753" s="30">
        <v>23927</v>
      </c>
      <c r="I1753" s="30">
        <v>23824</v>
      </c>
      <c r="J1753" s="30">
        <v>23957</v>
      </c>
      <c r="K1753" s="30">
        <v>23904</v>
      </c>
      <c r="L1753" s="30">
        <v>24021</v>
      </c>
      <c r="M1753" s="30">
        <v>24506</v>
      </c>
      <c r="N1753" s="30">
        <v>24909</v>
      </c>
      <c r="O1753" s="24" t="str">
        <f t="shared" si="55"/>
        <v>Churchill County, Nevada</v>
      </c>
    </row>
    <row r="1754" spans="1:15" x14ac:dyDescent="0.25">
      <c r="A1754" s="35" t="s">
        <v>2230</v>
      </c>
      <c r="B1754" s="28" t="str">
        <f t="shared" si="54"/>
        <v>Clark</v>
      </c>
      <c r="C1754" s="30">
        <v>1951269</v>
      </c>
      <c r="D1754" s="30">
        <v>1951268</v>
      </c>
      <c r="E1754" s="30">
        <v>1952587</v>
      </c>
      <c r="F1754" s="30">
        <v>1961925</v>
      </c>
      <c r="G1754" s="30">
        <v>1989224</v>
      </c>
      <c r="H1754" s="30">
        <v>2017193</v>
      </c>
      <c r="I1754" s="30">
        <v>2053134</v>
      </c>
      <c r="J1754" s="30">
        <v>2096717</v>
      </c>
      <c r="K1754" s="30">
        <v>2138836</v>
      </c>
      <c r="L1754" s="30">
        <v>2181635</v>
      </c>
      <c r="M1754" s="30">
        <v>2226115</v>
      </c>
      <c r="N1754" s="30">
        <v>2266715</v>
      </c>
      <c r="O1754" s="24" t="str">
        <f t="shared" si="55"/>
        <v>Clark County, Nevada</v>
      </c>
    </row>
    <row r="1755" spans="1:15" x14ac:dyDescent="0.25">
      <c r="A1755" s="35" t="s">
        <v>2231</v>
      </c>
      <c r="B1755" s="28" t="str">
        <f t="shared" si="54"/>
        <v>Douglas</v>
      </c>
      <c r="C1755" s="30">
        <v>46997</v>
      </c>
      <c r="D1755" s="30">
        <v>47000</v>
      </c>
      <c r="E1755" s="30">
        <v>47037</v>
      </c>
      <c r="F1755" s="30">
        <v>46971</v>
      </c>
      <c r="G1755" s="30">
        <v>46910</v>
      </c>
      <c r="H1755" s="30">
        <v>46935</v>
      </c>
      <c r="I1755" s="30">
        <v>47373</v>
      </c>
      <c r="J1755" s="30">
        <v>47404</v>
      </c>
      <c r="K1755" s="30">
        <v>47834</v>
      </c>
      <c r="L1755" s="30">
        <v>48030</v>
      </c>
      <c r="M1755" s="30">
        <v>48489</v>
      </c>
      <c r="N1755" s="30">
        <v>48905</v>
      </c>
      <c r="O1755" s="24" t="str">
        <f t="shared" si="55"/>
        <v>Douglas County, Nevada</v>
      </c>
    </row>
    <row r="1756" spans="1:15" x14ac:dyDescent="0.25">
      <c r="A1756" s="35" t="s">
        <v>2232</v>
      </c>
      <c r="B1756" s="28" t="str">
        <f t="shared" si="54"/>
        <v>Elko</v>
      </c>
      <c r="C1756" s="30">
        <v>48818</v>
      </c>
      <c r="D1756" s="30">
        <v>48942</v>
      </c>
      <c r="E1756" s="30">
        <v>49088</v>
      </c>
      <c r="F1756" s="30">
        <v>49442</v>
      </c>
      <c r="G1756" s="30">
        <v>50969</v>
      </c>
      <c r="H1756" s="30">
        <v>52334</v>
      </c>
      <c r="I1756" s="30">
        <v>52531</v>
      </c>
      <c r="J1756" s="30">
        <v>51728</v>
      </c>
      <c r="K1756" s="30">
        <v>52082</v>
      </c>
      <c r="L1756" s="30">
        <v>52357</v>
      </c>
      <c r="M1756" s="30">
        <v>52539</v>
      </c>
      <c r="N1756" s="30">
        <v>52778</v>
      </c>
      <c r="O1756" s="24" t="str">
        <f t="shared" si="55"/>
        <v>Elko County, Nevada</v>
      </c>
    </row>
    <row r="1757" spans="1:15" x14ac:dyDescent="0.25">
      <c r="A1757" s="35" t="s">
        <v>2233</v>
      </c>
      <c r="B1757" s="28" t="str">
        <f t="shared" si="54"/>
        <v>Esmeralda</v>
      </c>
      <c r="C1757" s="30">
        <v>783</v>
      </c>
      <c r="D1757" s="30">
        <v>784</v>
      </c>
      <c r="E1757" s="30">
        <v>784</v>
      </c>
      <c r="F1757" s="30">
        <v>770</v>
      </c>
      <c r="G1757" s="30">
        <v>791</v>
      </c>
      <c r="H1757" s="30">
        <v>847</v>
      </c>
      <c r="I1757" s="30">
        <v>824</v>
      </c>
      <c r="J1757" s="30">
        <v>830</v>
      </c>
      <c r="K1757" s="30">
        <v>826</v>
      </c>
      <c r="L1757" s="30">
        <v>843</v>
      </c>
      <c r="M1757" s="30">
        <v>827</v>
      </c>
      <c r="N1757" s="30">
        <v>873</v>
      </c>
      <c r="O1757" s="24" t="str">
        <f t="shared" si="55"/>
        <v>Esmeralda County, Nevada</v>
      </c>
    </row>
    <row r="1758" spans="1:15" x14ac:dyDescent="0.25">
      <c r="A1758" s="35" t="s">
        <v>2234</v>
      </c>
      <c r="B1758" s="28" t="str">
        <f t="shared" si="54"/>
        <v>Eureka</v>
      </c>
      <c r="C1758" s="30">
        <v>1987</v>
      </c>
      <c r="D1758" s="30">
        <v>1987</v>
      </c>
      <c r="E1758" s="30">
        <v>1990</v>
      </c>
      <c r="F1758" s="30">
        <v>1977</v>
      </c>
      <c r="G1758" s="30">
        <v>1991</v>
      </c>
      <c r="H1758" s="30">
        <v>2049</v>
      </c>
      <c r="I1758" s="30">
        <v>1988</v>
      </c>
      <c r="J1758" s="30">
        <v>2029</v>
      </c>
      <c r="K1758" s="30">
        <v>1936</v>
      </c>
      <c r="L1758" s="30">
        <v>1946</v>
      </c>
      <c r="M1758" s="30">
        <v>1998</v>
      </c>
      <c r="N1758" s="30">
        <v>2029</v>
      </c>
      <c r="O1758" s="24" t="str">
        <f t="shared" si="55"/>
        <v>Eureka County, Nevada</v>
      </c>
    </row>
    <row r="1759" spans="1:15" x14ac:dyDescent="0.25">
      <c r="A1759" s="35" t="s">
        <v>2235</v>
      </c>
      <c r="B1759" s="28" t="str">
        <f t="shared" si="54"/>
        <v>Humboldt</v>
      </c>
      <c r="C1759" s="30">
        <v>16528</v>
      </c>
      <c r="D1759" s="30">
        <v>16521</v>
      </c>
      <c r="E1759" s="30">
        <v>16584</v>
      </c>
      <c r="F1759" s="30">
        <v>16639</v>
      </c>
      <c r="G1759" s="30">
        <v>17071</v>
      </c>
      <c r="H1759" s="30">
        <v>17354</v>
      </c>
      <c r="I1759" s="30">
        <v>17215</v>
      </c>
      <c r="J1759" s="30">
        <v>17017</v>
      </c>
      <c r="K1759" s="30">
        <v>16795</v>
      </c>
      <c r="L1759" s="30">
        <v>16719</v>
      </c>
      <c r="M1759" s="30">
        <v>16778</v>
      </c>
      <c r="N1759" s="30">
        <v>16831</v>
      </c>
      <c r="O1759" s="24" t="str">
        <f t="shared" si="55"/>
        <v>Humboldt County, Nevada</v>
      </c>
    </row>
    <row r="1760" spans="1:15" x14ac:dyDescent="0.25">
      <c r="A1760" s="35" t="s">
        <v>2236</v>
      </c>
      <c r="B1760" s="28" t="str">
        <f t="shared" si="54"/>
        <v>Lander</v>
      </c>
      <c r="C1760" s="30">
        <v>5775</v>
      </c>
      <c r="D1760" s="30">
        <v>5775</v>
      </c>
      <c r="E1760" s="30">
        <v>5795</v>
      </c>
      <c r="F1760" s="30">
        <v>5839</v>
      </c>
      <c r="G1760" s="30">
        <v>5920</v>
      </c>
      <c r="H1760" s="30">
        <v>6060</v>
      </c>
      <c r="I1760" s="30">
        <v>5968</v>
      </c>
      <c r="J1760" s="30">
        <v>5873</v>
      </c>
      <c r="K1760" s="30">
        <v>5684</v>
      </c>
      <c r="L1760" s="30">
        <v>5579</v>
      </c>
      <c r="M1760" s="30">
        <v>5547</v>
      </c>
      <c r="N1760" s="30">
        <v>5532</v>
      </c>
      <c r="O1760" s="24" t="str">
        <f t="shared" si="55"/>
        <v>Lander County, Nevada</v>
      </c>
    </row>
    <row r="1761" spans="1:15" x14ac:dyDescent="0.25">
      <c r="A1761" s="35" t="s">
        <v>2237</v>
      </c>
      <c r="B1761" s="28" t="str">
        <f t="shared" si="54"/>
        <v>Lincoln</v>
      </c>
      <c r="C1761" s="30">
        <v>5345</v>
      </c>
      <c r="D1761" s="30">
        <v>5339</v>
      </c>
      <c r="E1761" s="30">
        <v>5351</v>
      </c>
      <c r="F1761" s="30">
        <v>5269</v>
      </c>
      <c r="G1761" s="30">
        <v>5371</v>
      </c>
      <c r="H1761" s="30">
        <v>5267</v>
      </c>
      <c r="I1761" s="30">
        <v>5199</v>
      </c>
      <c r="J1761" s="30">
        <v>5136</v>
      </c>
      <c r="K1761" s="30">
        <v>5154</v>
      </c>
      <c r="L1761" s="30">
        <v>5191</v>
      </c>
      <c r="M1761" s="30">
        <v>5237</v>
      </c>
      <c r="N1761" s="30">
        <v>5183</v>
      </c>
      <c r="O1761" s="24" t="str">
        <f t="shared" si="55"/>
        <v>Lincoln County, Nevada</v>
      </c>
    </row>
    <row r="1762" spans="1:15" x14ac:dyDescent="0.25">
      <c r="A1762" s="35" t="s">
        <v>2238</v>
      </c>
      <c r="B1762" s="28" t="str">
        <f t="shared" si="54"/>
        <v>Lyon</v>
      </c>
      <c r="C1762" s="30">
        <v>51980</v>
      </c>
      <c r="D1762" s="30">
        <v>51982</v>
      </c>
      <c r="E1762" s="30">
        <v>52045</v>
      </c>
      <c r="F1762" s="30">
        <v>51385</v>
      </c>
      <c r="G1762" s="30">
        <v>50971</v>
      </c>
      <c r="H1762" s="30">
        <v>51090</v>
      </c>
      <c r="I1762" s="30">
        <v>51334</v>
      </c>
      <c r="J1762" s="30">
        <v>51974</v>
      </c>
      <c r="K1762" s="30">
        <v>52707</v>
      </c>
      <c r="L1762" s="30">
        <v>53895</v>
      </c>
      <c r="M1762" s="30">
        <v>55813</v>
      </c>
      <c r="N1762" s="30">
        <v>57510</v>
      </c>
      <c r="O1762" s="24" t="str">
        <f t="shared" si="55"/>
        <v>Lyon County, Nevada</v>
      </c>
    </row>
    <row r="1763" spans="1:15" x14ac:dyDescent="0.25">
      <c r="A1763" s="35" t="s">
        <v>2239</v>
      </c>
      <c r="B1763" s="28" t="str">
        <f t="shared" si="54"/>
        <v>Mineral</v>
      </c>
      <c r="C1763" s="30">
        <v>4772</v>
      </c>
      <c r="D1763" s="30">
        <v>4770</v>
      </c>
      <c r="E1763" s="30">
        <v>4786</v>
      </c>
      <c r="F1763" s="30">
        <v>4628</v>
      </c>
      <c r="G1763" s="30">
        <v>4657</v>
      </c>
      <c r="H1763" s="30">
        <v>4553</v>
      </c>
      <c r="I1763" s="30">
        <v>4469</v>
      </c>
      <c r="J1763" s="30">
        <v>4420</v>
      </c>
      <c r="K1763" s="30">
        <v>4376</v>
      </c>
      <c r="L1763" s="30">
        <v>4455</v>
      </c>
      <c r="M1763" s="30">
        <v>4544</v>
      </c>
      <c r="N1763" s="30">
        <v>4505</v>
      </c>
      <c r="O1763" s="24" t="str">
        <f t="shared" si="55"/>
        <v>Mineral County, Nevada</v>
      </c>
    </row>
    <row r="1764" spans="1:15" x14ac:dyDescent="0.25">
      <c r="A1764" s="35" t="s">
        <v>2240</v>
      </c>
      <c r="B1764" s="28" t="str">
        <f t="shared" si="54"/>
        <v>Nye</v>
      </c>
      <c r="C1764" s="30">
        <v>43946</v>
      </c>
      <c r="D1764" s="30">
        <v>43945</v>
      </c>
      <c r="E1764" s="30">
        <v>43844</v>
      </c>
      <c r="F1764" s="30">
        <v>43976</v>
      </c>
      <c r="G1764" s="30">
        <v>43585</v>
      </c>
      <c r="H1764" s="30">
        <v>42869</v>
      </c>
      <c r="I1764" s="30">
        <v>42840</v>
      </c>
      <c r="J1764" s="30">
        <v>42966</v>
      </c>
      <c r="K1764" s="30">
        <v>43248</v>
      </c>
      <c r="L1764" s="30">
        <v>43977</v>
      </c>
      <c r="M1764" s="30">
        <v>45186</v>
      </c>
      <c r="N1764" s="30">
        <v>46523</v>
      </c>
      <c r="O1764" s="24" t="str">
        <f t="shared" si="55"/>
        <v>Nye County, Nevada</v>
      </c>
    </row>
    <row r="1765" spans="1:15" x14ac:dyDescent="0.25">
      <c r="A1765" s="35" t="s">
        <v>2241</v>
      </c>
      <c r="B1765" s="28" t="str">
        <f t="shared" si="54"/>
        <v>Pershing</v>
      </c>
      <c r="C1765" s="30">
        <v>6753</v>
      </c>
      <c r="D1765" s="30">
        <v>6752</v>
      </c>
      <c r="E1765" s="30">
        <v>6737</v>
      </c>
      <c r="F1765" s="30">
        <v>6610</v>
      </c>
      <c r="G1765" s="30">
        <v>6751</v>
      </c>
      <c r="H1765" s="30">
        <v>6842</v>
      </c>
      <c r="I1765" s="30">
        <v>6702</v>
      </c>
      <c r="J1765" s="30">
        <v>6618</v>
      </c>
      <c r="K1765" s="30">
        <v>6576</v>
      </c>
      <c r="L1765" s="30">
        <v>6469</v>
      </c>
      <c r="M1765" s="30">
        <v>6685</v>
      </c>
      <c r="N1765" s="30">
        <v>6725</v>
      </c>
      <c r="O1765" s="24" t="str">
        <f t="shared" si="55"/>
        <v>Pershing County, Nevada</v>
      </c>
    </row>
    <row r="1766" spans="1:15" x14ac:dyDescent="0.25">
      <c r="A1766" s="35" t="s">
        <v>2242</v>
      </c>
      <c r="B1766" s="28" t="str">
        <f t="shared" si="54"/>
        <v>Storey</v>
      </c>
      <c r="C1766" s="30">
        <v>4010</v>
      </c>
      <c r="D1766" s="30">
        <v>4013</v>
      </c>
      <c r="E1766" s="30">
        <v>3997</v>
      </c>
      <c r="F1766" s="30">
        <v>3905</v>
      </c>
      <c r="G1766" s="30">
        <v>3838</v>
      </c>
      <c r="H1766" s="30">
        <v>3795</v>
      </c>
      <c r="I1766" s="30">
        <v>3803</v>
      </c>
      <c r="J1766" s="30">
        <v>3876</v>
      </c>
      <c r="K1766" s="30">
        <v>3986</v>
      </c>
      <c r="L1766" s="30">
        <v>3976</v>
      </c>
      <c r="M1766" s="30">
        <v>3981</v>
      </c>
      <c r="N1766" s="30">
        <v>4123</v>
      </c>
      <c r="O1766" s="24" t="str">
        <f t="shared" si="55"/>
        <v>Storey County, Nevada</v>
      </c>
    </row>
    <row r="1767" spans="1:15" x14ac:dyDescent="0.25">
      <c r="A1767" s="35" t="s">
        <v>2243</v>
      </c>
      <c r="B1767" s="28" t="str">
        <f t="shared" si="54"/>
        <v>Washoe</v>
      </c>
      <c r="C1767" s="30">
        <v>421407</v>
      </c>
      <c r="D1767" s="30">
        <v>421429</v>
      </c>
      <c r="E1767" s="30">
        <v>421954</v>
      </c>
      <c r="F1767" s="30">
        <v>423996</v>
      </c>
      <c r="G1767" s="30">
        <v>427370</v>
      </c>
      <c r="H1767" s="30">
        <v>431083</v>
      </c>
      <c r="I1767" s="30">
        <v>436307</v>
      </c>
      <c r="J1767" s="30">
        <v>442453</v>
      </c>
      <c r="K1767" s="30">
        <v>449723</v>
      </c>
      <c r="L1767" s="30">
        <v>456629</v>
      </c>
      <c r="M1767" s="30">
        <v>464354</v>
      </c>
      <c r="N1767" s="30">
        <v>471519</v>
      </c>
      <c r="O1767" s="24" t="str">
        <f t="shared" si="55"/>
        <v>Washoe County, Nevada</v>
      </c>
    </row>
    <row r="1768" spans="1:15" x14ac:dyDescent="0.25">
      <c r="A1768" s="35" t="s">
        <v>2244</v>
      </c>
      <c r="B1768" s="28" t="str">
        <f t="shared" si="54"/>
        <v>White Pine</v>
      </c>
      <c r="C1768" s="30">
        <v>10030</v>
      </c>
      <c r="D1768" s="30">
        <v>10026</v>
      </c>
      <c r="E1768" s="30">
        <v>10027</v>
      </c>
      <c r="F1768" s="30">
        <v>10129</v>
      </c>
      <c r="G1768" s="30">
        <v>10020</v>
      </c>
      <c r="H1768" s="30">
        <v>10046</v>
      </c>
      <c r="I1768" s="30">
        <v>10035</v>
      </c>
      <c r="J1768" s="30">
        <v>9873</v>
      </c>
      <c r="K1768" s="30">
        <v>9749</v>
      </c>
      <c r="L1768" s="30">
        <v>9651</v>
      </c>
      <c r="M1768" s="30">
        <v>9540</v>
      </c>
      <c r="N1768" s="30">
        <v>9580</v>
      </c>
      <c r="O1768" s="24" t="str">
        <f t="shared" si="55"/>
        <v>White Pine County, Nevada</v>
      </c>
    </row>
    <row r="1769" spans="1:15" x14ac:dyDescent="0.25">
      <c r="A1769" s="35" t="s">
        <v>2245</v>
      </c>
      <c r="B1769" s="28" t="e">
        <f t="shared" si="54"/>
        <v>#VALUE!</v>
      </c>
      <c r="C1769" s="30">
        <v>55274</v>
      </c>
      <c r="D1769" s="30">
        <v>55269</v>
      </c>
      <c r="E1769" s="30">
        <v>54981</v>
      </c>
      <c r="F1769" s="30">
        <v>54676</v>
      </c>
      <c r="G1769" s="30">
        <v>54312</v>
      </c>
      <c r="H1769" s="30">
        <v>53726</v>
      </c>
      <c r="I1769" s="30">
        <v>54082</v>
      </c>
      <c r="J1769" s="30">
        <v>54068</v>
      </c>
      <c r="K1769" s="30">
        <v>54147</v>
      </c>
      <c r="L1769" s="30">
        <v>54532</v>
      </c>
      <c r="M1769" s="30">
        <v>55202</v>
      </c>
      <c r="N1769" s="30">
        <v>55916</v>
      </c>
      <c r="O1769" s="24" t="str">
        <f t="shared" si="55"/>
        <v>Carson City, Nevada</v>
      </c>
    </row>
    <row r="1770" spans="1:15" x14ac:dyDescent="0.25">
      <c r="A1770" s="35" t="s">
        <v>2246</v>
      </c>
      <c r="B1770" s="28" t="str">
        <f t="shared" si="54"/>
        <v>Belknap</v>
      </c>
      <c r="C1770" s="30">
        <v>60088</v>
      </c>
      <c r="D1770" s="30">
        <v>60075</v>
      </c>
      <c r="E1770" s="30">
        <v>60101</v>
      </c>
      <c r="F1770" s="30">
        <v>60335</v>
      </c>
      <c r="G1770" s="30">
        <v>60438</v>
      </c>
      <c r="H1770" s="30">
        <v>60235</v>
      </c>
      <c r="I1770" s="30">
        <v>60285</v>
      </c>
      <c r="J1770" s="30">
        <v>60370</v>
      </c>
      <c r="K1770" s="30">
        <v>60747</v>
      </c>
      <c r="L1770" s="30">
        <v>60872</v>
      </c>
      <c r="M1770" s="30">
        <v>61145</v>
      </c>
      <c r="N1770" s="30">
        <v>61303</v>
      </c>
      <c r="O1770" s="24" t="str">
        <f t="shared" si="55"/>
        <v>Belknap County, New Hampshire</v>
      </c>
    </row>
    <row r="1771" spans="1:15" x14ac:dyDescent="0.25">
      <c r="A1771" s="35" t="s">
        <v>2247</v>
      </c>
      <c r="B1771" s="28" t="str">
        <f t="shared" si="54"/>
        <v>Carroll</v>
      </c>
      <c r="C1771" s="30">
        <v>47818</v>
      </c>
      <c r="D1771" s="30">
        <v>47823</v>
      </c>
      <c r="E1771" s="30">
        <v>47826</v>
      </c>
      <c r="F1771" s="30">
        <v>47680</v>
      </c>
      <c r="G1771" s="30">
        <v>47694</v>
      </c>
      <c r="H1771" s="30">
        <v>47520</v>
      </c>
      <c r="I1771" s="30">
        <v>47433</v>
      </c>
      <c r="J1771" s="30">
        <v>47399</v>
      </c>
      <c r="K1771" s="30">
        <v>47497</v>
      </c>
      <c r="L1771" s="30">
        <v>48132</v>
      </c>
      <c r="M1771" s="30">
        <v>48754</v>
      </c>
      <c r="N1771" s="30">
        <v>48910</v>
      </c>
      <c r="O1771" s="24" t="str">
        <f t="shared" si="55"/>
        <v>Carroll County, New Hampshire</v>
      </c>
    </row>
    <row r="1772" spans="1:15" x14ac:dyDescent="0.25">
      <c r="A1772" s="35" t="s">
        <v>2248</v>
      </c>
      <c r="B1772" s="28" t="str">
        <f t="shared" si="54"/>
        <v>Cheshire</v>
      </c>
      <c r="C1772" s="30">
        <v>77117</v>
      </c>
      <c r="D1772" s="30">
        <v>77122</v>
      </c>
      <c r="E1772" s="30">
        <v>77058</v>
      </c>
      <c r="F1772" s="30">
        <v>76933</v>
      </c>
      <c r="G1772" s="30">
        <v>76902</v>
      </c>
      <c r="H1772" s="30">
        <v>76712</v>
      </c>
      <c r="I1772" s="30">
        <v>76426</v>
      </c>
      <c r="J1772" s="30">
        <v>76288</v>
      </c>
      <c r="K1772" s="30">
        <v>75975</v>
      </c>
      <c r="L1772" s="30">
        <v>75963</v>
      </c>
      <c r="M1772" s="30">
        <v>75901</v>
      </c>
      <c r="N1772" s="30">
        <v>76085</v>
      </c>
      <c r="O1772" s="24" t="str">
        <f t="shared" si="55"/>
        <v>Cheshire County, New Hampshire</v>
      </c>
    </row>
    <row r="1773" spans="1:15" x14ac:dyDescent="0.25">
      <c r="A1773" s="35" t="s">
        <v>2249</v>
      </c>
      <c r="B1773" s="28" t="str">
        <f t="shared" si="54"/>
        <v>Coos</v>
      </c>
      <c r="C1773" s="30">
        <v>33055</v>
      </c>
      <c r="D1773" s="30">
        <v>33052</v>
      </c>
      <c r="E1773" s="30">
        <v>32970</v>
      </c>
      <c r="F1773" s="30">
        <v>32507</v>
      </c>
      <c r="G1773" s="30">
        <v>31978</v>
      </c>
      <c r="H1773" s="30">
        <v>31949</v>
      </c>
      <c r="I1773" s="30">
        <v>32779</v>
      </c>
      <c r="J1773" s="30">
        <v>32343</v>
      </c>
      <c r="K1773" s="30">
        <v>31916</v>
      </c>
      <c r="L1773" s="30">
        <v>31396</v>
      </c>
      <c r="M1773" s="30">
        <v>31486</v>
      </c>
      <c r="N1773" s="30">
        <v>31563</v>
      </c>
      <c r="O1773" s="24" t="str">
        <f t="shared" si="55"/>
        <v>Coos County, New Hampshire</v>
      </c>
    </row>
    <row r="1774" spans="1:15" x14ac:dyDescent="0.25">
      <c r="A1774" s="35" t="s">
        <v>2250</v>
      </c>
      <c r="B1774" s="28" t="str">
        <f t="shared" si="54"/>
        <v>Grafton</v>
      </c>
      <c r="C1774" s="30">
        <v>89118</v>
      </c>
      <c r="D1774" s="30">
        <v>89139</v>
      </c>
      <c r="E1774" s="30">
        <v>89130</v>
      </c>
      <c r="F1774" s="30">
        <v>89276</v>
      </c>
      <c r="G1774" s="30">
        <v>89617</v>
      </c>
      <c r="H1774" s="30">
        <v>89894</v>
      </c>
      <c r="I1774" s="30">
        <v>89930</v>
      </c>
      <c r="J1774" s="30">
        <v>89439</v>
      </c>
      <c r="K1774" s="30">
        <v>90004</v>
      </c>
      <c r="L1774" s="30">
        <v>89853</v>
      </c>
      <c r="M1774" s="30">
        <v>89701</v>
      </c>
      <c r="N1774" s="30">
        <v>89886</v>
      </c>
      <c r="O1774" s="24" t="str">
        <f t="shared" si="55"/>
        <v>Grafton County, New Hampshire</v>
      </c>
    </row>
    <row r="1775" spans="1:15" x14ac:dyDescent="0.25">
      <c r="A1775" s="35" t="s">
        <v>2251</v>
      </c>
      <c r="B1775" s="28" t="str">
        <f t="shared" si="54"/>
        <v>Hillsborough</v>
      </c>
      <c r="C1775" s="30">
        <v>400721</v>
      </c>
      <c r="D1775" s="30">
        <v>400706</v>
      </c>
      <c r="E1775" s="30">
        <v>401055</v>
      </c>
      <c r="F1775" s="30">
        <v>402774</v>
      </c>
      <c r="G1775" s="30">
        <v>404344</v>
      </c>
      <c r="H1775" s="30">
        <v>405281</v>
      </c>
      <c r="I1775" s="30">
        <v>407275</v>
      </c>
      <c r="J1775" s="30">
        <v>408985</v>
      </c>
      <c r="K1775" s="30">
        <v>411333</v>
      </c>
      <c r="L1775" s="30">
        <v>413204</v>
      </c>
      <c r="M1775" s="30">
        <v>414630</v>
      </c>
      <c r="N1775" s="30">
        <v>417025</v>
      </c>
      <c r="O1775" s="24" t="str">
        <f t="shared" si="55"/>
        <v>Hillsborough County, New Hampshire</v>
      </c>
    </row>
    <row r="1776" spans="1:15" x14ac:dyDescent="0.25">
      <c r="A1776" s="35" t="s">
        <v>2252</v>
      </c>
      <c r="B1776" s="28" t="str">
        <f t="shared" si="54"/>
        <v>Merrimack</v>
      </c>
      <c r="C1776" s="30">
        <v>146445</v>
      </c>
      <c r="D1776" s="30">
        <v>146451</v>
      </c>
      <c r="E1776" s="30">
        <v>146388</v>
      </c>
      <c r="F1776" s="30">
        <v>146867</v>
      </c>
      <c r="G1776" s="30">
        <v>147105</v>
      </c>
      <c r="H1776" s="30">
        <v>147497</v>
      </c>
      <c r="I1776" s="30">
        <v>148161</v>
      </c>
      <c r="J1776" s="30">
        <v>148649</v>
      </c>
      <c r="K1776" s="30">
        <v>149063</v>
      </c>
      <c r="L1776" s="30">
        <v>149830</v>
      </c>
      <c r="M1776" s="30">
        <v>150650</v>
      </c>
      <c r="N1776" s="30">
        <v>151391</v>
      </c>
      <c r="O1776" s="24" t="str">
        <f t="shared" si="55"/>
        <v>Merrimack County, New Hampshire</v>
      </c>
    </row>
    <row r="1777" spans="1:15" x14ac:dyDescent="0.25">
      <c r="A1777" s="35" t="s">
        <v>2253</v>
      </c>
      <c r="B1777" s="28" t="str">
        <f t="shared" si="54"/>
        <v>Rockingham</v>
      </c>
      <c r="C1777" s="30">
        <v>295223</v>
      </c>
      <c r="D1777" s="30">
        <v>295204</v>
      </c>
      <c r="E1777" s="30">
        <v>295289</v>
      </c>
      <c r="F1777" s="30">
        <v>296195</v>
      </c>
      <c r="G1777" s="30">
        <v>298157</v>
      </c>
      <c r="H1777" s="30">
        <v>299456</v>
      </c>
      <c r="I1777" s="30">
        <v>301361</v>
      </c>
      <c r="J1777" s="30">
        <v>302691</v>
      </c>
      <c r="K1777" s="30">
        <v>304377</v>
      </c>
      <c r="L1777" s="30">
        <v>306669</v>
      </c>
      <c r="M1777" s="30">
        <v>308287</v>
      </c>
      <c r="N1777" s="30">
        <v>309769</v>
      </c>
      <c r="O1777" s="24" t="str">
        <f t="shared" si="55"/>
        <v>Rockingham County, New Hampshire</v>
      </c>
    </row>
    <row r="1778" spans="1:15" x14ac:dyDescent="0.25">
      <c r="A1778" s="35" t="s">
        <v>2254</v>
      </c>
      <c r="B1778" s="28" t="str">
        <f t="shared" si="54"/>
        <v>Strafford</v>
      </c>
      <c r="C1778" s="30">
        <v>123143</v>
      </c>
      <c r="D1778" s="30">
        <v>123151</v>
      </c>
      <c r="E1778" s="30">
        <v>123200</v>
      </c>
      <c r="F1778" s="30">
        <v>124133</v>
      </c>
      <c r="G1778" s="30">
        <v>124768</v>
      </c>
      <c r="H1778" s="30">
        <v>125029</v>
      </c>
      <c r="I1778" s="30">
        <v>126542</v>
      </c>
      <c r="J1778" s="30">
        <v>127038</v>
      </c>
      <c r="K1778" s="30">
        <v>128311</v>
      </c>
      <c r="L1778" s="30">
        <v>129841</v>
      </c>
      <c r="M1778" s="30">
        <v>129797</v>
      </c>
      <c r="N1778" s="30">
        <v>130633</v>
      </c>
      <c r="O1778" s="24" t="str">
        <f t="shared" si="55"/>
        <v>Strafford County, New Hampshire</v>
      </c>
    </row>
    <row r="1779" spans="1:15" x14ac:dyDescent="0.25">
      <c r="A1779" s="35" t="s">
        <v>2255</v>
      </c>
      <c r="B1779" s="28" t="str">
        <f t="shared" si="54"/>
        <v>Sullivan</v>
      </c>
      <c r="C1779" s="30">
        <v>43742</v>
      </c>
      <c r="D1779" s="30">
        <v>43739</v>
      </c>
      <c r="E1779" s="30">
        <v>43745</v>
      </c>
      <c r="F1779" s="30">
        <v>43502</v>
      </c>
      <c r="G1779" s="30">
        <v>43229</v>
      </c>
      <c r="H1779" s="30">
        <v>43049</v>
      </c>
      <c r="I1779" s="30">
        <v>43149</v>
      </c>
      <c r="J1779" s="30">
        <v>43148</v>
      </c>
      <c r="K1779" s="30">
        <v>43084</v>
      </c>
      <c r="L1779" s="30">
        <v>43027</v>
      </c>
      <c r="M1779" s="30">
        <v>43114</v>
      </c>
      <c r="N1779" s="30">
        <v>43146</v>
      </c>
      <c r="O1779" s="24" t="str">
        <f t="shared" si="55"/>
        <v>Sullivan County, New Hampshire</v>
      </c>
    </row>
    <row r="1780" spans="1:15" x14ac:dyDescent="0.25">
      <c r="A1780" s="35" t="s">
        <v>2256</v>
      </c>
      <c r="B1780" s="28" t="str">
        <f t="shared" si="54"/>
        <v>Atlantic</v>
      </c>
      <c r="C1780" s="30">
        <v>274549</v>
      </c>
      <c r="D1780" s="30">
        <v>274525</v>
      </c>
      <c r="E1780" s="30">
        <v>274648</v>
      </c>
      <c r="F1780" s="30">
        <v>274621</v>
      </c>
      <c r="G1780" s="30">
        <v>274629</v>
      </c>
      <c r="H1780" s="30">
        <v>274314</v>
      </c>
      <c r="I1780" s="30">
        <v>272578</v>
      </c>
      <c r="J1780" s="30">
        <v>270153</v>
      </c>
      <c r="K1780" s="30">
        <v>267217</v>
      </c>
      <c r="L1780" s="30">
        <v>265498</v>
      </c>
      <c r="M1780" s="30">
        <v>263989</v>
      </c>
      <c r="N1780" s="30">
        <v>263670</v>
      </c>
      <c r="O1780" s="24" t="str">
        <f t="shared" si="55"/>
        <v>Atlantic County, New Jersey</v>
      </c>
    </row>
    <row r="1781" spans="1:15" x14ac:dyDescent="0.25">
      <c r="A1781" s="35" t="s">
        <v>2257</v>
      </c>
      <c r="B1781" s="28" t="str">
        <f t="shared" si="54"/>
        <v>Bergen</v>
      </c>
      <c r="C1781" s="30">
        <v>905116</v>
      </c>
      <c r="D1781" s="30">
        <v>905107</v>
      </c>
      <c r="E1781" s="30">
        <v>906284</v>
      </c>
      <c r="F1781" s="30">
        <v>911994</v>
      </c>
      <c r="G1781" s="30">
        <v>916255</v>
      </c>
      <c r="H1781" s="30">
        <v>919951</v>
      </c>
      <c r="I1781" s="30">
        <v>923403</v>
      </c>
      <c r="J1781" s="30">
        <v>926391</v>
      </c>
      <c r="K1781" s="30">
        <v>928120</v>
      </c>
      <c r="L1781" s="30">
        <v>932420</v>
      </c>
      <c r="M1781" s="30">
        <v>932816</v>
      </c>
      <c r="N1781" s="30">
        <v>932202</v>
      </c>
      <c r="O1781" s="24" t="str">
        <f t="shared" si="55"/>
        <v>Bergen County, New Jersey</v>
      </c>
    </row>
    <row r="1782" spans="1:15" x14ac:dyDescent="0.25">
      <c r="A1782" s="35" t="s">
        <v>2258</v>
      </c>
      <c r="B1782" s="28" t="str">
        <f t="shared" si="54"/>
        <v>Burlington</v>
      </c>
      <c r="C1782" s="30">
        <v>448734</v>
      </c>
      <c r="D1782" s="30">
        <v>448730</v>
      </c>
      <c r="E1782" s="30">
        <v>449129</v>
      </c>
      <c r="F1782" s="30">
        <v>450187</v>
      </c>
      <c r="G1782" s="30">
        <v>450522</v>
      </c>
      <c r="H1782" s="30">
        <v>448824</v>
      </c>
      <c r="I1782" s="30">
        <v>448168</v>
      </c>
      <c r="J1782" s="30">
        <v>446832</v>
      </c>
      <c r="K1782" s="30">
        <v>445972</v>
      </c>
      <c r="L1782" s="30">
        <v>445610</v>
      </c>
      <c r="M1782" s="30">
        <v>444745</v>
      </c>
      <c r="N1782" s="30">
        <v>445349</v>
      </c>
      <c r="O1782" s="24" t="str">
        <f t="shared" si="55"/>
        <v>Burlington County, New Jersey</v>
      </c>
    </row>
    <row r="1783" spans="1:15" x14ac:dyDescent="0.25">
      <c r="A1783" s="35" t="s">
        <v>2259</v>
      </c>
      <c r="B1783" s="28" t="str">
        <f t="shared" si="54"/>
        <v>Camden</v>
      </c>
      <c r="C1783" s="30">
        <v>513657</v>
      </c>
      <c r="D1783" s="30">
        <v>513535</v>
      </c>
      <c r="E1783" s="30">
        <v>513275</v>
      </c>
      <c r="F1783" s="30">
        <v>512585</v>
      </c>
      <c r="G1783" s="30">
        <v>511584</v>
      </c>
      <c r="H1783" s="30">
        <v>509908</v>
      </c>
      <c r="I1783" s="30">
        <v>508316</v>
      </c>
      <c r="J1783" s="30">
        <v>507638</v>
      </c>
      <c r="K1783" s="30">
        <v>507002</v>
      </c>
      <c r="L1783" s="30">
        <v>506224</v>
      </c>
      <c r="M1783" s="30">
        <v>506353</v>
      </c>
      <c r="N1783" s="30">
        <v>506471</v>
      </c>
      <c r="O1783" s="24" t="str">
        <f t="shared" si="55"/>
        <v>Camden County, New Jersey</v>
      </c>
    </row>
    <row r="1784" spans="1:15" x14ac:dyDescent="0.25">
      <c r="A1784" s="35" t="s">
        <v>2260</v>
      </c>
      <c r="B1784" s="28" t="str">
        <f t="shared" si="54"/>
        <v>Cape May</v>
      </c>
      <c r="C1784" s="30">
        <v>97265</v>
      </c>
      <c r="D1784" s="30">
        <v>97257</v>
      </c>
      <c r="E1784" s="30">
        <v>97212</v>
      </c>
      <c r="F1784" s="30">
        <v>96494</v>
      </c>
      <c r="G1784" s="30">
        <v>96228</v>
      </c>
      <c r="H1784" s="30">
        <v>95498</v>
      </c>
      <c r="I1784" s="30">
        <v>94907</v>
      </c>
      <c r="J1784" s="30">
        <v>94160</v>
      </c>
      <c r="K1784" s="30">
        <v>93655</v>
      </c>
      <c r="L1784" s="30">
        <v>93129</v>
      </c>
      <c r="M1784" s="30">
        <v>92446</v>
      </c>
      <c r="N1784" s="30">
        <v>92039</v>
      </c>
      <c r="O1784" s="24" t="str">
        <f t="shared" si="55"/>
        <v>Cape May County, New Jersey</v>
      </c>
    </row>
    <row r="1785" spans="1:15" x14ac:dyDescent="0.25">
      <c r="A1785" s="35" t="s">
        <v>2261</v>
      </c>
      <c r="B1785" s="28" t="str">
        <f t="shared" si="54"/>
        <v>Cumberland</v>
      </c>
      <c r="C1785" s="30">
        <v>156898</v>
      </c>
      <c r="D1785" s="30">
        <v>156627</v>
      </c>
      <c r="E1785" s="30">
        <v>156699</v>
      </c>
      <c r="F1785" s="30">
        <v>157043</v>
      </c>
      <c r="G1785" s="30">
        <v>156934</v>
      </c>
      <c r="H1785" s="30">
        <v>156098</v>
      </c>
      <c r="I1785" s="30">
        <v>156009</v>
      </c>
      <c r="J1785" s="30">
        <v>154712</v>
      </c>
      <c r="K1785" s="30">
        <v>153233</v>
      </c>
      <c r="L1785" s="30">
        <v>151423</v>
      </c>
      <c r="M1785" s="30">
        <v>150635</v>
      </c>
      <c r="N1785" s="30">
        <v>149527</v>
      </c>
      <c r="O1785" s="24" t="str">
        <f t="shared" si="55"/>
        <v>Cumberland County, New Jersey</v>
      </c>
    </row>
    <row r="1786" spans="1:15" x14ac:dyDescent="0.25">
      <c r="A1786" s="35" t="s">
        <v>2262</v>
      </c>
      <c r="B1786" s="28" t="str">
        <f t="shared" si="54"/>
        <v>Essex</v>
      </c>
      <c r="C1786" s="30">
        <v>783969</v>
      </c>
      <c r="D1786" s="30">
        <v>783891</v>
      </c>
      <c r="E1786" s="30">
        <v>784037</v>
      </c>
      <c r="F1786" s="30">
        <v>785551</v>
      </c>
      <c r="G1786" s="30">
        <v>785063</v>
      </c>
      <c r="H1786" s="30">
        <v>786649</v>
      </c>
      <c r="I1786" s="30">
        <v>788726</v>
      </c>
      <c r="J1786" s="30">
        <v>790439</v>
      </c>
      <c r="K1786" s="30">
        <v>792689</v>
      </c>
      <c r="L1786" s="30">
        <v>796349</v>
      </c>
      <c r="M1786" s="30">
        <v>798570</v>
      </c>
      <c r="N1786" s="30">
        <v>798975</v>
      </c>
      <c r="O1786" s="24" t="str">
        <f t="shared" si="55"/>
        <v>Essex County, New Jersey</v>
      </c>
    </row>
    <row r="1787" spans="1:15" x14ac:dyDescent="0.25">
      <c r="A1787" s="35" t="s">
        <v>2263</v>
      </c>
      <c r="B1787" s="28" t="str">
        <f t="shared" si="54"/>
        <v>Gloucester</v>
      </c>
      <c r="C1787" s="30">
        <v>288288</v>
      </c>
      <c r="D1787" s="30">
        <v>288756</v>
      </c>
      <c r="E1787" s="30">
        <v>289150</v>
      </c>
      <c r="F1787" s="30">
        <v>289687</v>
      </c>
      <c r="G1787" s="30">
        <v>289804</v>
      </c>
      <c r="H1787" s="30">
        <v>289883</v>
      </c>
      <c r="I1787" s="30">
        <v>290680</v>
      </c>
      <c r="J1787" s="30">
        <v>290943</v>
      </c>
      <c r="K1787" s="30">
        <v>290761</v>
      </c>
      <c r="L1787" s="30">
        <v>290961</v>
      </c>
      <c r="M1787" s="30">
        <v>291525</v>
      </c>
      <c r="N1787" s="30">
        <v>291636</v>
      </c>
      <c r="O1787" s="24" t="str">
        <f t="shared" si="55"/>
        <v>Gloucester County, New Jersey</v>
      </c>
    </row>
    <row r="1788" spans="1:15" x14ac:dyDescent="0.25">
      <c r="A1788" s="35" t="s">
        <v>2264</v>
      </c>
      <c r="B1788" s="28" t="str">
        <f t="shared" si="54"/>
        <v>Hudson</v>
      </c>
      <c r="C1788" s="30">
        <v>634266</v>
      </c>
      <c r="D1788" s="30">
        <v>634284</v>
      </c>
      <c r="E1788" s="30">
        <v>635652</v>
      </c>
      <c r="F1788" s="30">
        <v>645634</v>
      </c>
      <c r="G1788" s="30">
        <v>652348</v>
      </c>
      <c r="H1788" s="30">
        <v>657047</v>
      </c>
      <c r="I1788" s="30">
        <v>660240</v>
      </c>
      <c r="J1788" s="30">
        <v>664492</v>
      </c>
      <c r="K1788" s="30">
        <v>668588</v>
      </c>
      <c r="L1788" s="30">
        <v>672826</v>
      </c>
      <c r="M1788" s="30">
        <v>671931</v>
      </c>
      <c r="N1788" s="30">
        <v>672391</v>
      </c>
      <c r="O1788" s="24" t="str">
        <f t="shared" si="55"/>
        <v>Hudson County, New Jersey</v>
      </c>
    </row>
    <row r="1789" spans="1:15" x14ac:dyDescent="0.25">
      <c r="A1789" s="35" t="s">
        <v>2265</v>
      </c>
      <c r="B1789" s="28" t="str">
        <f t="shared" si="54"/>
        <v>Hunterdon</v>
      </c>
      <c r="C1789" s="30">
        <v>128349</v>
      </c>
      <c r="D1789" s="30">
        <v>127361</v>
      </c>
      <c r="E1789" s="30">
        <v>127322</v>
      </c>
      <c r="F1789" s="30">
        <v>127330</v>
      </c>
      <c r="G1789" s="30">
        <v>126594</v>
      </c>
      <c r="H1789" s="30">
        <v>126376</v>
      </c>
      <c r="I1789" s="30">
        <v>125835</v>
      </c>
      <c r="J1789" s="30">
        <v>125452</v>
      </c>
      <c r="K1789" s="30">
        <v>124775</v>
      </c>
      <c r="L1789" s="30">
        <v>124712</v>
      </c>
      <c r="M1789" s="30">
        <v>124807</v>
      </c>
      <c r="N1789" s="30">
        <v>124371</v>
      </c>
      <c r="O1789" s="24" t="str">
        <f t="shared" si="55"/>
        <v>Hunterdon County, New Jersey</v>
      </c>
    </row>
    <row r="1790" spans="1:15" x14ac:dyDescent="0.25">
      <c r="A1790" s="35" t="s">
        <v>2266</v>
      </c>
      <c r="B1790" s="28" t="str">
        <f t="shared" si="54"/>
        <v>Mercer</v>
      </c>
      <c r="C1790" s="30">
        <v>366513</v>
      </c>
      <c r="D1790" s="30">
        <v>367485</v>
      </c>
      <c r="E1790" s="30">
        <v>367713</v>
      </c>
      <c r="F1790" s="30">
        <v>367378</v>
      </c>
      <c r="G1790" s="30">
        <v>368554</v>
      </c>
      <c r="H1790" s="30">
        <v>369429</v>
      </c>
      <c r="I1790" s="30">
        <v>368909</v>
      </c>
      <c r="J1790" s="30">
        <v>368124</v>
      </c>
      <c r="K1790" s="30">
        <v>367699</v>
      </c>
      <c r="L1790" s="30">
        <v>368168</v>
      </c>
      <c r="M1790" s="30">
        <v>368188</v>
      </c>
      <c r="N1790" s="30">
        <v>367430</v>
      </c>
      <c r="O1790" s="24" t="str">
        <f t="shared" si="55"/>
        <v>Mercer County, New Jersey</v>
      </c>
    </row>
    <row r="1791" spans="1:15" x14ac:dyDescent="0.25">
      <c r="A1791" s="35" t="s">
        <v>2267</v>
      </c>
      <c r="B1791" s="28" t="str">
        <f t="shared" si="54"/>
        <v>Middlesex</v>
      </c>
      <c r="C1791" s="30">
        <v>809858</v>
      </c>
      <c r="D1791" s="30">
        <v>810038</v>
      </c>
      <c r="E1791" s="30">
        <v>810758</v>
      </c>
      <c r="F1791" s="30">
        <v>815198</v>
      </c>
      <c r="G1791" s="30">
        <v>819344</v>
      </c>
      <c r="H1791" s="30">
        <v>821743</v>
      </c>
      <c r="I1791" s="30">
        <v>824160</v>
      </c>
      <c r="J1791" s="30">
        <v>825546</v>
      </c>
      <c r="K1791" s="30">
        <v>825457</v>
      </c>
      <c r="L1791" s="30">
        <v>827363</v>
      </c>
      <c r="M1791" s="30">
        <v>826172</v>
      </c>
      <c r="N1791" s="30">
        <v>825062</v>
      </c>
      <c r="O1791" s="24" t="str">
        <f t="shared" si="55"/>
        <v>Middlesex County, New Jersey</v>
      </c>
    </row>
    <row r="1792" spans="1:15" x14ac:dyDescent="0.25">
      <c r="A1792" s="35" t="s">
        <v>2268</v>
      </c>
      <c r="B1792" s="28" t="str">
        <f t="shared" si="54"/>
        <v>Monmouth</v>
      </c>
      <c r="C1792" s="30">
        <v>630380</v>
      </c>
      <c r="D1792" s="30">
        <v>630362</v>
      </c>
      <c r="E1792" s="30">
        <v>630461</v>
      </c>
      <c r="F1792" s="30">
        <v>629119</v>
      </c>
      <c r="G1792" s="30">
        <v>627641</v>
      </c>
      <c r="H1792" s="30">
        <v>626912</v>
      </c>
      <c r="I1792" s="30">
        <v>625512</v>
      </c>
      <c r="J1792" s="30">
        <v>624079</v>
      </c>
      <c r="K1792" s="30">
        <v>622971</v>
      </c>
      <c r="L1792" s="30">
        <v>621990</v>
      </c>
      <c r="M1792" s="30">
        <v>620459</v>
      </c>
      <c r="N1792" s="30">
        <v>618795</v>
      </c>
      <c r="O1792" s="24" t="str">
        <f t="shared" si="55"/>
        <v>Monmouth County, New Jersey</v>
      </c>
    </row>
    <row r="1793" spans="1:15" x14ac:dyDescent="0.25">
      <c r="A1793" s="35" t="s">
        <v>2269</v>
      </c>
      <c r="B1793" s="28" t="str">
        <f t="shared" si="54"/>
        <v>Morris</v>
      </c>
      <c r="C1793" s="30">
        <v>492276</v>
      </c>
      <c r="D1793" s="30">
        <v>492281</v>
      </c>
      <c r="E1793" s="30">
        <v>492617</v>
      </c>
      <c r="F1793" s="30">
        <v>494792</v>
      </c>
      <c r="G1793" s="30">
        <v>495620</v>
      </c>
      <c r="H1793" s="30">
        <v>496030</v>
      </c>
      <c r="I1793" s="30">
        <v>494848</v>
      </c>
      <c r="J1793" s="30">
        <v>494259</v>
      </c>
      <c r="K1793" s="30">
        <v>493801</v>
      </c>
      <c r="L1793" s="30">
        <v>493920</v>
      </c>
      <c r="M1793" s="30">
        <v>493070</v>
      </c>
      <c r="N1793" s="30">
        <v>491845</v>
      </c>
      <c r="O1793" s="24" t="str">
        <f t="shared" si="55"/>
        <v>Morris County, New Jersey</v>
      </c>
    </row>
    <row r="1794" spans="1:15" x14ac:dyDescent="0.25">
      <c r="A1794" s="35" t="s">
        <v>2270</v>
      </c>
      <c r="B1794" s="28" t="str">
        <f t="shared" si="54"/>
        <v>Ocean</v>
      </c>
      <c r="C1794" s="30">
        <v>576567</v>
      </c>
      <c r="D1794" s="30">
        <v>576546</v>
      </c>
      <c r="E1794" s="30">
        <v>577564</v>
      </c>
      <c r="F1794" s="30">
        <v>578876</v>
      </c>
      <c r="G1794" s="30">
        <v>579932</v>
      </c>
      <c r="H1794" s="30">
        <v>582059</v>
      </c>
      <c r="I1794" s="30">
        <v>584447</v>
      </c>
      <c r="J1794" s="30">
        <v>587091</v>
      </c>
      <c r="K1794" s="30">
        <v>590897</v>
      </c>
      <c r="L1794" s="30">
        <v>595424</v>
      </c>
      <c r="M1794" s="30">
        <v>601478</v>
      </c>
      <c r="N1794" s="30">
        <v>607186</v>
      </c>
      <c r="O1794" s="24" t="str">
        <f t="shared" si="55"/>
        <v>Ocean County, New Jersey</v>
      </c>
    </row>
    <row r="1795" spans="1:15" x14ac:dyDescent="0.25">
      <c r="A1795" s="35" t="s">
        <v>2271</v>
      </c>
      <c r="B1795" s="28" t="str">
        <f t="shared" si="54"/>
        <v>Passaic</v>
      </c>
      <c r="C1795" s="30">
        <v>501226</v>
      </c>
      <c r="D1795" s="30">
        <v>501600</v>
      </c>
      <c r="E1795" s="30">
        <v>502023</v>
      </c>
      <c r="F1795" s="30">
        <v>503264</v>
      </c>
      <c r="G1795" s="30">
        <v>503558</v>
      </c>
      <c r="H1795" s="30">
        <v>503857</v>
      </c>
      <c r="I1795" s="30">
        <v>504547</v>
      </c>
      <c r="J1795" s="30">
        <v>504629</v>
      </c>
      <c r="K1795" s="30">
        <v>504147</v>
      </c>
      <c r="L1795" s="30">
        <v>504402</v>
      </c>
      <c r="M1795" s="30">
        <v>503183</v>
      </c>
      <c r="N1795" s="30">
        <v>501826</v>
      </c>
      <c r="O1795" s="24" t="str">
        <f t="shared" si="55"/>
        <v>Passaic County, New Jersey</v>
      </c>
    </row>
    <row r="1796" spans="1:15" x14ac:dyDescent="0.25">
      <c r="A1796" s="35" t="s">
        <v>2272</v>
      </c>
      <c r="B1796" s="28" t="str">
        <f t="shared" si="54"/>
        <v>Salem</v>
      </c>
      <c r="C1796" s="30">
        <v>66083</v>
      </c>
      <c r="D1796" s="30">
        <v>66072</v>
      </c>
      <c r="E1796" s="30">
        <v>65980</v>
      </c>
      <c r="F1796" s="30">
        <v>65875</v>
      </c>
      <c r="G1796" s="30">
        <v>65413</v>
      </c>
      <c r="H1796" s="30">
        <v>64786</v>
      </c>
      <c r="I1796" s="30">
        <v>64323</v>
      </c>
      <c r="J1796" s="30">
        <v>63732</v>
      </c>
      <c r="K1796" s="30">
        <v>63203</v>
      </c>
      <c r="L1796" s="30">
        <v>62883</v>
      </c>
      <c r="M1796" s="30">
        <v>62746</v>
      </c>
      <c r="N1796" s="30">
        <v>62385</v>
      </c>
      <c r="O1796" s="24" t="str">
        <f t="shared" si="55"/>
        <v>Salem County, New Jersey</v>
      </c>
    </row>
    <row r="1797" spans="1:15" x14ac:dyDescent="0.25">
      <c r="A1797" s="35" t="s">
        <v>2273</v>
      </c>
      <c r="B1797" s="28" t="str">
        <f t="shared" si="54"/>
        <v>Somerset</v>
      </c>
      <c r="C1797" s="30">
        <v>323444</v>
      </c>
      <c r="D1797" s="30">
        <v>323479</v>
      </c>
      <c r="E1797" s="30">
        <v>324122</v>
      </c>
      <c r="F1797" s="30">
        <v>326249</v>
      </c>
      <c r="G1797" s="30">
        <v>327407</v>
      </c>
      <c r="H1797" s="30">
        <v>329047</v>
      </c>
      <c r="I1797" s="30">
        <v>329329</v>
      </c>
      <c r="J1797" s="30">
        <v>329626</v>
      </c>
      <c r="K1797" s="30">
        <v>329875</v>
      </c>
      <c r="L1797" s="30">
        <v>330573</v>
      </c>
      <c r="M1797" s="30">
        <v>330181</v>
      </c>
      <c r="N1797" s="30">
        <v>328934</v>
      </c>
      <c r="O1797" s="24" t="str">
        <f t="shared" si="55"/>
        <v>Somerset County, New Jersey</v>
      </c>
    </row>
    <row r="1798" spans="1:15" x14ac:dyDescent="0.25">
      <c r="A1798" s="35" t="s">
        <v>2274</v>
      </c>
      <c r="B1798" s="28" t="str">
        <f t="shared" si="54"/>
        <v>Sussex</v>
      </c>
      <c r="C1798" s="30">
        <v>149265</v>
      </c>
      <c r="D1798" s="30">
        <v>148936</v>
      </c>
      <c r="E1798" s="30">
        <v>148855</v>
      </c>
      <c r="F1798" s="30">
        <v>148167</v>
      </c>
      <c r="G1798" s="30">
        <v>146979</v>
      </c>
      <c r="H1798" s="30">
        <v>145639</v>
      </c>
      <c r="I1798" s="30">
        <v>144593</v>
      </c>
      <c r="J1798" s="30">
        <v>143004</v>
      </c>
      <c r="K1798" s="30">
        <v>141925</v>
      </c>
      <c r="L1798" s="30">
        <v>141197</v>
      </c>
      <c r="M1798" s="30">
        <v>140801</v>
      </c>
      <c r="N1798" s="30">
        <v>140488</v>
      </c>
      <c r="O1798" s="24" t="str">
        <f t="shared" si="55"/>
        <v>Sussex County, New Jersey</v>
      </c>
    </row>
    <row r="1799" spans="1:15" x14ac:dyDescent="0.25">
      <c r="A1799" s="35" t="s">
        <v>2275</v>
      </c>
      <c r="B1799" s="28" t="str">
        <f t="shared" ref="B1799:B1862" si="56">LEFT(A1799,FIND("County",A1799,1)-2)</f>
        <v>Union</v>
      </c>
      <c r="C1799" s="30">
        <v>536499</v>
      </c>
      <c r="D1799" s="30">
        <v>536464</v>
      </c>
      <c r="E1799" s="30">
        <v>537369</v>
      </c>
      <c r="F1799" s="30">
        <v>539931</v>
      </c>
      <c r="G1799" s="30">
        <v>542970</v>
      </c>
      <c r="H1799" s="30">
        <v>546025</v>
      </c>
      <c r="I1799" s="30">
        <v>548014</v>
      </c>
      <c r="J1799" s="30">
        <v>549905</v>
      </c>
      <c r="K1799" s="30">
        <v>552781</v>
      </c>
      <c r="L1799" s="30">
        <v>554738</v>
      </c>
      <c r="M1799" s="30">
        <v>556402</v>
      </c>
      <c r="N1799" s="30">
        <v>556341</v>
      </c>
      <c r="O1799" s="24" t="str">
        <f t="shared" ref="O1799:O1862" si="57">A1799</f>
        <v>Union County, New Jersey</v>
      </c>
    </row>
    <row r="1800" spans="1:15" x14ac:dyDescent="0.25">
      <c r="A1800" s="35" t="s">
        <v>2276</v>
      </c>
      <c r="B1800" s="28" t="str">
        <f t="shared" si="56"/>
        <v>Warren</v>
      </c>
      <c r="C1800" s="30">
        <v>108692</v>
      </c>
      <c r="D1800" s="30">
        <v>108642</v>
      </c>
      <c r="E1800" s="30">
        <v>108576</v>
      </c>
      <c r="F1800" s="30">
        <v>108142</v>
      </c>
      <c r="G1800" s="30">
        <v>107563</v>
      </c>
      <c r="H1800" s="30">
        <v>106897</v>
      </c>
      <c r="I1800" s="30">
        <v>106981</v>
      </c>
      <c r="J1800" s="30">
        <v>106742</v>
      </c>
      <c r="K1800" s="30">
        <v>106059</v>
      </c>
      <c r="L1800" s="30">
        <v>105715</v>
      </c>
      <c r="M1800" s="30">
        <v>105528</v>
      </c>
      <c r="N1800" s="30">
        <v>105267</v>
      </c>
      <c r="O1800" s="24" t="str">
        <f t="shared" si="57"/>
        <v>Warren County, New Jersey</v>
      </c>
    </row>
    <row r="1801" spans="1:15" x14ac:dyDescent="0.25">
      <c r="A1801" s="35" t="s">
        <v>2277</v>
      </c>
      <c r="B1801" s="28" t="str">
        <f t="shared" si="56"/>
        <v>Bernalillo</v>
      </c>
      <c r="C1801" s="30">
        <v>662564</v>
      </c>
      <c r="D1801" s="30">
        <v>662477</v>
      </c>
      <c r="E1801" s="30">
        <v>663923</v>
      </c>
      <c r="F1801" s="30">
        <v>670283</v>
      </c>
      <c r="G1801" s="30">
        <v>673615</v>
      </c>
      <c r="H1801" s="30">
        <v>676326</v>
      </c>
      <c r="I1801" s="30">
        <v>675957</v>
      </c>
      <c r="J1801" s="30">
        <v>676248</v>
      </c>
      <c r="K1801" s="30">
        <v>677683</v>
      </c>
      <c r="L1801" s="30">
        <v>678203</v>
      </c>
      <c r="M1801" s="30">
        <v>678034</v>
      </c>
      <c r="N1801" s="30">
        <v>679121</v>
      </c>
      <c r="O1801" s="24" t="str">
        <f t="shared" si="57"/>
        <v>Bernalillo County, New Mexico</v>
      </c>
    </row>
    <row r="1802" spans="1:15" x14ac:dyDescent="0.25">
      <c r="A1802" s="35" t="s">
        <v>2278</v>
      </c>
      <c r="B1802" s="28" t="str">
        <f t="shared" si="56"/>
        <v>Catron</v>
      </c>
      <c r="C1802" s="30">
        <v>3725</v>
      </c>
      <c r="D1802" s="30">
        <v>3727</v>
      </c>
      <c r="E1802" s="30">
        <v>3748</v>
      </c>
      <c r="F1802" s="30">
        <v>3716</v>
      </c>
      <c r="G1802" s="30">
        <v>3635</v>
      </c>
      <c r="H1802" s="30">
        <v>3586</v>
      </c>
      <c r="I1802" s="30">
        <v>3547</v>
      </c>
      <c r="J1802" s="30">
        <v>3476</v>
      </c>
      <c r="K1802" s="30">
        <v>3518</v>
      </c>
      <c r="L1802" s="30">
        <v>3553</v>
      </c>
      <c r="M1802" s="30">
        <v>3554</v>
      </c>
      <c r="N1802" s="30">
        <v>3527</v>
      </c>
      <c r="O1802" s="24" t="str">
        <f t="shared" si="57"/>
        <v>Catron County, New Mexico</v>
      </c>
    </row>
    <row r="1803" spans="1:15" x14ac:dyDescent="0.25">
      <c r="A1803" s="35" t="s">
        <v>2279</v>
      </c>
      <c r="B1803" s="28" t="str">
        <f t="shared" si="56"/>
        <v>Chaves</v>
      </c>
      <c r="C1803" s="30">
        <v>65645</v>
      </c>
      <c r="D1803" s="30">
        <v>65648</v>
      </c>
      <c r="E1803" s="30">
        <v>65720</v>
      </c>
      <c r="F1803" s="30">
        <v>65720</v>
      </c>
      <c r="G1803" s="30">
        <v>65765</v>
      </c>
      <c r="H1803" s="30">
        <v>66009</v>
      </c>
      <c r="I1803" s="30">
        <v>65809</v>
      </c>
      <c r="J1803" s="30">
        <v>65825</v>
      </c>
      <c r="K1803" s="30">
        <v>65646</v>
      </c>
      <c r="L1803" s="30">
        <v>65080</v>
      </c>
      <c r="M1803" s="30">
        <v>64554</v>
      </c>
      <c r="N1803" s="30">
        <v>64615</v>
      </c>
      <c r="O1803" s="24" t="str">
        <f t="shared" si="57"/>
        <v>Chaves County, New Mexico</v>
      </c>
    </row>
    <row r="1804" spans="1:15" x14ac:dyDescent="0.25">
      <c r="A1804" s="35" t="s">
        <v>2280</v>
      </c>
      <c r="B1804" s="28" t="str">
        <f t="shared" si="56"/>
        <v>Cibola</v>
      </c>
      <c r="C1804" s="30">
        <v>27213</v>
      </c>
      <c r="D1804" s="30">
        <v>27215</v>
      </c>
      <c r="E1804" s="30">
        <v>27315</v>
      </c>
      <c r="F1804" s="30">
        <v>27489</v>
      </c>
      <c r="G1804" s="30">
        <v>27418</v>
      </c>
      <c r="H1804" s="30">
        <v>27414</v>
      </c>
      <c r="I1804" s="30">
        <v>27155</v>
      </c>
      <c r="J1804" s="30">
        <v>27044</v>
      </c>
      <c r="K1804" s="30">
        <v>27049</v>
      </c>
      <c r="L1804" s="30">
        <v>26921</v>
      </c>
      <c r="M1804" s="30">
        <v>26766</v>
      </c>
      <c r="N1804" s="30">
        <v>26675</v>
      </c>
      <c r="O1804" s="24" t="str">
        <f t="shared" si="57"/>
        <v>Cibola County, New Mexico</v>
      </c>
    </row>
    <row r="1805" spans="1:15" x14ac:dyDescent="0.25">
      <c r="A1805" s="35" t="s">
        <v>2281</v>
      </c>
      <c r="B1805" s="28" t="str">
        <f t="shared" si="56"/>
        <v>Colfax</v>
      </c>
      <c r="C1805" s="30">
        <v>13750</v>
      </c>
      <c r="D1805" s="30">
        <v>13751</v>
      </c>
      <c r="E1805" s="30">
        <v>13725</v>
      </c>
      <c r="F1805" s="30">
        <v>13618</v>
      </c>
      <c r="G1805" s="30">
        <v>13246</v>
      </c>
      <c r="H1805" s="30">
        <v>13068</v>
      </c>
      <c r="I1805" s="30">
        <v>12703</v>
      </c>
      <c r="J1805" s="30">
        <v>12429</v>
      </c>
      <c r="K1805" s="30">
        <v>12250</v>
      </c>
      <c r="L1805" s="30">
        <v>12151</v>
      </c>
      <c r="M1805" s="30">
        <v>12071</v>
      </c>
      <c r="N1805" s="30">
        <v>11941</v>
      </c>
      <c r="O1805" s="24" t="str">
        <f t="shared" si="57"/>
        <v>Colfax County, New Mexico</v>
      </c>
    </row>
    <row r="1806" spans="1:15" x14ac:dyDescent="0.25">
      <c r="A1806" s="35" t="s">
        <v>2282</v>
      </c>
      <c r="B1806" s="28" t="str">
        <f t="shared" si="56"/>
        <v>Curry</v>
      </c>
      <c r="C1806" s="30">
        <v>48376</v>
      </c>
      <c r="D1806" s="30">
        <v>48376</v>
      </c>
      <c r="E1806" s="30">
        <v>48971</v>
      </c>
      <c r="F1806" s="30">
        <v>49819</v>
      </c>
      <c r="G1806" s="30">
        <v>50806</v>
      </c>
      <c r="H1806" s="30">
        <v>50775</v>
      </c>
      <c r="I1806" s="30">
        <v>51109</v>
      </c>
      <c r="J1806" s="30">
        <v>50290</v>
      </c>
      <c r="K1806" s="30">
        <v>50283</v>
      </c>
      <c r="L1806" s="30">
        <v>49794</v>
      </c>
      <c r="M1806" s="30">
        <v>49338</v>
      </c>
      <c r="N1806" s="30">
        <v>48954</v>
      </c>
      <c r="O1806" s="24" t="str">
        <f t="shared" si="57"/>
        <v>Curry County, New Mexico</v>
      </c>
    </row>
    <row r="1807" spans="1:15" x14ac:dyDescent="0.25">
      <c r="A1807" s="35" t="s">
        <v>2283</v>
      </c>
      <c r="B1807" s="28" t="str">
        <f t="shared" si="56"/>
        <v>De Baca</v>
      </c>
      <c r="C1807" s="30">
        <v>2022</v>
      </c>
      <c r="D1807" s="30">
        <v>2024</v>
      </c>
      <c r="E1807" s="30">
        <v>2031</v>
      </c>
      <c r="F1807" s="30">
        <v>2000</v>
      </c>
      <c r="G1807" s="30">
        <v>1957</v>
      </c>
      <c r="H1807" s="30">
        <v>1928</v>
      </c>
      <c r="I1807" s="30">
        <v>1861</v>
      </c>
      <c r="J1807" s="30">
        <v>1873</v>
      </c>
      <c r="K1807" s="30">
        <v>1835</v>
      </c>
      <c r="L1807" s="30">
        <v>1805</v>
      </c>
      <c r="M1807" s="30">
        <v>1779</v>
      </c>
      <c r="N1807" s="30">
        <v>1748</v>
      </c>
      <c r="O1807" s="24" t="str">
        <f t="shared" si="57"/>
        <v>De Baca County, New Mexico</v>
      </c>
    </row>
    <row r="1808" spans="1:15" x14ac:dyDescent="0.25">
      <c r="A1808" s="35" t="s">
        <v>2284</v>
      </c>
      <c r="B1808" s="28" t="str">
        <f t="shared" si="56"/>
        <v>Doña Ana</v>
      </c>
      <c r="C1808" s="30">
        <v>209233</v>
      </c>
      <c r="D1808" s="30">
        <v>209217</v>
      </c>
      <c r="E1808" s="30">
        <v>210097</v>
      </c>
      <c r="F1808" s="30">
        <v>213126</v>
      </c>
      <c r="G1808" s="30">
        <v>214450</v>
      </c>
      <c r="H1808" s="30">
        <v>214288</v>
      </c>
      <c r="I1808" s="30">
        <v>213933</v>
      </c>
      <c r="J1808" s="30">
        <v>214034</v>
      </c>
      <c r="K1808" s="30">
        <v>214663</v>
      </c>
      <c r="L1808" s="30">
        <v>216174</v>
      </c>
      <c r="M1808" s="30">
        <v>217278</v>
      </c>
      <c r="N1808" s="30">
        <v>218195</v>
      </c>
      <c r="O1808" s="24" t="str">
        <f t="shared" si="57"/>
        <v>Doña Ana County, New Mexico</v>
      </c>
    </row>
    <row r="1809" spans="1:15" x14ac:dyDescent="0.25">
      <c r="A1809" s="35" t="s">
        <v>2285</v>
      </c>
      <c r="B1809" s="28" t="str">
        <f t="shared" si="56"/>
        <v>Eddy</v>
      </c>
      <c r="C1809" s="30">
        <v>53829</v>
      </c>
      <c r="D1809" s="30">
        <v>53828</v>
      </c>
      <c r="E1809" s="30">
        <v>53909</v>
      </c>
      <c r="F1809" s="30">
        <v>54070</v>
      </c>
      <c r="G1809" s="30">
        <v>54419</v>
      </c>
      <c r="H1809" s="30">
        <v>55662</v>
      </c>
      <c r="I1809" s="30">
        <v>56682</v>
      </c>
      <c r="J1809" s="30">
        <v>57715</v>
      </c>
      <c r="K1809" s="30">
        <v>57650</v>
      </c>
      <c r="L1809" s="30">
        <v>57108</v>
      </c>
      <c r="M1809" s="30">
        <v>57729</v>
      </c>
      <c r="N1809" s="30">
        <v>58460</v>
      </c>
      <c r="O1809" s="24" t="str">
        <f t="shared" si="57"/>
        <v>Eddy County, New Mexico</v>
      </c>
    </row>
    <row r="1810" spans="1:15" x14ac:dyDescent="0.25">
      <c r="A1810" s="35" t="s">
        <v>2286</v>
      </c>
      <c r="B1810" s="28" t="str">
        <f t="shared" si="56"/>
        <v>Grant</v>
      </c>
      <c r="C1810" s="30">
        <v>29514</v>
      </c>
      <c r="D1810" s="30">
        <v>29512</v>
      </c>
      <c r="E1810" s="30">
        <v>29383</v>
      </c>
      <c r="F1810" s="30">
        <v>29346</v>
      </c>
      <c r="G1810" s="30">
        <v>29257</v>
      </c>
      <c r="H1810" s="30">
        <v>29104</v>
      </c>
      <c r="I1810" s="30">
        <v>28871</v>
      </c>
      <c r="J1810" s="30">
        <v>28364</v>
      </c>
      <c r="K1810" s="30">
        <v>28040</v>
      </c>
      <c r="L1810" s="30">
        <v>27642</v>
      </c>
      <c r="M1810" s="30">
        <v>27303</v>
      </c>
      <c r="N1810" s="30">
        <v>26998</v>
      </c>
      <c r="O1810" s="24" t="str">
        <f t="shared" si="57"/>
        <v>Grant County, New Mexico</v>
      </c>
    </row>
    <row r="1811" spans="1:15" x14ac:dyDescent="0.25">
      <c r="A1811" s="35" t="s">
        <v>2287</v>
      </c>
      <c r="B1811" s="28" t="str">
        <f t="shared" si="56"/>
        <v>Guadalupe</v>
      </c>
      <c r="C1811" s="30">
        <v>4687</v>
      </c>
      <c r="D1811" s="30">
        <v>4688</v>
      </c>
      <c r="E1811" s="30">
        <v>4695</v>
      </c>
      <c r="F1811" s="30">
        <v>4625</v>
      </c>
      <c r="G1811" s="30">
        <v>4591</v>
      </c>
      <c r="H1811" s="30">
        <v>4531</v>
      </c>
      <c r="I1811" s="30">
        <v>4442</v>
      </c>
      <c r="J1811" s="30">
        <v>4350</v>
      </c>
      <c r="K1811" s="30">
        <v>4369</v>
      </c>
      <c r="L1811" s="30">
        <v>4410</v>
      </c>
      <c r="M1811" s="30">
        <v>4334</v>
      </c>
      <c r="N1811" s="30">
        <v>4300</v>
      </c>
      <c r="O1811" s="24" t="str">
        <f t="shared" si="57"/>
        <v>Guadalupe County, New Mexico</v>
      </c>
    </row>
    <row r="1812" spans="1:15" x14ac:dyDescent="0.25">
      <c r="A1812" s="35" t="s">
        <v>2288</v>
      </c>
      <c r="B1812" s="28" t="str">
        <f t="shared" si="56"/>
        <v>Harding</v>
      </c>
      <c r="C1812" s="30">
        <v>695</v>
      </c>
      <c r="D1812" s="30">
        <v>695</v>
      </c>
      <c r="E1812" s="30">
        <v>690</v>
      </c>
      <c r="F1812" s="30">
        <v>713</v>
      </c>
      <c r="G1812" s="30">
        <v>700</v>
      </c>
      <c r="H1812" s="30">
        <v>691</v>
      </c>
      <c r="I1812" s="30">
        <v>693</v>
      </c>
      <c r="J1812" s="30">
        <v>719</v>
      </c>
      <c r="K1812" s="30">
        <v>687</v>
      </c>
      <c r="L1812" s="30">
        <v>684</v>
      </c>
      <c r="M1812" s="30">
        <v>650</v>
      </c>
      <c r="N1812" s="30">
        <v>625</v>
      </c>
      <c r="O1812" s="24" t="str">
        <f t="shared" si="57"/>
        <v>Harding County, New Mexico</v>
      </c>
    </row>
    <row r="1813" spans="1:15" x14ac:dyDescent="0.25">
      <c r="A1813" s="35" t="s">
        <v>2289</v>
      </c>
      <c r="B1813" s="28" t="str">
        <f t="shared" si="56"/>
        <v>Hidalgo</v>
      </c>
      <c r="C1813" s="30">
        <v>4894</v>
      </c>
      <c r="D1813" s="30">
        <v>4898</v>
      </c>
      <c r="E1813" s="30">
        <v>4864</v>
      </c>
      <c r="F1813" s="30">
        <v>4843</v>
      </c>
      <c r="G1813" s="30">
        <v>4780</v>
      </c>
      <c r="H1813" s="30">
        <v>4624</v>
      </c>
      <c r="I1813" s="30">
        <v>4549</v>
      </c>
      <c r="J1813" s="30">
        <v>4436</v>
      </c>
      <c r="K1813" s="30">
        <v>4324</v>
      </c>
      <c r="L1813" s="30">
        <v>4298</v>
      </c>
      <c r="M1813" s="30">
        <v>4231</v>
      </c>
      <c r="N1813" s="30">
        <v>4198</v>
      </c>
      <c r="O1813" s="24" t="str">
        <f t="shared" si="57"/>
        <v>Hidalgo County, New Mexico</v>
      </c>
    </row>
    <row r="1814" spans="1:15" x14ac:dyDescent="0.25">
      <c r="A1814" s="35" t="s">
        <v>2290</v>
      </c>
      <c r="B1814" s="28" t="str">
        <f t="shared" si="56"/>
        <v>Lea</v>
      </c>
      <c r="C1814" s="30">
        <v>64727</v>
      </c>
      <c r="D1814" s="30">
        <v>64726</v>
      </c>
      <c r="E1814" s="30">
        <v>64598</v>
      </c>
      <c r="F1814" s="30">
        <v>65126</v>
      </c>
      <c r="G1814" s="30">
        <v>66362</v>
      </c>
      <c r="H1814" s="30">
        <v>68613</v>
      </c>
      <c r="I1814" s="30">
        <v>70165</v>
      </c>
      <c r="J1814" s="30">
        <v>71476</v>
      </c>
      <c r="K1814" s="30">
        <v>70249</v>
      </c>
      <c r="L1814" s="30">
        <v>69046</v>
      </c>
      <c r="M1814" s="30">
        <v>69543</v>
      </c>
      <c r="N1814" s="30">
        <v>71070</v>
      </c>
      <c r="O1814" s="24" t="str">
        <f t="shared" si="57"/>
        <v>Lea County, New Mexico</v>
      </c>
    </row>
    <row r="1815" spans="1:15" x14ac:dyDescent="0.25">
      <c r="A1815" s="35" t="s">
        <v>2291</v>
      </c>
      <c r="B1815" s="28" t="str">
        <f t="shared" si="56"/>
        <v>Lincoln</v>
      </c>
      <c r="C1815" s="30">
        <v>20497</v>
      </c>
      <c r="D1815" s="30">
        <v>20493</v>
      </c>
      <c r="E1815" s="30">
        <v>20450</v>
      </c>
      <c r="F1815" s="30">
        <v>20406</v>
      </c>
      <c r="G1815" s="30">
        <v>20194</v>
      </c>
      <c r="H1815" s="30">
        <v>19976</v>
      </c>
      <c r="I1815" s="30">
        <v>19597</v>
      </c>
      <c r="J1815" s="30">
        <v>19352</v>
      </c>
      <c r="K1815" s="30">
        <v>19397</v>
      </c>
      <c r="L1815" s="30">
        <v>19468</v>
      </c>
      <c r="M1815" s="30">
        <v>19518</v>
      </c>
      <c r="N1815" s="30">
        <v>19572</v>
      </c>
      <c r="O1815" s="24" t="str">
        <f t="shared" si="57"/>
        <v>Lincoln County, New Mexico</v>
      </c>
    </row>
    <row r="1816" spans="1:15" x14ac:dyDescent="0.25">
      <c r="A1816" s="35" t="s">
        <v>2292</v>
      </c>
      <c r="B1816" s="28" t="str">
        <f t="shared" si="56"/>
        <v>Los Alamos</v>
      </c>
      <c r="C1816" s="30">
        <v>17950</v>
      </c>
      <c r="D1816" s="30">
        <v>17950</v>
      </c>
      <c r="E1816" s="30">
        <v>17994</v>
      </c>
      <c r="F1816" s="30">
        <v>18229</v>
      </c>
      <c r="G1816" s="30">
        <v>18234</v>
      </c>
      <c r="H1816" s="30">
        <v>17947</v>
      </c>
      <c r="I1816" s="30">
        <v>17803</v>
      </c>
      <c r="J1816" s="30">
        <v>17817</v>
      </c>
      <c r="K1816" s="30">
        <v>18209</v>
      </c>
      <c r="L1816" s="30">
        <v>18742</v>
      </c>
      <c r="M1816" s="30">
        <v>18988</v>
      </c>
      <c r="N1816" s="30">
        <v>19369</v>
      </c>
      <c r="O1816" s="24" t="str">
        <f t="shared" si="57"/>
        <v>Los Alamos County, New Mexico</v>
      </c>
    </row>
    <row r="1817" spans="1:15" x14ac:dyDescent="0.25">
      <c r="A1817" s="35" t="s">
        <v>2293</v>
      </c>
      <c r="B1817" s="28" t="str">
        <f t="shared" si="56"/>
        <v>Luna</v>
      </c>
      <c r="C1817" s="30">
        <v>25095</v>
      </c>
      <c r="D1817" s="30">
        <v>25095</v>
      </c>
      <c r="E1817" s="30">
        <v>25081</v>
      </c>
      <c r="F1817" s="30">
        <v>25106</v>
      </c>
      <c r="G1817" s="30">
        <v>24921</v>
      </c>
      <c r="H1817" s="30">
        <v>24592</v>
      </c>
      <c r="I1817" s="30">
        <v>24428</v>
      </c>
      <c r="J1817" s="30">
        <v>24367</v>
      </c>
      <c r="K1817" s="30">
        <v>24362</v>
      </c>
      <c r="L1817" s="30">
        <v>24100</v>
      </c>
      <c r="M1817" s="30">
        <v>23877</v>
      </c>
      <c r="N1817" s="30">
        <v>23709</v>
      </c>
      <c r="O1817" s="24" t="str">
        <f t="shared" si="57"/>
        <v>Luna County, New Mexico</v>
      </c>
    </row>
    <row r="1818" spans="1:15" x14ac:dyDescent="0.25">
      <c r="A1818" s="35" t="s">
        <v>2294</v>
      </c>
      <c r="B1818" s="28" t="str">
        <f t="shared" si="56"/>
        <v>McKinley</v>
      </c>
      <c r="C1818" s="30">
        <v>71492</v>
      </c>
      <c r="D1818" s="30">
        <v>71485</v>
      </c>
      <c r="E1818" s="30">
        <v>71673</v>
      </c>
      <c r="F1818" s="30">
        <v>72332</v>
      </c>
      <c r="G1818" s="30">
        <v>72365</v>
      </c>
      <c r="H1818" s="30">
        <v>72665</v>
      </c>
      <c r="I1818" s="30">
        <v>72796</v>
      </c>
      <c r="J1818" s="30">
        <v>73462</v>
      </c>
      <c r="K1818" s="30">
        <v>73028</v>
      </c>
      <c r="L1818" s="30">
        <v>72423</v>
      </c>
      <c r="M1818" s="30">
        <v>71911</v>
      </c>
      <c r="N1818" s="30">
        <v>71367</v>
      </c>
      <c r="O1818" s="24" t="str">
        <f t="shared" si="57"/>
        <v>McKinley County, New Mexico</v>
      </c>
    </row>
    <row r="1819" spans="1:15" x14ac:dyDescent="0.25">
      <c r="A1819" s="35" t="s">
        <v>2295</v>
      </c>
      <c r="B1819" s="28" t="str">
        <f t="shared" si="56"/>
        <v>Mora</v>
      </c>
      <c r="C1819" s="30">
        <v>4881</v>
      </c>
      <c r="D1819" s="30">
        <v>4881</v>
      </c>
      <c r="E1819" s="30">
        <v>4893</v>
      </c>
      <c r="F1819" s="30">
        <v>4781</v>
      </c>
      <c r="G1819" s="30">
        <v>4684</v>
      </c>
      <c r="H1819" s="30">
        <v>4695</v>
      </c>
      <c r="I1819" s="30">
        <v>4613</v>
      </c>
      <c r="J1819" s="30">
        <v>4609</v>
      </c>
      <c r="K1819" s="30">
        <v>4533</v>
      </c>
      <c r="L1819" s="30">
        <v>4530</v>
      </c>
      <c r="M1819" s="30">
        <v>4487</v>
      </c>
      <c r="N1819" s="30">
        <v>4521</v>
      </c>
      <c r="O1819" s="24" t="str">
        <f t="shared" si="57"/>
        <v>Mora County, New Mexico</v>
      </c>
    </row>
    <row r="1820" spans="1:15" x14ac:dyDescent="0.25">
      <c r="A1820" s="35" t="s">
        <v>2296</v>
      </c>
      <c r="B1820" s="28" t="str">
        <f t="shared" si="56"/>
        <v>Otero</v>
      </c>
      <c r="C1820" s="30">
        <v>63797</v>
      </c>
      <c r="D1820" s="30">
        <v>63832</v>
      </c>
      <c r="E1820" s="30">
        <v>64403</v>
      </c>
      <c r="F1820" s="30">
        <v>65642</v>
      </c>
      <c r="G1820" s="30">
        <v>66208</v>
      </c>
      <c r="H1820" s="30">
        <v>66304</v>
      </c>
      <c r="I1820" s="30">
        <v>65336</v>
      </c>
      <c r="J1820" s="30">
        <v>64768</v>
      </c>
      <c r="K1820" s="30">
        <v>65647</v>
      </c>
      <c r="L1820" s="30">
        <v>66121</v>
      </c>
      <c r="M1820" s="30">
        <v>66659</v>
      </c>
      <c r="N1820" s="30">
        <v>67490</v>
      </c>
      <c r="O1820" s="24" t="str">
        <f t="shared" si="57"/>
        <v>Otero County, New Mexico</v>
      </c>
    </row>
    <row r="1821" spans="1:15" x14ac:dyDescent="0.25">
      <c r="A1821" s="35" t="s">
        <v>2297</v>
      </c>
      <c r="B1821" s="28" t="str">
        <f t="shared" si="56"/>
        <v>Quay</v>
      </c>
      <c r="C1821" s="30">
        <v>9041</v>
      </c>
      <c r="D1821" s="30">
        <v>9040</v>
      </c>
      <c r="E1821" s="30">
        <v>9064</v>
      </c>
      <c r="F1821" s="30">
        <v>9045</v>
      </c>
      <c r="G1821" s="30">
        <v>8808</v>
      </c>
      <c r="H1821" s="30">
        <v>8675</v>
      </c>
      <c r="I1821" s="30">
        <v>8465</v>
      </c>
      <c r="J1821" s="30">
        <v>8445</v>
      </c>
      <c r="K1821" s="30">
        <v>8390</v>
      </c>
      <c r="L1821" s="30">
        <v>8299</v>
      </c>
      <c r="M1821" s="30">
        <v>8242</v>
      </c>
      <c r="N1821" s="30">
        <v>8253</v>
      </c>
      <c r="O1821" s="24" t="str">
        <f t="shared" si="57"/>
        <v>Quay County, New Mexico</v>
      </c>
    </row>
    <row r="1822" spans="1:15" x14ac:dyDescent="0.25">
      <c r="A1822" s="35" t="s">
        <v>2298</v>
      </c>
      <c r="B1822" s="28" t="str">
        <f t="shared" si="56"/>
        <v>Rio Arriba</v>
      </c>
      <c r="C1822" s="30">
        <v>40246</v>
      </c>
      <c r="D1822" s="30">
        <v>40220</v>
      </c>
      <c r="E1822" s="30">
        <v>40286</v>
      </c>
      <c r="F1822" s="30">
        <v>40244</v>
      </c>
      <c r="G1822" s="30">
        <v>40195</v>
      </c>
      <c r="H1822" s="30">
        <v>40064</v>
      </c>
      <c r="I1822" s="30">
        <v>39736</v>
      </c>
      <c r="J1822" s="30">
        <v>39370</v>
      </c>
      <c r="K1822" s="30">
        <v>39245</v>
      </c>
      <c r="L1822" s="30">
        <v>39235</v>
      </c>
      <c r="M1822" s="30">
        <v>39023</v>
      </c>
      <c r="N1822" s="30">
        <v>38921</v>
      </c>
      <c r="O1822" s="24" t="str">
        <f t="shared" si="57"/>
        <v>Rio Arriba County, New Mexico</v>
      </c>
    </row>
    <row r="1823" spans="1:15" x14ac:dyDescent="0.25">
      <c r="A1823" s="35" t="s">
        <v>2299</v>
      </c>
      <c r="B1823" s="28" t="str">
        <f t="shared" si="56"/>
        <v>Roosevelt</v>
      </c>
      <c r="C1823" s="30">
        <v>19846</v>
      </c>
      <c r="D1823" s="30">
        <v>19840</v>
      </c>
      <c r="E1823" s="30">
        <v>20018</v>
      </c>
      <c r="F1823" s="30">
        <v>20430</v>
      </c>
      <c r="G1823" s="30">
        <v>20318</v>
      </c>
      <c r="H1823" s="30">
        <v>20021</v>
      </c>
      <c r="I1823" s="30">
        <v>19647</v>
      </c>
      <c r="J1823" s="30">
        <v>19137</v>
      </c>
      <c r="K1823" s="30">
        <v>19145</v>
      </c>
      <c r="L1823" s="30">
        <v>18900</v>
      </c>
      <c r="M1823" s="30">
        <v>18759</v>
      </c>
      <c r="N1823" s="30">
        <v>18500</v>
      </c>
      <c r="O1823" s="24" t="str">
        <f t="shared" si="57"/>
        <v>Roosevelt County, New Mexico</v>
      </c>
    </row>
    <row r="1824" spans="1:15" x14ac:dyDescent="0.25">
      <c r="A1824" s="35" t="s">
        <v>2300</v>
      </c>
      <c r="B1824" s="28" t="str">
        <f t="shared" si="56"/>
        <v>Sandoval</v>
      </c>
      <c r="C1824" s="30">
        <v>131561</v>
      </c>
      <c r="D1824" s="30">
        <v>131621</v>
      </c>
      <c r="E1824" s="30">
        <v>132431</v>
      </c>
      <c r="F1824" s="30">
        <v>134326</v>
      </c>
      <c r="G1824" s="30">
        <v>135380</v>
      </c>
      <c r="H1824" s="30">
        <v>136311</v>
      </c>
      <c r="I1824" s="30">
        <v>137023</v>
      </c>
      <c r="J1824" s="30">
        <v>138521</v>
      </c>
      <c r="K1824" s="30">
        <v>140464</v>
      </c>
      <c r="L1824" s="30">
        <v>142689</v>
      </c>
      <c r="M1824" s="30">
        <v>145096</v>
      </c>
      <c r="N1824" s="30">
        <v>146748</v>
      </c>
      <c r="O1824" s="24" t="str">
        <f t="shared" si="57"/>
        <v>Sandoval County, New Mexico</v>
      </c>
    </row>
    <row r="1825" spans="1:15" x14ac:dyDescent="0.25">
      <c r="A1825" s="35" t="s">
        <v>2301</v>
      </c>
      <c r="B1825" s="28" t="str">
        <f t="shared" si="56"/>
        <v>San Juan</v>
      </c>
      <c r="C1825" s="30">
        <v>130044</v>
      </c>
      <c r="D1825" s="30">
        <v>130045</v>
      </c>
      <c r="E1825" s="30">
        <v>130203</v>
      </c>
      <c r="F1825" s="30">
        <v>129711</v>
      </c>
      <c r="G1825" s="30">
        <v>129756</v>
      </c>
      <c r="H1825" s="30">
        <v>129467</v>
      </c>
      <c r="I1825" s="30">
        <v>129084</v>
      </c>
      <c r="J1825" s="30">
        <v>128246</v>
      </c>
      <c r="K1825" s="30">
        <v>127954</v>
      </c>
      <c r="L1825" s="30">
        <v>126917</v>
      </c>
      <c r="M1825" s="30">
        <v>125499</v>
      </c>
      <c r="N1825" s="30">
        <v>123958</v>
      </c>
      <c r="O1825" s="24" t="str">
        <f t="shared" si="57"/>
        <v>San Juan County, New Mexico</v>
      </c>
    </row>
    <row r="1826" spans="1:15" x14ac:dyDescent="0.25">
      <c r="A1826" s="35" t="s">
        <v>2302</v>
      </c>
      <c r="B1826" s="28" t="str">
        <f t="shared" si="56"/>
        <v>San Miguel</v>
      </c>
      <c r="C1826" s="30">
        <v>29393</v>
      </c>
      <c r="D1826" s="30">
        <v>29375</v>
      </c>
      <c r="E1826" s="30">
        <v>29393</v>
      </c>
      <c r="F1826" s="30">
        <v>29352</v>
      </c>
      <c r="G1826" s="30">
        <v>29091</v>
      </c>
      <c r="H1826" s="30">
        <v>28819</v>
      </c>
      <c r="I1826" s="30">
        <v>28493</v>
      </c>
      <c r="J1826" s="30">
        <v>28215</v>
      </c>
      <c r="K1826" s="30">
        <v>28005</v>
      </c>
      <c r="L1826" s="30">
        <v>27715</v>
      </c>
      <c r="M1826" s="30">
        <v>27480</v>
      </c>
      <c r="N1826" s="30">
        <v>27277</v>
      </c>
      <c r="O1826" s="24" t="str">
        <f t="shared" si="57"/>
        <v>San Miguel County, New Mexico</v>
      </c>
    </row>
    <row r="1827" spans="1:15" x14ac:dyDescent="0.25">
      <c r="A1827" s="35" t="s">
        <v>2303</v>
      </c>
      <c r="B1827" s="28" t="str">
        <f t="shared" si="56"/>
        <v>Santa Fe</v>
      </c>
      <c r="C1827" s="30">
        <v>144170</v>
      </c>
      <c r="D1827" s="30">
        <v>144232</v>
      </c>
      <c r="E1827" s="30">
        <v>144522</v>
      </c>
      <c r="F1827" s="30">
        <v>145847</v>
      </c>
      <c r="G1827" s="30">
        <v>146722</v>
      </c>
      <c r="H1827" s="30">
        <v>147465</v>
      </c>
      <c r="I1827" s="30">
        <v>147782</v>
      </c>
      <c r="J1827" s="30">
        <v>148098</v>
      </c>
      <c r="K1827" s="30">
        <v>148758</v>
      </c>
      <c r="L1827" s="30">
        <v>149491</v>
      </c>
      <c r="M1827" s="30">
        <v>149761</v>
      </c>
      <c r="N1827" s="30">
        <v>150358</v>
      </c>
      <c r="O1827" s="24" t="str">
        <f t="shared" si="57"/>
        <v>Santa Fe County, New Mexico</v>
      </c>
    </row>
    <row r="1828" spans="1:15" x14ac:dyDescent="0.25">
      <c r="A1828" s="35" t="s">
        <v>2304</v>
      </c>
      <c r="B1828" s="28" t="str">
        <f t="shared" si="56"/>
        <v>Sierra</v>
      </c>
      <c r="C1828" s="30">
        <v>11988</v>
      </c>
      <c r="D1828" s="30">
        <v>11996</v>
      </c>
      <c r="E1828" s="30">
        <v>12041</v>
      </c>
      <c r="F1828" s="30">
        <v>12023</v>
      </c>
      <c r="G1828" s="30">
        <v>11854</v>
      </c>
      <c r="H1828" s="30">
        <v>11524</v>
      </c>
      <c r="I1828" s="30">
        <v>11264</v>
      </c>
      <c r="J1828" s="30">
        <v>11236</v>
      </c>
      <c r="K1828" s="30">
        <v>11117</v>
      </c>
      <c r="L1828" s="30">
        <v>11064</v>
      </c>
      <c r="M1828" s="30">
        <v>10949</v>
      </c>
      <c r="N1828" s="30">
        <v>10791</v>
      </c>
      <c r="O1828" s="24" t="str">
        <f t="shared" si="57"/>
        <v>Sierra County, New Mexico</v>
      </c>
    </row>
    <row r="1829" spans="1:15" x14ac:dyDescent="0.25">
      <c r="A1829" s="35" t="s">
        <v>2305</v>
      </c>
      <c r="B1829" s="28" t="str">
        <f t="shared" si="56"/>
        <v>Socorro</v>
      </c>
      <c r="C1829" s="30">
        <v>17866</v>
      </c>
      <c r="D1829" s="30">
        <v>17861</v>
      </c>
      <c r="E1829" s="30">
        <v>17791</v>
      </c>
      <c r="F1829" s="30">
        <v>17775</v>
      </c>
      <c r="G1829" s="30">
        <v>17475</v>
      </c>
      <c r="H1829" s="30">
        <v>17509</v>
      </c>
      <c r="I1829" s="30">
        <v>17258</v>
      </c>
      <c r="J1829" s="30">
        <v>17152</v>
      </c>
      <c r="K1829" s="30">
        <v>16964</v>
      </c>
      <c r="L1829" s="30">
        <v>16832</v>
      </c>
      <c r="M1829" s="30">
        <v>16704</v>
      </c>
      <c r="N1829" s="30">
        <v>16637</v>
      </c>
      <c r="O1829" s="24" t="str">
        <f t="shared" si="57"/>
        <v>Socorro County, New Mexico</v>
      </c>
    </row>
    <row r="1830" spans="1:15" x14ac:dyDescent="0.25">
      <c r="A1830" s="35" t="s">
        <v>2306</v>
      </c>
      <c r="B1830" s="28" t="str">
        <f t="shared" si="56"/>
        <v>Taos</v>
      </c>
      <c r="C1830" s="30">
        <v>32937</v>
      </c>
      <c r="D1830" s="30">
        <v>32933</v>
      </c>
      <c r="E1830" s="30">
        <v>32895</v>
      </c>
      <c r="F1830" s="30">
        <v>32890</v>
      </c>
      <c r="G1830" s="30">
        <v>32759</v>
      </c>
      <c r="H1830" s="30">
        <v>32957</v>
      </c>
      <c r="I1830" s="30">
        <v>32963</v>
      </c>
      <c r="J1830" s="30">
        <v>32797</v>
      </c>
      <c r="K1830" s="30">
        <v>32922</v>
      </c>
      <c r="L1830" s="30">
        <v>32790</v>
      </c>
      <c r="M1830" s="30">
        <v>32699</v>
      </c>
      <c r="N1830" s="30">
        <v>32723</v>
      </c>
      <c r="O1830" s="24" t="str">
        <f t="shared" si="57"/>
        <v>Taos County, New Mexico</v>
      </c>
    </row>
    <row r="1831" spans="1:15" x14ac:dyDescent="0.25">
      <c r="A1831" s="35" t="s">
        <v>2307</v>
      </c>
      <c r="B1831" s="28" t="str">
        <f t="shared" si="56"/>
        <v>Torrance</v>
      </c>
      <c r="C1831" s="30">
        <v>16383</v>
      </c>
      <c r="D1831" s="30">
        <v>16380</v>
      </c>
      <c r="E1831" s="30">
        <v>16404</v>
      </c>
      <c r="F1831" s="30">
        <v>16447</v>
      </c>
      <c r="G1831" s="30">
        <v>16155</v>
      </c>
      <c r="H1831" s="30">
        <v>15825</v>
      </c>
      <c r="I1831" s="30">
        <v>15666</v>
      </c>
      <c r="J1831" s="30">
        <v>15596</v>
      </c>
      <c r="K1831" s="30">
        <v>15491</v>
      </c>
      <c r="L1831" s="30">
        <v>15535</v>
      </c>
      <c r="M1831" s="30">
        <v>15512</v>
      </c>
      <c r="N1831" s="30">
        <v>15461</v>
      </c>
      <c r="O1831" s="24" t="str">
        <f t="shared" si="57"/>
        <v>Torrance County, New Mexico</v>
      </c>
    </row>
    <row r="1832" spans="1:15" x14ac:dyDescent="0.25">
      <c r="A1832" s="35" t="s">
        <v>2308</v>
      </c>
      <c r="B1832" s="28" t="str">
        <f t="shared" si="56"/>
        <v>Union</v>
      </c>
      <c r="C1832" s="30">
        <v>4549</v>
      </c>
      <c r="D1832" s="30">
        <v>4553</v>
      </c>
      <c r="E1832" s="30">
        <v>4541</v>
      </c>
      <c r="F1832" s="30">
        <v>4410</v>
      </c>
      <c r="G1832" s="30">
        <v>4400</v>
      </c>
      <c r="H1832" s="30">
        <v>4347</v>
      </c>
      <c r="I1832" s="30">
        <v>4246</v>
      </c>
      <c r="J1832" s="30">
        <v>4163</v>
      </c>
      <c r="K1832" s="30">
        <v>4154</v>
      </c>
      <c r="L1832" s="30">
        <v>4180</v>
      </c>
      <c r="M1832" s="30">
        <v>4108</v>
      </c>
      <c r="N1832" s="30">
        <v>4059</v>
      </c>
      <c r="O1832" s="24" t="str">
        <f t="shared" si="57"/>
        <v>Union County, New Mexico</v>
      </c>
    </row>
    <row r="1833" spans="1:15" x14ac:dyDescent="0.25">
      <c r="A1833" s="35" t="s">
        <v>2309</v>
      </c>
      <c r="B1833" s="28" t="str">
        <f t="shared" si="56"/>
        <v>Valencia</v>
      </c>
      <c r="C1833" s="30">
        <v>76569</v>
      </c>
      <c r="D1833" s="30">
        <v>76585</v>
      </c>
      <c r="E1833" s="30">
        <v>76800</v>
      </c>
      <c r="F1833" s="30">
        <v>76960</v>
      </c>
      <c r="G1833" s="30">
        <v>76789</v>
      </c>
      <c r="H1833" s="30">
        <v>76491</v>
      </c>
      <c r="I1833" s="30">
        <v>75892</v>
      </c>
      <c r="J1833" s="30">
        <v>75661</v>
      </c>
      <c r="K1833" s="30">
        <v>75599</v>
      </c>
      <c r="L1833" s="30">
        <v>75884</v>
      </c>
      <c r="M1833" s="30">
        <v>76305</v>
      </c>
      <c r="N1833" s="30">
        <v>76688</v>
      </c>
      <c r="O1833" s="24" t="str">
        <f t="shared" si="57"/>
        <v>Valencia County, New Mexico</v>
      </c>
    </row>
    <row r="1834" spans="1:15" x14ac:dyDescent="0.25">
      <c r="A1834" s="35" t="s">
        <v>2310</v>
      </c>
      <c r="B1834" s="28" t="str">
        <f t="shared" si="56"/>
        <v>Albany</v>
      </c>
      <c r="C1834" s="30">
        <v>304204</v>
      </c>
      <c r="D1834" s="30">
        <v>304208</v>
      </c>
      <c r="E1834" s="30">
        <v>304086</v>
      </c>
      <c r="F1834" s="30">
        <v>304596</v>
      </c>
      <c r="G1834" s="30">
        <v>305723</v>
      </c>
      <c r="H1834" s="30">
        <v>306589</v>
      </c>
      <c r="I1834" s="30">
        <v>307151</v>
      </c>
      <c r="J1834" s="30">
        <v>307433</v>
      </c>
      <c r="K1834" s="30">
        <v>307597</v>
      </c>
      <c r="L1834" s="30">
        <v>307717</v>
      </c>
      <c r="M1834" s="30">
        <v>306585</v>
      </c>
      <c r="N1834" s="30">
        <v>305506</v>
      </c>
      <c r="O1834" s="24" t="str">
        <f t="shared" si="57"/>
        <v>Albany County, New York</v>
      </c>
    </row>
    <row r="1835" spans="1:15" x14ac:dyDescent="0.25">
      <c r="A1835" s="35" t="s">
        <v>2311</v>
      </c>
      <c r="B1835" s="28" t="str">
        <f t="shared" si="56"/>
        <v>Allegany</v>
      </c>
      <c r="C1835" s="30">
        <v>48946</v>
      </c>
      <c r="D1835" s="30">
        <v>48923</v>
      </c>
      <c r="E1835" s="30">
        <v>48971</v>
      </c>
      <c r="F1835" s="30">
        <v>48800</v>
      </c>
      <c r="G1835" s="30">
        <v>48210</v>
      </c>
      <c r="H1835" s="30">
        <v>47900</v>
      </c>
      <c r="I1835" s="30">
        <v>47652</v>
      </c>
      <c r="J1835" s="30">
        <v>47334</v>
      </c>
      <c r="K1835" s="30">
        <v>47044</v>
      </c>
      <c r="L1835" s="30">
        <v>46639</v>
      </c>
      <c r="M1835" s="30">
        <v>46332</v>
      </c>
      <c r="N1835" s="30">
        <v>46091</v>
      </c>
      <c r="O1835" s="24" t="str">
        <f t="shared" si="57"/>
        <v>Allegany County, New York</v>
      </c>
    </row>
    <row r="1836" spans="1:15" x14ac:dyDescent="0.25">
      <c r="A1836" s="35" t="s">
        <v>2312</v>
      </c>
      <c r="B1836" s="28" t="str">
        <f t="shared" si="56"/>
        <v>Bronx</v>
      </c>
      <c r="C1836" s="30">
        <v>1385108</v>
      </c>
      <c r="D1836" s="30">
        <v>1384580</v>
      </c>
      <c r="E1836" s="30">
        <v>1387298</v>
      </c>
      <c r="F1836" s="30">
        <v>1397335</v>
      </c>
      <c r="G1836" s="30">
        <v>1411496</v>
      </c>
      <c r="H1836" s="30">
        <v>1421928</v>
      </c>
      <c r="I1836" s="30">
        <v>1430942</v>
      </c>
      <c r="J1836" s="30">
        <v>1440005</v>
      </c>
      <c r="K1836" s="30">
        <v>1444417</v>
      </c>
      <c r="L1836" s="30">
        <v>1440625</v>
      </c>
      <c r="M1836" s="30">
        <v>1432087</v>
      </c>
      <c r="N1836" s="30">
        <v>1418207</v>
      </c>
      <c r="O1836" s="24" t="str">
        <f t="shared" si="57"/>
        <v>Bronx County, New York</v>
      </c>
    </row>
    <row r="1837" spans="1:15" x14ac:dyDescent="0.25">
      <c r="A1837" s="35" t="s">
        <v>2313</v>
      </c>
      <c r="B1837" s="28" t="str">
        <f t="shared" si="56"/>
        <v>Broome</v>
      </c>
      <c r="C1837" s="30">
        <v>200600</v>
      </c>
      <c r="D1837" s="30">
        <v>200675</v>
      </c>
      <c r="E1837" s="30">
        <v>200481</v>
      </c>
      <c r="F1837" s="30">
        <v>199363</v>
      </c>
      <c r="G1837" s="30">
        <v>198667</v>
      </c>
      <c r="H1837" s="30">
        <v>197914</v>
      </c>
      <c r="I1837" s="30">
        <v>197251</v>
      </c>
      <c r="J1837" s="30">
        <v>195928</v>
      </c>
      <c r="K1837" s="30">
        <v>194498</v>
      </c>
      <c r="L1837" s="30">
        <v>193100</v>
      </c>
      <c r="M1837" s="30">
        <v>191925</v>
      </c>
      <c r="N1837" s="30">
        <v>190488</v>
      </c>
      <c r="O1837" s="24" t="str">
        <f t="shared" si="57"/>
        <v>Broome County, New York</v>
      </c>
    </row>
    <row r="1838" spans="1:15" x14ac:dyDescent="0.25">
      <c r="A1838" s="35" t="s">
        <v>2314</v>
      </c>
      <c r="B1838" s="28" t="str">
        <f t="shared" si="56"/>
        <v>Cattaraugus</v>
      </c>
      <c r="C1838" s="30">
        <v>80317</v>
      </c>
      <c r="D1838" s="30">
        <v>80337</v>
      </c>
      <c r="E1838" s="30">
        <v>80218</v>
      </c>
      <c r="F1838" s="30">
        <v>79815</v>
      </c>
      <c r="G1838" s="30">
        <v>79348</v>
      </c>
      <c r="H1838" s="30">
        <v>78996</v>
      </c>
      <c r="I1838" s="30">
        <v>78677</v>
      </c>
      <c r="J1838" s="30">
        <v>77926</v>
      </c>
      <c r="K1838" s="30">
        <v>77658</v>
      </c>
      <c r="L1838" s="30">
        <v>77176</v>
      </c>
      <c r="M1838" s="30">
        <v>76726</v>
      </c>
      <c r="N1838" s="30">
        <v>76117</v>
      </c>
      <c r="O1838" s="24" t="str">
        <f t="shared" si="57"/>
        <v>Cattaraugus County, New York</v>
      </c>
    </row>
    <row r="1839" spans="1:15" x14ac:dyDescent="0.25">
      <c r="A1839" s="35" t="s">
        <v>2315</v>
      </c>
      <c r="B1839" s="28" t="str">
        <f t="shared" si="56"/>
        <v>Cayuga</v>
      </c>
      <c r="C1839" s="30">
        <v>80026</v>
      </c>
      <c r="D1839" s="30">
        <v>80008</v>
      </c>
      <c r="E1839" s="30">
        <v>79895</v>
      </c>
      <c r="F1839" s="30">
        <v>79693</v>
      </c>
      <c r="G1839" s="30">
        <v>79505</v>
      </c>
      <c r="H1839" s="30">
        <v>79088</v>
      </c>
      <c r="I1839" s="30">
        <v>78762</v>
      </c>
      <c r="J1839" s="30">
        <v>78298</v>
      </c>
      <c r="K1839" s="30">
        <v>77674</v>
      </c>
      <c r="L1839" s="30">
        <v>77457</v>
      </c>
      <c r="M1839" s="30">
        <v>77121</v>
      </c>
      <c r="N1839" s="30">
        <v>76576</v>
      </c>
      <c r="O1839" s="24" t="str">
        <f t="shared" si="57"/>
        <v>Cayuga County, New York</v>
      </c>
    </row>
    <row r="1840" spans="1:15" x14ac:dyDescent="0.25">
      <c r="A1840" s="35" t="s">
        <v>2316</v>
      </c>
      <c r="B1840" s="28" t="str">
        <f t="shared" si="56"/>
        <v>Chautauqua</v>
      </c>
      <c r="C1840" s="30">
        <v>134905</v>
      </c>
      <c r="D1840" s="30">
        <v>134907</v>
      </c>
      <c r="E1840" s="30">
        <v>134725</v>
      </c>
      <c r="F1840" s="30">
        <v>134209</v>
      </c>
      <c r="G1840" s="30">
        <v>133304</v>
      </c>
      <c r="H1840" s="30">
        <v>132852</v>
      </c>
      <c r="I1840" s="30">
        <v>131751</v>
      </c>
      <c r="J1840" s="30">
        <v>130529</v>
      </c>
      <c r="K1840" s="30">
        <v>129206</v>
      </c>
      <c r="L1840" s="30">
        <v>128372</v>
      </c>
      <c r="M1840" s="30">
        <v>127472</v>
      </c>
      <c r="N1840" s="30">
        <v>126903</v>
      </c>
      <c r="O1840" s="24" t="str">
        <f t="shared" si="57"/>
        <v>Chautauqua County, New York</v>
      </c>
    </row>
    <row r="1841" spans="1:15" x14ac:dyDescent="0.25">
      <c r="A1841" s="35" t="s">
        <v>2317</v>
      </c>
      <c r="B1841" s="28" t="str">
        <f t="shared" si="56"/>
        <v>Chemung</v>
      </c>
      <c r="C1841" s="30">
        <v>88830</v>
      </c>
      <c r="D1841" s="30">
        <v>88847</v>
      </c>
      <c r="E1841" s="30">
        <v>88895</v>
      </c>
      <c r="F1841" s="30">
        <v>88899</v>
      </c>
      <c r="G1841" s="30">
        <v>89137</v>
      </c>
      <c r="H1841" s="30">
        <v>88199</v>
      </c>
      <c r="I1841" s="30">
        <v>87177</v>
      </c>
      <c r="J1841" s="30">
        <v>86705</v>
      </c>
      <c r="K1841" s="30">
        <v>85644</v>
      </c>
      <c r="L1841" s="30">
        <v>84736</v>
      </c>
      <c r="M1841" s="30">
        <v>83935</v>
      </c>
      <c r="N1841" s="30">
        <v>83456</v>
      </c>
      <c r="O1841" s="24" t="str">
        <f t="shared" si="57"/>
        <v>Chemung County, New York</v>
      </c>
    </row>
    <row r="1842" spans="1:15" x14ac:dyDescent="0.25">
      <c r="A1842" s="35" t="s">
        <v>2318</v>
      </c>
      <c r="B1842" s="28" t="str">
        <f t="shared" si="56"/>
        <v>Chenango</v>
      </c>
      <c r="C1842" s="30">
        <v>50477</v>
      </c>
      <c r="D1842" s="30">
        <v>50511</v>
      </c>
      <c r="E1842" s="30">
        <v>50399</v>
      </c>
      <c r="F1842" s="30">
        <v>50182</v>
      </c>
      <c r="G1842" s="30">
        <v>49883</v>
      </c>
      <c r="H1842" s="30">
        <v>49477</v>
      </c>
      <c r="I1842" s="30">
        <v>49319</v>
      </c>
      <c r="J1842" s="30">
        <v>48772</v>
      </c>
      <c r="K1842" s="30">
        <v>48315</v>
      </c>
      <c r="L1842" s="30">
        <v>47805</v>
      </c>
      <c r="M1842" s="30">
        <v>47445</v>
      </c>
      <c r="N1842" s="30">
        <v>47207</v>
      </c>
      <c r="O1842" s="24" t="str">
        <f t="shared" si="57"/>
        <v>Chenango County, New York</v>
      </c>
    </row>
    <row r="1843" spans="1:15" x14ac:dyDescent="0.25">
      <c r="A1843" s="35" t="s">
        <v>2319</v>
      </c>
      <c r="B1843" s="28" t="str">
        <f t="shared" si="56"/>
        <v>Clinton</v>
      </c>
      <c r="C1843" s="30">
        <v>82128</v>
      </c>
      <c r="D1843" s="30">
        <v>82131</v>
      </c>
      <c r="E1843" s="30">
        <v>82096</v>
      </c>
      <c r="F1843" s="30">
        <v>81728</v>
      </c>
      <c r="G1843" s="30">
        <v>81714</v>
      </c>
      <c r="H1843" s="30">
        <v>81523</v>
      </c>
      <c r="I1843" s="30">
        <v>81463</v>
      </c>
      <c r="J1843" s="30">
        <v>80718</v>
      </c>
      <c r="K1843" s="30">
        <v>80500</v>
      </c>
      <c r="L1843" s="30">
        <v>80531</v>
      </c>
      <c r="M1843" s="30">
        <v>80679</v>
      </c>
      <c r="N1843" s="30">
        <v>80485</v>
      </c>
      <c r="O1843" s="24" t="str">
        <f t="shared" si="57"/>
        <v>Clinton County, New York</v>
      </c>
    </row>
    <row r="1844" spans="1:15" x14ac:dyDescent="0.25">
      <c r="A1844" s="35" t="s">
        <v>2320</v>
      </c>
      <c r="B1844" s="28" t="str">
        <f t="shared" si="56"/>
        <v>Columbia</v>
      </c>
      <c r="C1844" s="30">
        <v>63096</v>
      </c>
      <c r="D1844" s="30">
        <v>63066</v>
      </c>
      <c r="E1844" s="30">
        <v>63036</v>
      </c>
      <c r="F1844" s="30">
        <v>62528</v>
      </c>
      <c r="G1844" s="30">
        <v>62449</v>
      </c>
      <c r="H1844" s="30">
        <v>62170</v>
      </c>
      <c r="I1844" s="30">
        <v>61942</v>
      </c>
      <c r="J1844" s="30">
        <v>61434</v>
      </c>
      <c r="K1844" s="30">
        <v>60835</v>
      </c>
      <c r="L1844" s="30">
        <v>60338</v>
      </c>
      <c r="M1844" s="30">
        <v>59785</v>
      </c>
      <c r="N1844" s="30">
        <v>59461</v>
      </c>
      <c r="O1844" s="24" t="str">
        <f t="shared" si="57"/>
        <v>Columbia County, New York</v>
      </c>
    </row>
    <row r="1845" spans="1:15" x14ac:dyDescent="0.25">
      <c r="A1845" s="35" t="s">
        <v>2321</v>
      </c>
      <c r="B1845" s="28" t="str">
        <f t="shared" si="56"/>
        <v>Cortland</v>
      </c>
      <c r="C1845" s="30">
        <v>49336</v>
      </c>
      <c r="D1845" s="30">
        <v>49290</v>
      </c>
      <c r="E1845" s="30">
        <v>49279</v>
      </c>
      <c r="F1845" s="30">
        <v>49380</v>
      </c>
      <c r="G1845" s="30">
        <v>49023</v>
      </c>
      <c r="H1845" s="30">
        <v>48905</v>
      </c>
      <c r="I1845" s="30">
        <v>48740</v>
      </c>
      <c r="J1845" s="30">
        <v>48290</v>
      </c>
      <c r="K1845" s="30">
        <v>47915</v>
      </c>
      <c r="L1845" s="30">
        <v>47815</v>
      </c>
      <c r="M1845" s="30">
        <v>47722</v>
      </c>
      <c r="N1845" s="30">
        <v>47581</v>
      </c>
      <c r="O1845" s="24" t="str">
        <f t="shared" si="57"/>
        <v>Cortland County, New York</v>
      </c>
    </row>
    <row r="1846" spans="1:15" x14ac:dyDescent="0.25">
      <c r="A1846" s="35" t="s">
        <v>2322</v>
      </c>
      <c r="B1846" s="28" t="str">
        <f t="shared" si="56"/>
        <v>Delaware</v>
      </c>
      <c r="C1846" s="30">
        <v>47980</v>
      </c>
      <c r="D1846" s="30">
        <v>47962</v>
      </c>
      <c r="E1846" s="30">
        <v>47888</v>
      </c>
      <c r="F1846" s="30">
        <v>47584</v>
      </c>
      <c r="G1846" s="30">
        <v>47215</v>
      </c>
      <c r="H1846" s="30">
        <v>46803</v>
      </c>
      <c r="I1846" s="30">
        <v>46562</v>
      </c>
      <c r="J1846" s="30">
        <v>45891</v>
      </c>
      <c r="K1846" s="30">
        <v>45393</v>
      </c>
      <c r="L1846" s="30">
        <v>45028</v>
      </c>
      <c r="M1846" s="30">
        <v>44526</v>
      </c>
      <c r="N1846" s="30">
        <v>44135</v>
      </c>
      <c r="O1846" s="24" t="str">
        <f t="shared" si="57"/>
        <v>Delaware County, New York</v>
      </c>
    </row>
    <row r="1847" spans="1:15" x14ac:dyDescent="0.25">
      <c r="A1847" s="35" t="s">
        <v>2323</v>
      </c>
      <c r="B1847" s="28" t="str">
        <f t="shared" si="56"/>
        <v>Dutchess</v>
      </c>
      <c r="C1847" s="30">
        <v>297488</v>
      </c>
      <c r="D1847" s="30">
        <v>297454</v>
      </c>
      <c r="E1847" s="30">
        <v>297728</v>
      </c>
      <c r="F1847" s="30">
        <v>298133</v>
      </c>
      <c r="G1847" s="30">
        <v>297023</v>
      </c>
      <c r="H1847" s="30">
        <v>296268</v>
      </c>
      <c r="I1847" s="30">
        <v>295127</v>
      </c>
      <c r="J1847" s="30">
        <v>294039</v>
      </c>
      <c r="K1847" s="30">
        <v>293029</v>
      </c>
      <c r="L1847" s="30">
        <v>293545</v>
      </c>
      <c r="M1847" s="30">
        <v>293939</v>
      </c>
      <c r="N1847" s="30">
        <v>294218</v>
      </c>
      <c r="O1847" s="24" t="str">
        <f t="shared" si="57"/>
        <v>Dutchess County, New York</v>
      </c>
    </row>
    <row r="1848" spans="1:15" x14ac:dyDescent="0.25">
      <c r="A1848" s="35" t="s">
        <v>2324</v>
      </c>
      <c r="B1848" s="28" t="str">
        <f t="shared" si="56"/>
        <v>Erie</v>
      </c>
      <c r="C1848" s="30">
        <v>919040</v>
      </c>
      <c r="D1848" s="30">
        <v>919134</v>
      </c>
      <c r="E1848" s="30">
        <v>919152</v>
      </c>
      <c r="F1848" s="30">
        <v>919843</v>
      </c>
      <c r="G1848" s="30">
        <v>919906</v>
      </c>
      <c r="H1848" s="30">
        <v>920869</v>
      </c>
      <c r="I1848" s="30">
        <v>921755</v>
      </c>
      <c r="J1848" s="30">
        <v>920644</v>
      </c>
      <c r="K1848" s="30">
        <v>918678</v>
      </c>
      <c r="L1848" s="30">
        <v>919034</v>
      </c>
      <c r="M1848" s="30">
        <v>919717</v>
      </c>
      <c r="N1848" s="30">
        <v>918702</v>
      </c>
      <c r="O1848" s="24" t="str">
        <f t="shared" si="57"/>
        <v>Erie County, New York</v>
      </c>
    </row>
    <row r="1849" spans="1:15" x14ac:dyDescent="0.25">
      <c r="A1849" s="35" t="s">
        <v>2325</v>
      </c>
      <c r="B1849" s="28" t="str">
        <f t="shared" si="56"/>
        <v>Essex</v>
      </c>
      <c r="C1849" s="30">
        <v>39370</v>
      </c>
      <c r="D1849" s="30">
        <v>39373</v>
      </c>
      <c r="E1849" s="30">
        <v>39360</v>
      </c>
      <c r="F1849" s="30">
        <v>39271</v>
      </c>
      <c r="G1849" s="30">
        <v>38875</v>
      </c>
      <c r="H1849" s="30">
        <v>38601</v>
      </c>
      <c r="I1849" s="30">
        <v>38323</v>
      </c>
      <c r="J1849" s="30">
        <v>37965</v>
      </c>
      <c r="K1849" s="30">
        <v>37671</v>
      </c>
      <c r="L1849" s="30">
        <v>37487</v>
      </c>
      <c r="M1849" s="30">
        <v>37288</v>
      </c>
      <c r="N1849" s="30">
        <v>36885</v>
      </c>
      <c r="O1849" s="24" t="str">
        <f t="shared" si="57"/>
        <v>Essex County, New York</v>
      </c>
    </row>
    <row r="1850" spans="1:15" x14ac:dyDescent="0.25">
      <c r="A1850" s="35" t="s">
        <v>2326</v>
      </c>
      <c r="B1850" s="28" t="str">
        <f t="shared" si="56"/>
        <v>Franklin</v>
      </c>
      <c r="C1850" s="30">
        <v>51599</v>
      </c>
      <c r="D1850" s="30">
        <v>51601</v>
      </c>
      <c r="E1850" s="30">
        <v>51645</v>
      </c>
      <c r="F1850" s="30">
        <v>51545</v>
      </c>
      <c r="G1850" s="30">
        <v>51791</v>
      </c>
      <c r="H1850" s="30">
        <v>51212</v>
      </c>
      <c r="I1850" s="30">
        <v>51096</v>
      </c>
      <c r="J1850" s="30">
        <v>50540</v>
      </c>
      <c r="K1850" s="30">
        <v>51081</v>
      </c>
      <c r="L1850" s="30">
        <v>50465</v>
      </c>
      <c r="M1850" s="30">
        <v>50279</v>
      </c>
      <c r="N1850" s="30">
        <v>50022</v>
      </c>
      <c r="O1850" s="24" t="str">
        <f t="shared" si="57"/>
        <v>Franklin County, New York</v>
      </c>
    </row>
    <row r="1851" spans="1:15" x14ac:dyDescent="0.25">
      <c r="A1851" s="35" t="s">
        <v>2327</v>
      </c>
      <c r="B1851" s="28" t="str">
        <f t="shared" si="56"/>
        <v>Fulton</v>
      </c>
      <c r="C1851" s="30">
        <v>55531</v>
      </c>
      <c r="D1851" s="30">
        <v>55513</v>
      </c>
      <c r="E1851" s="30">
        <v>55455</v>
      </c>
      <c r="F1851" s="30">
        <v>55112</v>
      </c>
      <c r="G1851" s="30">
        <v>54845</v>
      </c>
      <c r="H1851" s="30">
        <v>54345</v>
      </c>
      <c r="I1851" s="30">
        <v>53932</v>
      </c>
      <c r="J1851" s="30">
        <v>53801</v>
      </c>
      <c r="K1851" s="30">
        <v>53610</v>
      </c>
      <c r="L1851" s="30">
        <v>53802</v>
      </c>
      <c r="M1851" s="30">
        <v>53633</v>
      </c>
      <c r="N1851" s="30">
        <v>53383</v>
      </c>
      <c r="O1851" s="24" t="str">
        <f t="shared" si="57"/>
        <v>Fulton County, New York</v>
      </c>
    </row>
    <row r="1852" spans="1:15" x14ac:dyDescent="0.25">
      <c r="A1852" s="35" t="s">
        <v>2328</v>
      </c>
      <c r="B1852" s="28" t="str">
        <f t="shared" si="56"/>
        <v>Genesee</v>
      </c>
      <c r="C1852" s="30">
        <v>60079</v>
      </c>
      <c r="D1852" s="30">
        <v>59934</v>
      </c>
      <c r="E1852" s="30">
        <v>59928</v>
      </c>
      <c r="F1852" s="30">
        <v>59880</v>
      </c>
      <c r="G1852" s="30">
        <v>59672</v>
      </c>
      <c r="H1852" s="30">
        <v>59112</v>
      </c>
      <c r="I1852" s="30">
        <v>58725</v>
      </c>
      <c r="J1852" s="30">
        <v>58462</v>
      </c>
      <c r="K1852" s="30">
        <v>58013</v>
      </c>
      <c r="L1852" s="30">
        <v>57798</v>
      </c>
      <c r="M1852" s="30">
        <v>57487</v>
      </c>
      <c r="N1852" s="30">
        <v>57280</v>
      </c>
      <c r="O1852" s="24" t="str">
        <f t="shared" si="57"/>
        <v>Genesee County, New York</v>
      </c>
    </row>
    <row r="1853" spans="1:15" x14ac:dyDescent="0.25">
      <c r="A1853" s="35" t="s">
        <v>2329</v>
      </c>
      <c r="B1853" s="28" t="str">
        <f t="shared" si="56"/>
        <v>Greene</v>
      </c>
      <c r="C1853" s="30">
        <v>49221</v>
      </c>
      <c r="D1853" s="30">
        <v>49214</v>
      </c>
      <c r="E1853" s="30">
        <v>49139</v>
      </c>
      <c r="F1853" s="30">
        <v>48857</v>
      </c>
      <c r="G1853" s="30">
        <v>48587</v>
      </c>
      <c r="H1853" s="30">
        <v>48308</v>
      </c>
      <c r="I1853" s="30">
        <v>47964</v>
      </c>
      <c r="J1853" s="30">
        <v>47616</v>
      </c>
      <c r="K1853" s="30">
        <v>47494</v>
      </c>
      <c r="L1853" s="30">
        <v>47442</v>
      </c>
      <c r="M1853" s="30">
        <v>47381</v>
      </c>
      <c r="N1853" s="30">
        <v>47188</v>
      </c>
      <c r="O1853" s="24" t="str">
        <f t="shared" si="57"/>
        <v>Greene County, New York</v>
      </c>
    </row>
    <row r="1854" spans="1:15" x14ac:dyDescent="0.25">
      <c r="A1854" s="35" t="s">
        <v>2330</v>
      </c>
      <c r="B1854" s="28" t="str">
        <f t="shared" si="56"/>
        <v>Hamilton</v>
      </c>
      <c r="C1854" s="30">
        <v>4836</v>
      </c>
      <c r="D1854" s="30">
        <v>4841</v>
      </c>
      <c r="E1854" s="30">
        <v>4851</v>
      </c>
      <c r="F1854" s="30">
        <v>4826</v>
      </c>
      <c r="G1854" s="30">
        <v>4803</v>
      </c>
      <c r="H1854" s="30">
        <v>4766</v>
      </c>
      <c r="I1854" s="30">
        <v>4700</v>
      </c>
      <c r="J1854" s="30">
        <v>4699</v>
      </c>
      <c r="K1854" s="30">
        <v>4556</v>
      </c>
      <c r="L1854" s="30">
        <v>4471</v>
      </c>
      <c r="M1854" s="30">
        <v>4432</v>
      </c>
      <c r="N1854" s="30">
        <v>4416</v>
      </c>
      <c r="O1854" s="24" t="str">
        <f t="shared" si="57"/>
        <v>Hamilton County, New York</v>
      </c>
    </row>
    <row r="1855" spans="1:15" x14ac:dyDescent="0.25">
      <c r="A1855" s="35" t="s">
        <v>2331</v>
      </c>
      <c r="B1855" s="28" t="str">
        <f t="shared" si="56"/>
        <v>Herkimer</v>
      </c>
      <c r="C1855" s="30">
        <v>64519</v>
      </c>
      <c r="D1855" s="30">
        <v>64469</v>
      </c>
      <c r="E1855" s="30">
        <v>64470</v>
      </c>
      <c r="F1855" s="30">
        <v>64386</v>
      </c>
      <c r="G1855" s="30">
        <v>64227</v>
      </c>
      <c r="H1855" s="30">
        <v>63883</v>
      </c>
      <c r="I1855" s="30">
        <v>63384</v>
      </c>
      <c r="J1855" s="30">
        <v>62652</v>
      </c>
      <c r="K1855" s="30">
        <v>62436</v>
      </c>
      <c r="L1855" s="30">
        <v>62163</v>
      </c>
      <c r="M1855" s="30">
        <v>61713</v>
      </c>
      <c r="N1855" s="30">
        <v>61319</v>
      </c>
      <c r="O1855" s="24" t="str">
        <f t="shared" si="57"/>
        <v>Herkimer County, New York</v>
      </c>
    </row>
    <row r="1856" spans="1:15" x14ac:dyDescent="0.25">
      <c r="A1856" s="35" t="s">
        <v>2332</v>
      </c>
      <c r="B1856" s="28" t="str">
        <f t="shared" si="56"/>
        <v>Jefferson</v>
      </c>
      <c r="C1856" s="30">
        <v>116229</v>
      </c>
      <c r="D1856" s="30">
        <v>116232</v>
      </c>
      <c r="E1856" s="30">
        <v>116592</v>
      </c>
      <c r="F1856" s="30">
        <v>117752</v>
      </c>
      <c r="G1856" s="30">
        <v>120235</v>
      </c>
      <c r="H1856" s="30">
        <v>118490</v>
      </c>
      <c r="I1856" s="30">
        <v>117971</v>
      </c>
      <c r="J1856" s="30">
        <v>116371</v>
      </c>
      <c r="K1856" s="30">
        <v>112980</v>
      </c>
      <c r="L1856" s="30">
        <v>113157</v>
      </c>
      <c r="M1856" s="30">
        <v>111866</v>
      </c>
      <c r="N1856" s="30">
        <v>109834</v>
      </c>
      <c r="O1856" s="24" t="str">
        <f t="shared" si="57"/>
        <v>Jefferson County, New York</v>
      </c>
    </row>
    <row r="1857" spans="1:15" x14ac:dyDescent="0.25">
      <c r="A1857" s="35" t="s">
        <v>2333</v>
      </c>
      <c r="B1857" s="28" t="str">
        <f t="shared" si="56"/>
        <v>Kings</v>
      </c>
      <c r="C1857" s="30">
        <v>2504700</v>
      </c>
      <c r="D1857" s="30">
        <v>2504721</v>
      </c>
      <c r="E1857" s="30">
        <v>2509828</v>
      </c>
      <c r="F1857" s="30">
        <v>2540817</v>
      </c>
      <c r="G1857" s="30">
        <v>2568450</v>
      </c>
      <c r="H1857" s="30">
        <v>2587684</v>
      </c>
      <c r="I1857" s="30">
        <v>2601513</v>
      </c>
      <c r="J1857" s="30">
        <v>2608794</v>
      </c>
      <c r="K1857" s="30">
        <v>2608423</v>
      </c>
      <c r="L1857" s="30">
        <v>2594676</v>
      </c>
      <c r="M1857" s="30">
        <v>2578074</v>
      </c>
      <c r="N1857" s="30">
        <v>2559903</v>
      </c>
      <c r="O1857" s="24" t="str">
        <f t="shared" si="57"/>
        <v>Kings County, New York</v>
      </c>
    </row>
    <row r="1858" spans="1:15" x14ac:dyDescent="0.25">
      <c r="A1858" s="35" t="s">
        <v>2334</v>
      </c>
      <c r="B1858" s="28" t="str">
        <f t="shared" si="56"/>
        <v>Lewis</v>
      </c>
      <c r="C1858" s="30">
        <v>27087</v>
      </c>
      <c r="D1858" s="30">
        <v>27090</v>
      </c>
      <c r="E1858" s="30">
        <v>27077</v>
      </c>
      <c r="F1858" s="30">
        <v>27027</v>
      </c>
      <c r="G1858" s="30">
        <v>27196</v>
      </c>
      <c r="H1858" s="30">
        <v>27098</v>
      </c>
      <c r="I1858" s="30">
        <v>27089</v>
      </c>
      <c r="J1858" s="30">
        <v>26827</v>
      </c>
      <c r="K1858" s="30">
        <v>26647</v>
      </c>
      <c r="L1858" s="30">
        <v>26605</v>
      </c>
      <c r="M1858" s="30">
        <v>26486</v>
      </c>
      <c r="N1858" s="30">
        <v>26296</v>
      </c>
      <c r="O1858" s="24" t="str">
        <f t="shared" si="57"/>
        <v>Lewis County, New York</v>
      </c>
    </row>
    <row r="1859" spans="1:15" x14ac:dyDescent="0.25">
      <c r="A1859" s="35" t="s">
        <v>2335</v>
      </c>
      <c r="B1859" s="28" t="str">
        <f t="shared" si="56"/>
        <v>Livingston</v>
      </c>
      <c r="C1859" s="30">
        <v>65393</v>
      </c>
      <c r="D1859" s="30">
        <v>65206</v>
      </c>
      <c r="E1859" s="30">
        <v>65240</v>
      </c>
      <c r="F1859" s="30">
        <v>64849</v>
      </c>
      <c r="G1859" s="30">
        <v>64796</v>
      </c>
      <c r="H1859" s="30">
        <v>64627</v>
      </c>
      <c r="I1859" s="30">
        <v>64585</v>
      </c>
      <c r="J1859" s="30">
        <v>64344</v>
      </c>
      <c r="K1859" s="30">
        <v>64000</v>
      </c>
      <c r="L1859" s="30">
        <v>63483</v>
      </c>
      <c r="M1859" s="30">
        <v>63213</v>
      </c>
      <c r="N1859" s="30">
        <v>62914</v>
      </c>
      <c r="O1859" s="24" t="str">
        <f t="shared" si="57"/>
        <v>Livingston County, New York</v>
      </c>
    </row>
    <row r="1860" spans="1:15" x14ac:dyDescent="0.25">
      <c r="A1860" s="35" t="s">
        <v>2336</v>
      </c>
      <c r="B1860" s="28" t="str">
        <f t="shared" si="56"/>
        <v>Madison</v>
      </c>
      <c r="C1860" s="30">
        <v>73442</v>
      </c>
      <c r="D1860" s="30">
        <v>73452</v>
      </c>
      <c r="E1860" s="30">
        <v>73440</v>
      </c>
      <c r="F1860" s="30">
        <v>72887</v>
      </c>
      <c r="G1860" s="30">
        <v>72414</v>
      </c>
      <c r="H1860" s="30">
        <v>72457</v>
      </c>
      <c r="I1860" s="30">
        <v>72210</v>
      </c>
      <c r="J1860" s="30">
        <v>71636</v>
      </c>
      <c r="K1860" s="30">
        <v>71387</v>
      </c>
      <c r="L1860" s="30">
        <v>70942</v>
      </c>
      <c r="M1860" s="30">
        <v>71117</v>
      </c>
      <c r="N1860" s="30">
        <v>70941</v>
      </c>
      <c r="O1860" s="24" t="str">
        <f t="shared" si="57"/>
        <v>Madison County, New York</v>
      </c>
    </row>
    <row r="1861" spans="1:15" x14ac:dyDescent="0.25">
      <c r="A1861" s="35" t="s">
        <v>2337</v>
      </c>
      <c r="B1861" s="28" t="str">
        <f t="shared" si="56"/>
        <v>Monroe</v>
      </c>
      <c r="C1861" s="30">
        <v>744344</v>
      </c>
      <c r="D1861" s="30">
        <v>744394</v>
      </c>
      <c r="E1861" s="30">
        <v>744580</v>
      </c>
      <c r="F1861" s="30">
        <v>746751</v>
      </c>
      <c r="G1861" s="30">
        <v>747344</v>
      </c>
      <c r="H1861" s="30">
        <v>748290</v>
      </c>
      <c r="I1861" s="30">
        <v>747364</v>
      </c>
      <c r="J1861" s="30">
        <v>745577</v>
      </c>
      <c r="K1861" s="30">
        <v>743770</v>
      </c>
      <c r="L1861" s="30">
        <v>742724</v>
      </c>
      <c r="M1861" s="30">
        <v>742864</v>
      </c>
      <c r="N1861" s="30">
        <v>741770</v>
      </c>
      <c r="O1861" s="24" t="str">
        <f t="shared" si="57"/>
        <v>Monroe County, New York</v>
      </c>
    </row>
    <row r="1862" spans="1:15" x14ac:dyDescent="0.25">
      <c r="A1862" s="35" t="s">
        <v>2338</v>
      </c>
      <c r="B1862" s="28" t="str">
        <f t="shared" si="56"/>
        <v>Montgomery</v>
      </c>
      <c r="C1862" s="30">
        <v>50219</v>
      </c>
      <c r="D1862" s="30">
        <v>50264</v>
      </c>
      <c r="E1862" s="30">
        <v>50307</v>
      </c>
      <c r="F1862" s="30">
        <v>49911</v>
      </c>
      <c r="G1862" s="30">
        <v>49829</v>
      </c>
      <c r="H1862" s="30">
        <v>49743</v>
      </c>
      <c r="I1862" s="30">
        <v>49679</v>
      </c>
      <c r="J1862" s="30">
        <v>49564</v>
      </c>
      <c r="K1862" s="30">
        <v>49169</v>
      </c>
      <c r="L1862" s="30">
        <v>49163</v>
      </c>
      <c r="M1862" s="30">
        <v>49394</v>
      </c>
      <c r="N1862" s="30">
        <v>49221</v>
      </c>
      <c r="O1862" s="24" t="str">
        <f t="shared" si="57"/>
        <v>Montgomery County, New York</v>
      </c>
    </row>
    <row r="1863" spans="1:15" x14ac:dyDescent="0.25">
      <c r="A1863" s="35" t="s">
        <v>2339</v>
      </c>
      <c r="B1863" s="28" t="str">
        <f t="shared" ref="B1863:B1926" si="58">LEFT(A1863,FIND("County",A1863,1)-2)</f>
        <v>Nassau</v>
      </c>
      <c r="C1863" s="30">
        <v>1339532</v>
      </c>
      <c r="D1863" s="30">
        <v>1339880</v>
      </c>
      <c r="E1863" s="30">
        <v>1341669</v>
      </c>
      <c r="F1863" s="30">
        <v>1346223</v>
      </c>
      <c r="G1863" s="30">
        <v>1349616</v>
      </c>
      <c r="H1863" s="30">
        <v>1352193</v>
      </c>
      <c r="I1863" s="30">
        <v>1354705</v>
      </c>
      <c r="J1863" s="30">
        <v>1354840</v>
      </c>
      <c r="K1863" s="30">
        <v>1355952</v>
      </c>
      <c r="L1863" s="30">
        <v>1357293</v>
      </c>
      <c r="M1863" s="30">
        <v>1357534</v>
      </c>
      <c r="N1863" s="30">
        <v>1356924</v>
      </c>
      <c r="O1863" s="24" t="str">
        <f t="shared" ref="O1863:O1926" si="59">A1863</f>
        <v>Nassau County, New York</v>
      </c>
    </row>
    <row r="1864" spans="1:15" x14ac:dyDescent="0.25">
      <c r="A1864" s="35" t="s">
        <v>2340</v>
      </c>
      <c r="B1864" s="28" t="str">
        <f t="shared" si="58"/>
        <v>New York</v>
      </c>
      <c r="C1864" s="30">
        <v>1585873</v>
      </c>
      <c r="D1864" s="30">
        <v>1586381</v>
      </c>
      <c r="E1864" s="30">
        <v>1588767</v>
      </c>
      <c r="F1864" s="30">
        <v>1608293</v>
      </c>
      <c r="G1864" s="30">
        <v>1623911</v>
      </c>
      <c r="H1864" s="30">
        <v>1627491</v>
      </c>
      <c r="I1864" s="30">
        <v>1630678</v>
      </c>
      <c r="J1864" s="30">
        <v>1636063</v>
      </c>
      <c r="K1864" s="30">
        <v>1635443</v>
      </c>
      <c r="L1864" s="30">
        <v>1630698</v>
      </c>
      <c r="M1864" s="30">
        <v>1629055</v>
      </c>
      <c r="N1864" s="30">
        <v>1628706</v>
      </c>
      <c r="O1864" s="24" t="str">
        <f t="shared" si="59"/>
        <v>New York County, New York</v>
      </c>
    </row>
    <row r="1865" spans="1:15" x14ac:dyDescent="0.25">
      <c r="A1865" s="35" t="s">
        <v>2341</v>
      </c>
      <c r="B1865" s="28" t="str">
        <f t="shared" si="58"/>
        <v>Niagara</v>
      </c>
      <c r="C1865" s="30">
        <v>216469</v>
      </c>
      <c r="D1865" s="30">
        <v>216480</v>
      </c>
      <c r="E1865" s="30">
        <v>216475</v>
      </c>
      <c r="F1865" s="30">
        <v>215719</v>
      </c>
      <c r="G1865" s="30">
        <v>214713</v>
      </c>
      <c r="H1865" s="30">
        <v>214105</v>
      </c>
      <c r="I1865" s="30">
        <v>213305</v>
      </c>
      <c r="J1865" s="30">
        <v>212358</v>
      </c>
      <c r="K1865" s="30">
        <v>211554</v>
      </c>
      <c r="L1865" s="30">
        <v>210848</v>
      </c>
      <c r="M1865" s="30">
        <v>210060</v>
      </c>
      <c r="N1865" s="30">
        <v>209281</v>
      </c>
      <c r="O1865" s="24" t="str">
        <f t="shared" si="59"/>
        <v>Niagara County, New York</v>
      </c>
    </row>
    <row r="1866" spans="1:15" x14ac:dyDescent="0.25">
      <c r="A1866" s="35" t="s">
        <v>2342</v>
      </c>
      <c r="B1866" s="28" t="str">
        <f t="shared" si="58"/>
        <v>Oneida</v>
      </c>
      <c r="C1866" s="30">
        <v>234878</v>
      </c>
      <c r="D1866" s="30">
        <v>234860</v>
      </c>
      <c r="E1866" s="30">
        <v>234756</v>
      </c>
      <c r="F1866" s="30">
        <v>234218</v>
      </c>
      <c r="G1866" s="30">
        <v>233765</v>
      </c>
      <c r="H1866" s="30">
        <v>233347</v>
      </c>
      <c r="I1866" s="30">
        <v>232598</v>
      </c>
      <c r="J1866" s="30">
        <v>231264</v>
      </c>
      <c r="K1866" s="30">
        <v>230375</v>
      </c>
      <c r="L1866" s="30">
        <v>230011</v>
      </c>
      <c r="M1866" s="30">
        <v>229474</v>
      </c>
      <c r="N1866" s="30">
        <v>228671</v>
      </c>
      <c r="O1866" s="24" t="str">
        <f t="shared" si="59"/>
        <v>Oneida County, New York</v>
      </c>
    </row>
    <row r="1867" spans="1:15" x14ac:dyDescent="0.25">
      <c r="A1867" s="35" t="s">
        <v>2343</v>
      </c>
      <c r="B1867" s="28" t="str">
        <f t="shared" si="58"/>
        <v>Onondaga</v>
      </c>
      <c r="C1867" s="30">
        <v>467026</v>
      </c>
      <c r="D1867" s="30">
        <v>467067</v>
      </c>
      <c r="E1867" s="30">
        <v>467533</v>
      </c>
      <c r="F1867" s="30">
        <v>467614</v>
      </c>
      <c r="G1867" s="30">
        <v>467030</v>
      </c>
      <c r="H1867" s="30">
        <v>468146</v>
      </c>
      <c r="I1867" s="30">
        <v>467285</v>
      </c>
      <c r="J1867" s="30">
        <v>466277</v>
      </c>
      <c r="K1867" s="30">
        <v>464109</v>
      </c>
      <c r="L1867" s="30">
        <v>461795</v>
      </c>
      <c r="M1867" s="30">
        <v>461649</v>
      </c>
      <c r="N1867" s="30">
        <v>460528</v>
      </c>
      <c r="O1867" s="24" t="str">
        <f t="shared" si="59"/>
        <v>Onondaga County, New York</v>
      </c>
    </row>
    <row r="1868" spans="1:15" x14ac:dyDescent="0.25">
      <c r="A1868" s="35" t="s">
        <v>2344</v>
      </c>
      <c r="B1868" s="28" t="str">
        <f t="shared" si="58"/>
        <v>Ontario</v>
      </c>
      <c r="C1868" s="30">
        <v>107931</v>
      </c>
      <c r="D1868" s="30">
        <v>108099</v>
      </c>
      <c r="E1868" s="30">
        <v>108176</v>
      </c>
      <c r="F1868" s="30">
        <v>108599</v>
      </c>
      <c r="G1868" s="30">
        <v>108611</v>
      </c>
      <c r="H1868" s="30">
        <v>109044</v>
      </c>
      <c r="I1868" s="30">
        <v>109334</v>
      </c>
      <c r="J1868" s="30">
        <v>109271</v>
      </c>
      <c r="K1868" s="30">
        <v>109229</v>
      </c>
      <c r="L1868" s="30">
        <v>109538</v>
      </c>
      <c r="M1868" s="30">
        <v>109738</v>
      </c>
      <c r="N1868" s="30">
        <v>109777</v>
      </c>
      <c r="O1868" s="24" t="str">
        <f t="shared" si="59"/>
        <v>Ontario County, New York</v>
      </c>
    </row>
    <row r="1869" spans="1:15" x14ac:dyDescent="0.25">
      <c r="A1869" s="35" t="s">
        <v>2345</v>
      </c>
      <c r="B1869" s="28" t="str">
        <f t="shared" si="58"/>
        <v>Orange</v>
      </c>
      <c r="C1869" s="30">
        <v>372813</v>
      </c>
      <c r="D1869" s="30">
        <v>372826</v>
      </c>
      <c r="E1869" s="30">
        <v>373445</v>
      </c>
      <c r="F1869" s="30">
        <v>374097</v>
      </c>
      <c r="G1869" s="30">
        <v>373699</v>
      </c>
      <c r="H1869" s="30">
        <v>374320</v>
      </c>
      <c r="I1869" s="30">
        <v>374845</v>
      </c>
      <c r="J1869" s="30">
        <v>375803</v>
      </c>
      <c r="K1869" s="30">
        <v>377799</v>
      </c>
      <c r="L1869" s="30">
        <v>379758</v>
      </c>
      <c r="M1869" s="30">
        <v>382126</v>
      </c>
      <c r="N1869" s="30">
        <v>384940</v>
      </c>
      <c r="O1869" s="24" t="str">
        <f t="shared" si="59"/>
        <v>Orange County, New York</v>
      </c>
    </row>
    <row r="1870" spans="1:15" x14ac:dyDescent="0.25">
      <c r="A1870" s="35" t="s">
        <v>2346</v>
      </c>
      <c r="B1870" s="28" t="str">
        <f t="shared" si="58"/>
        <v>Orleans</v>
      </c>
      <c r="C1870" s="30">
        <v>42883</v>
      </c>
      <c r="D1870" s="30">
        <v>42890</v>
      </c>
      <c r="E1870" s="30">
        <v>42851</v>
      </c>
      <c r="F1870" s="30">
        <v>42648</v>
      </c>
      <c r="G1870" s="30">
        <v>42391</v>
      </c>
      <c r="H1870" s="30">
        <v>42229</v>
      </c>
      <c r="I1870" s="30">
        <v>41861</v>
      </c>
      <c r="J1870" s="30">
        <v>41481</v>
      </c>
      <c r="K1870" s="30">
        <v>41247</v>
      </c>
      <c r="L1870" s="30">
        <v>40786</v>
      </c>
      <c r="M1870" s="30">
        <v>40655</v>
      </c>
      <c r="N1870" s="30">
        <v>40352</v>
      </c>
      <c r="O1870" s="24" t="str">
        <f t="shared" si="59"/>
        <v>Orleans County, New York</v>
      </c>
    </row>
    <row r="1871" spans="1:15" x14ac:dyDescent="0.25">
      <c r="A1871" s="35" t="s">
        <v>2347</v>
      </c>
      <c r="B1871" s="28" t="str">
        <f t="shared" si="58"/>
        <v>Oswego</v>
      </c>
      <c r="C1871" s="30">
        <v>122109</v>
      </c>
      <c r="D1871" s="30">
        <v>122105</v>
      </c>
      <c r="E1871" s="30">
        <v>122137</v>
      </c>
      <c r="F1871" s="30">
        <v>121981</v>
      </c>
      <c r="G1871" s="30">
        <v>121458</v>
      </c>
      <c r="H1871" s="30">
        <v>121170</v>
      </c>
      <c r="I1871" s="30">
        <v>120590</v>
      </c>
      <c r="J1871" s="30">
        <v>119735</v>
      </c>
      <c r="K1871" s="30">
        <v>118895</v>
      </c>
      <c r="L1871" s="30">
        <v>118427</v>
      </c>
      <c r="M1871" s="30">
        <v>117515</v>
      </c>
      <c r="N1871" s="30">
        <v>117124</v>
      </c>
      <c r="O1871" s="24" t="str">
        <f t="shared" si="59"/>
        <v>Oswego County, New York</v>
      </c>
    </row>
    <row r="1872" spans="1:15" x14ac:dyDescent="0.25">
      <c r="A1872" s="35" t="s">
        <v>2348</v>
      </c>
      <c r="B1872" s="28" t="str">
        <f t="shared" si="58"/>
        <v>Otsego</v>
      </c>
      <c r="C1872" s="30">
        <v>62259</v>
      </c>
      <c r="D1872" s="30">
        <v>62278</v>
      </c>
      <c r="E1872" s="30">
        <v>62259</v>
      </c>
      <c r="F1872" s="30">
        <v>61971</v>
      </c>
      <c r="G1872" s="30">
        <v>61747</v>
      </c>
      <c r="H1872" s="30">
        <v>61614</v>
      </c>
      <c r="I1872" s="30">
        <v>60950</v>
      </c>
      <c r="J1872" s="30">
        <v>60504</v>
      </c>
      <c r="K1872" s="30">
        <v>60132</v>
      </c>
      <c r="L1872" s="30">
        <v>59920</v>
      </c>
      <c r="M1872" s="30">
        <v>59810</v>
      </c>
      <c r="N1872" s="30">
        <v>59493</v>
      </c>
      <c r="O1872" s="24" t="str">
        <f t="shared" si="59"/>
        <v>Otsego County, New York</v>
      </c>
    </row>
    <row r="1873" spans="1:15" x14ac:dyDescent="0.25">
      <c r="A1873" s="35" t="s">
        <v>2349</v>
      </c>
      <c r="B1873" s="28" t="str">
        <f t="shared" si="58"/>
        <v>Putnam</v>
      </c>
      <c r="C1873" s="30">
        <v>99710</v>
      </c>
      <c r="D1873" s="30">
        <v>99654</v>
      </c>
      <c r="E1873" s="30">
        <v>99667</v>
      </c>
      <c r="F1873" s="30">
        <v>99827</v>
      </c>
      <c r="G1873" s="30">
        <v>99625</v>
      </c>
      <c r="H1873" s="30">
        <v>99572</v>
      </c>
      <c r="I1873" s="30">
        <v>99438</v>
      </c>
      <c r="J1873" s="30">
        <v>99185</v>
      </c>
      <c r="K1873" s="30">
        <v>98761</v>
      </c>
      <c r="L1873" s="30">
        <v>98856</v>
      </c>
      <c r="M1873" s="30">
        <v>98814</v>
      </c>
      <c r="N1873" s="30">
        <v>98320</v>
      </c>
      <c r="O1873" s="24" t="str">
        <f t="shared" si="59"/>
        <v>Putnam County, New York</v>
      </c>
    </row>
    <row r="1874" spans="1:15" x14ac:dyDescent="0.25">
      <c r="A1874" s="35" t="s">
        <v>2350</v>
      </c>
      <c r="B1874" s="28" t="str">
        <f t="shared" si="58"/>
        <v>Queens</v>
      </c>
      <c r="C1874" s="30">
        <v>2230722</v>
      </c>
      <c r="D1874" s="30">
        <v>2230619</v>
      </c>
      <c r="E1874" s="30">
        <v>2234701</v>
      </c>
      <c r="F1874" s="30">
        <v>2255482</v>
      </c>
      <c r="G1874" s="30">
        <v>2272222</v>
      </c>
      <c r="H1874" s="30">
        <v>2287185</v>
      </c>
      <c r="I1874" s="30">
        <v>2298736</v>
      </c>
      <c r="J1874" s="30">
        <v>2305838</v>
      </c>
      <c r="K1874" s="30">
        <v>2306830</v>
      </c>
      <c r="L1874" s="30">
        <v>2295808</v>
      </c>
      <c r="M1874" s="30">
        <v>2274605</v>
      </c>
      <c r="N1874" s="30">
        <v>2253858</v>
      </c>
      <c r="O1874" s="24" t="str">
        <f t="shared" si="59"/>
        <v>Queens County, New York</v>
      </c>
    </row>
    <row r="1875" spans="1:15" x14ac:dyDescent="0.25">
      <c r="A1875" s="35" t="s">
        <v>2351</v>
      </c>
      <c r="B1875" s="28" t="str">
        <f t="shared" si="58"/>
        <v>Rensselaer</v>
      </c>
      <c r="C1875" s="30">
        <v>159429</v>
      </c>
      <c r="D1875" s="30">
        <v>159433</v>
      </c>
      <c r="E1875" s="30">
        <v>159340</v>
      </c>
      <c r="F1875" s="30">
        <v>159589</v>
      </c>
      <c r="G1875" s="30">
        <v>159437</v>
      </c>
      <c r="H1875" s="30">
        <v>159545</v>
      </c>
      <c r="I1875" s="30">
        <v>159666</v>
      </c>
      <c r="J1875" s="30">
        <v>159436</v>
      </c>
      <c r="K1875" s="30">
        <v>159294</v>
      </c>
      <c r="L1875" s="30">
        <v>159200</v>
      </c>
      <c r="M1875" s="30">
        <v>159283</v>
      </c>
      <c r="N1875" s="30">
        <v>158714</v>
      </c>
      <c r="O1875" s="24" t="str">
        <f t="shared" si="59"/>
        <v>Rensselaer County, New York</v>
      </c>
    </row>
    <row r="1876" spans="1:15" x14ac:dyDescent="0.25">
      <c r="A1876" s="35" t="s">
        <v>2352</v>
      </c>
      <c r="B1876" s="28" t="str">
        <f t="shared" si="58"/>
        <v>Richmond</v>
      </c>
      <c r="C1876" s="30">
        <v>468730</v>
      </c>
      <c r="D1876" s="30">
        <v>468730</v>
      </c>
      <c r="E1876" s="30">
        <v>469615</v>
      </c>
      <c r="F1876" s="30">
        <v>471021</v>
      </c>
      <c r="G1876" s="30">
        <v>470614</v>
      </c>
      <c r="H1876" s="30">
        <v>471803</v>
      </c>
      <c r="I1876" s="30">
        <v>471937</v>
      </c>
      <c r="J1876" s="30">
        <v>472349</v>
      </c>
      <c r="K1876" s="30">
        <v>474040</v>
      </c>
      <c r="L1876" s="30">
        <v>475671</v>
      </c>
      <c r="M1876" s="30">
        <v>476260</v>
      </c>
      <c r="N1876" s="30">
        <v>476143</v>
      </c>
      <c r="O1876" s="24" t="str">
        <f t="shared" si="59"/>
        <v>Richmond County, New York</v>
      </c>
    </row>
    <row r="1877" spans="1:15" x14ac:dyDescent="0.25">
      <c r="A1877" s="35" t="s">
        <v>2353</v>
      </c>
      <c r="B1877" s="28" t="str">
        <f t="shared" si="58"/>
        <v>Rockland</v>
      </c>
      <c r="C1877" s="30">
        <v>311687</v>
      </c>
      <c r="D1877" s="30">
        <v>311691</v>
      </c>
      <c r="E1877" s="30">
        <v>312499</v>
      </c>
      <c r="F1877" s="30">
        <v>315452</v>
      </c>
      <c r="G1877" s="30">
        <v>317196</v>
      </c>
      <c r="H1877" s="30">
        <v>319284</v>
      </c>
      <c r="I1877" s="30">
        <v>321119</v>
      </c>
      <c r="J1877" s="30">
        <v>322919</v>
      </c>
      <c r="K1877" s="30">
        <v>323258</v>
      </c>
      <c r="L1877" s="30">
        <v>324622</v>
      </c>
      <c r="M1877" s="30">
        <v>325522</v>
      </c>
      <c r="N1877" s="30">
        <v>325789</v>
      </c>
      <c r="O1877" s="24" t="str">
        <f t="shared" si="59"/>
        <v>Rockland County, New York</v>
      </c>
    </row>
    <row r="1878" spans="1:15" x14ac:dyDescent="0.25">
      <c r="A1878" s="35" t="s">
        <v>2354</v>
      </c>
      <c r="B1878" s="28" t="str">
        <f t="shared" si="58"/>
        <v>St Lawrence</v>
      </c>
      <c r="C1878" s="30">
        <v>111944</v>
      </c>
      <c r="D1878" s="30">
        <v>111940</v>
      </c>
      <c r="E1878" s="30">
        <v>111812</v>
      </c>
      <c r="F1878" s="30">
        <v>112277</v>
      </c>
      <c r="G1878" s="30">
        <v>112355</v>
      </c>
      <c r="H1878" s="30">
        <v>111931</v>
      </c>
      <c r="I1878" s="30">
        <v>111437</v>
      </c>
      <c r="J1878" s="30">
        <v>110348</v>
      </c>
      <c r="K1878" s="30">
        <v>109449</v>
      </c>
      <c r="L1878" s="30">
        <v>108699</v>
      </c>
      <c r="M1878" s="30">
        <v>108327</v>
      </c>
      <c r="N1878" s="30">
        <v>107740</v>
      </c>
      <c r="O1878" s="24" t="str">
        <f t="shared" si="59"/>
        <v>St Lawrence County, New York</v>
      </c>
    </row>
    <row r="1879" spans="1:15" x14ac:dyDescent="0.25">
      <c r="A1879" s="35" t="s">
        <v>2355</v>
      </c>
      <c r="B1879" s="28" t="str">
        <f t="shared" si="58"/>
        <v>Saratoga</v>
      </c>
      <c r="C1879" s="30">
        <v>219607</v>
      </c>
      <c r="D1879" s="30">
        <v>219598</v>
      </c>
      <c r="E1879" s="30">
        <v>220109</v>
      </c>
      <c r="F1879" s="30">
        <v>221111</v>
      </c>
      <c r="G1879" s="30">
        <v>222483</v>
      </c>
      <c r="H1879" s="30">
        <v>224087</v>
      </c>
      <c r="I1879" s="30">
        <v>224513</v>
      </c>
      <c r="J1879" s="30">
        <v>226078</v>
      </c>
      <c r="K1879" s="30">
        <v>227122</v>
      </c>
      <c r="L1879" s="30">
        <v>229276</v>
      </c>
      <c r="M1879" s="30">
        <v>230170</v>
      </c>
      <c r="N1879" s="30">
        <v>229863</v>
      </c>
      <c r="O1879" s="24" t="str">
        <f t="shared" si="59"/>
        <v>Saratoga County, New York</v>
      </c>
    </row>
    <row r="1880" spans="1:15" x14ac:dyDescent="0.25">
      <c r="A1880" s="35" t="s">
        <v>2356</v>
      </c>
      <c r="B1880" s="28" t="str">
        <f t="shared" si="58"/>
        <v>Schenectady</v>
      </c>
      <c r="C1880" s="30">
        <v>154727</v>
      </c>
      <c r="D1880" s="30">
        <v>154751</v>
      </c>
      <c r="E1880" s="30">
        <v>154861</v>
      </c>
      <c r="F1880" s="30">
        <v>154864</v>
      </c>
      <c r="G1880" s="30">
        <v>155016</v>
      </c>
      <c r="H1880" s="30">
        <v>154944</v>
      </c>
      <c r="I1880" s="30">
        <v>155016</v>
      </c>
      <c r="J1880" s="30">
        <v>154733</v>
      </c>
      <c r="K1880" s="30">
        <v>154475</v>
      </c>
      <c r="L1880" s="30">
        <v>154710</v>
      </c>
      <c r="M1880" s="30">
        <v>155079</v>
      </c>
      <c r="N1880" s="30">
        <v>155299</v>
      </c>
      <c r="O1880" s="24" t="str">
        <f t="shared" si="59"/>
        <v>Schenectady County, New York</v>
      </c>
    </row>
    <row r="1881" spans="1:15" x14ac:dyDescent="0.25">
      <c r="A1881" s="35" t="s">
        <v>2357</v>
      </c>
      <c r="B1881" s="28" t="str">
        <f t="shared" si="58"/>
        <v>Schoharie</v>
      </c>
      <c r="C1881" s="30">
        <v>32749</v>
      </c>
      <c r="D1881" s="30">
        <v>32723</v>
      </c>
      <c r="E1881" s="30">
        <v>32686</v>
      </c>
      <c r="F1881" s="30">
        <v>32618</v>
      </c>
      <c r="G1881" s="30">
        <v>32039</v>
      </c>
      <c r="H1881" s="30">
        <v>31900</v>
      </c>
      <c r="I1881" s="30">
        <v>31767</v>
      </c>
      <c r="J1881" s="30">
        <v>31405</v>
      </c>
      <c r="K1881" s="30">
        <v>31304</v>
      </c>
      <c r="L1881" s="30">
        <v>31255</v>
      </c>
      <c r="M1881" s="30">
        <v>31146</v>
      </c>
      <c r="N1881" s="30">
        <v>30999</v>
      </c>
      <c r="O1881" s="24" t="str">
        <f t="shared" si="59"/>
        <v>Schoharie County, New York</v>
      </c>
    </row>
    <row r="1882" spans="1:15" x14ac:dyDescent="0.25">
      <c r="A1882" s="35" t="s">
        <v>2358</v>
      </c>
      <c r="B1882" s="28" t="str">
        <f t="shared" si="58"/>
        <v>Schuyler</v>
      </c>
      <c r="C1882" s="30">
        <v>18343</v>
      </c>
      <c r="D1882" s="30">
        <v>18362</v>
      </c>
      <c r="E1882" s="30">
        <v>18334</v>
      </c>
      <c r="F1882" s="30">
        <v>18413</v>
      </c>
      <c r="G1882" s="30">
        <v>18498</v>
      </c>
      <c r="H1882" s="30">
        <v>18382</v>
      </c>
      <c r="I1882" s="30">
        <v>18176</v>
      </c>
      <c r="J1882" s="30">
        <v>18027</v>
      </c>
      <c r="K1882" s="30">
        <v>17967</v>
      </c>
      <c r="L1882" s="30">
        <v>17913</v>
      </c>
      <c r="M1882" s="30">
        <v>17884</v>
      </c>
      <c r="N1882" s="30">
        <v>17807</v>
      </c>
      <c r="O1882" s="24" t="str">
        <f t="shared" si="59"/>
        <v>Schuyler County, New York</v>
      </c>
    </row>
    <row r="1883" spans="1:15" x14ac:dyDescent="0.25">
      <c r="A1883" s="35" t="s">
        <v>2359</v>
      </c>
      <c r="B1883" s="28" t="str">
        <f t="shared" si="58"/>
        <v>Seneca</v>
      </c>
      <c r="C1883" s="30">
        <v>35251</v>
      </c>
      <c r="D1883" s="30">
        <v>35248</v>
      </c>
      <c r="E1883" s="30">
        <v>35266</v>
      </c>
      <c r="F1883" s="30">
        <v>35380</v>
      </c>
      <c r="G1883" s="30">
        <v>35388</v>
      </c>
      <c r="H1883" s="30">
        <v>35250</v>
      </c>
      <c r="I1883" s="30">
        <v>34879</v>
      </c>
      <c r="J1883" s="30">
        <v>34801</v>
      </c>
      <c r="K1883" s="30">
        <v>34710</v>
      </c>
      <c r="L1883" s="30">
        <v>34246</v>
      </c>
      <c r="M1883" s="30">
        <v>34179</v>
      </c>
      <c r="N1883" s="30">
        <v>34016</v>
      </c>
      <c r="O1883" s="24" t="str">
        <f t="shared" si="59"/>
        <v>Seneca County, New York</v>
      </c>
    </row>
    <row r="1884" spans="1:15" x14ac:dyDescent="0.25">
      <c r="A1884" s="35" t="s">
        <v>2360</v>
      </c>
      <c r="B1884" s="28" t="str">
        <f t="shared" si="58"/>
        <v>Steuben</v>
      </c>
      <c r="C1884" s="30">
        <v>98990</v>
      </c>
      <c r="D1884" s="30">
        <v>98982</v>
      </c>
      <c r="E1884" s="30">
        <v>99005</v>
      </c>
      <c r="F1884" s="30">
        <v>99148</v>
      </c>
      <c r="G1884" s="30">
        <v>98925</v>
      </c>
      <c r="H1884" s="30">
        <v>98843</v>
      </c>
      <c r="I1884" s="30">
        <v>98165</v>
      </c>
      <c r="J1884" s="30">
        <v>97551</v>
      </c>
      <c r="K1884" s="30">
        <v>96958</v>
      </c>
      <c r="L1884" s="30">
        <v>96360</v>
      </c>
      <c r="M1884" s="30">
        <v>95860</v>
      </c>
      <c r="N1884" s="30">
        <v>95379</v>
      </c>
      <c r="O1884" s="24" t="str">
        <f t="shared" si="59"/>
        <v>Steuben County, New York</v>
      </c>
    </row>
    <row r="1885" spans="1:15" x14ac:dyDescent="0.25">
      <c r="A1885" s="35" t="s">
        <v>2361</v>
      </c>
      <c r="B1885" s="28" t="str">
        <f t="shared" si="58"/>
        <v>Suffolk</v>
      </c>
      <c r="C1885" s="30">
        <v>1493350</v>
      </c>
      <c r="D1885" s="30">
        <v>1493116</v>
      </c>
      <c r="E1885" s="30">
        <v>1494339</v>
      </c>
      <c r="F1885" s="30">
        <v>1498892</v>
      </c>
      <c r="G1885" s="30">
        <v>1496982</v>
      </c>
      <c r="H1885" s="30">
        <v>1497346</v>
      </c>
      <c r="I1885" s="30">
        <v>1495525</v>
      </c>
      <c r="J1885" s="30">
        <v>1491967</v>
      </c>
      <c r="K1885" s="30">
        <v>1486406</v>
      </c>
      <c r="L1885" s="30">
        <v>1483358</v>
      </c>
      <c r="M1885" s="30">
        <v>1480830</v>
      </c>
      <c r="N1885" s="30">
        <v>1476601</v>
      </c>
      <c r="O1885" s="24" t="str">
        <f t="shared" si="59"/>
        <v>Suffolk County, New York</v>
      </c>
    </row>
    <row r="1886" spans="1:15" x14ac:dyDescent="0.25">
      <c r="A1886" s="35" t="s">
        <v>2362</v>
      </c>
      <c r="B1886" s="28" t="str">
        <f t="shared" si="58"/>
        <v>Sullivan</v>
      </c>
      <c r="C1886" s="30">
        <v>77547</v>
      </c>
      <c r="D1886" s="30">
        <v>77501</v>
      </c>
      <c r="E1886" s="30">
        <v>77476</v>
      </c>
      <c r="F1886" s="30">
        <v>77053</v>
      </c>
      <c r="G1886" s="30">
        <v>76931</v>
      </c>
      <c r="H1886" s="30">
        <v>76945</v>
      </c>
      <c r="I1886" s="30">
        <v>75634</v>
      </c>
      <c r="J1886" s="30">
        <v>74832</v>
      </c>
      <c r="K1886" s="30">
        <v>74922</v>
      </c>
      <c r="L1886" s="30">
        <v>74994</v>
      </c>
      <c r="M1886" s="30">
        <v>75399</v>
      </c>
      <c r="N1886" s="30">
        <v>75432</v>
      </c>
      <c r="O1886" s="24" t="str">
        <f t="shared" si="59"/>
        <v>Sullivan County, New York</v>
      </c>
    </row>
    <row r="1887" spans="1:15" x14ac:dyDescent="0.25">
      <c r="A1887" s="35" t="s">
        <v>2363</v>
      </c>
      <c r="B1887" s="28" t="str">
        <f t="shared" si="58"/>
        <v>Tioga</v>
      </c>
      <c r="C1887" s="30">
        <v>51125</v>
      </c>
      <c r="D1887" s="30">
        <v>51049</v>
      </c>
      <c r="E1887" s="30">
        <v>51008</v>
      </c>
      <c r="F1887" s="30">
        <v>50875</v>
      </c>
      <c r="G1887" s="30">
        <v>50278</v>
      </c>
      <c r="H1887" s="30">
        <v>50103</v>
      </c>
      <c r="I1887" s="30">
        <v>49824</v>
      </c>
      <c r="J1887" s="30">
        <v>49355</v>
      </c>
      <c r="K1887" s="30">
        <v>48824</v>
      </c>
      <c r="L1887" s="30">
        <v>48609</v>
      </c>
      <c r="M1887" s="30">
        <v>48441</v>
      </c>
      <c r="N1887" s="30">
        <v>48203</v>
      </c>
      <c r="O1887" s="24" t="str">
        <f t="shared" si="59"/>
        <v>Tioga County, New York</v>
      </c>
    </row>
    <row r="1888" spans="1:15" x14ac:dyDescent="0.25">
      <c r="A1888" s="35" t="s">
        <v>2364</v>
      </c>
      <c r="B1888" s="28" t="str">
        <f t="shared" si="58"/>
        <v>Tompkins</v>
      </c>
      <c r="C1888" s="30">
        <v>101564</v>
      </c>
      <c r="D1888" s="30">
        <v>101592</v>
      </c>
      <c r="E1888" s="30">
        <v>101740</v>
      </c>
      <c r="F1888" s="30">
        <v>101821</v>
      </c>
      <c r="G1888" s="30">
        <v>102726</v>
      </c>
      <c r="H1888" s="30">
        <v>103553</v>
      </c>
      <c r="I1888" s="30">
        <v>103391</v>
      </c>
      <c r="J1888" s="30">
        <v>103006</v>
      </c>
      <c r="K1888" s="30">
        <v>102942</v>
      </c>
      <c r="L1888" s="30">
        <v>102664</v>
      </c>
      <c r="M1888" s="30">
        <v>102419</v>
      </c>
      <c r="N1888" s="30">
        <v>102180</v>
      </c>
      <c r="O1888" s="24" t="str">
        <f t="shared" si="59"/>
        <v>Tompkins County, New York</v>
      </c>
    </row>
    <row r="1889" spans="1:15" x14ac:dyDescent="0.25">
      <c r="A1889" s="35" t="s">
        <v>2365</v>
      </c>
      <c r="B1889" s="28" t="str">
        <f t="shared" si="58"/>
        <v>Ulster</v>
      </c>
      <c r="C1889" s="30">
        <v>182493</v>
      </c>
      <c r="D1889" s="30">
        <v>182519</v>
      </c>
      <c r="E1889" s="30">
        <v>182418</v>
      </c>
      <c r="F1889" s="30">
        <v>182448</v>
      </c>
      <c r="G1889" s="30">
        <v>181538</v>
      </c>
      <c r="H1889" s="30">
        <v>180698</v>
      </c>
      <c r="I1889" s="30">
        <v>180400</v>
      </c>
      <c r="J1889" s="30">
        <v>179658</v>
      </c>
      <c r="K1889" s="30">
        <v>179042</v>
      </c>
      <c r="L1889" s="30">
        <v>178635</v>
      </c>
      <c r="M1889" s="30">
        <v>178418</v>
      </c>
      <c r="N1889" s="30">
        <v>177573</v>
      </c>
      <c r="O1889" s="24" t="str">
        <f t="shared" si="59"/>
        <v>Ulster County, New York</v>
      </c>
    </row>
    <row r="1890" spans="1:15" x14ac:dyDescent="0.25">
      <c r="A1890" s="35" t="s">
        <v>2366</v>
      </c>
      <c r="B1890" s="28" t="str">
        <f t="shared" si="58"/>
        <v>Warren</v>
      </c>
      <c r="C1890" s="30">
        <v>65707</v>
      </c>
      <c r="D1890" s="30">
        <v>65692</v>
      </c>
      <c r="E1890" s="30">
        <v>65665</v>
      </c>
      <c r="F1890" s="30">
        <v>65736</v>
      </c>
      <c r="G1890" s="30">
        <v>65417</v>
      </c>
      <c r="H1890" s="30">
        <v>65083</v>
      </c>
      <c r="I1890" s="30">
        <v>64866</v>
      </c>
      <c r="J1890" s="30">
        <v>64420</v>
      </c>
      <c r="K1890" s="30">
        <v>64438</v>
      </c>
      <c r="L1890" s="30">
        <v>64365</v>
      </c>
      <c r="M1890" s="30">
        <v>64215</v>
      </c>
      <c r="N1890" s="30">
        <v>63944</v>
      </c>
      <c r="O1890" s="24" t="str">
        <f t="shared" si="59"/>
        <v>Warren County, New York</v>
      </c>
    </row>
    <row r="1891" spans="1:15" x14ac:dyDescent="0.25">
      <c r="A1891" s="35" t="s">
        <v>2367</v>
      </c>
      <c r="B1891" s="28" t="str">
        <f t="shared" si="58"/>
        <v>Washington</v>
      </c>
      <c r="C1891" s="30">
        <v>63216</v>
      </c>
      <c r="D1891" s="30">
        <v>63254</v>
      </c>
      <c r="E1891" s="30">
        <v>63356</v>
      </c>
      <c r="F1891" s="30">
        <v>63091</v>
      </c>
      <c r="G1891" s="30">
        <v>63003</v>
      </c>
      <c r="H1891" s="30">
        <v>62765</v>
      </c>
      <c r="I1891" s="30">
        <v>62475</v>
      </c>
      <c r="J1891" s="30">
        <v>62246</v>
      </c>
      <c r="K1891" s="30">
        <v>61795</v>
      </c>
      <c r="L1891" s="30">
        <v>61559</v>
      </c>
      <c r="M1891" s="30">
        <v>61274</v>
      </c>
      <c r="N1891" s="30">
        <v>61204</v>
      </c>
      <c r="O1891" s="24" t="str">
        <f t="shared" si="59"/>
        <v>Washington County, New York</v>
      </c>
    </row>
    <row r="1892" spans="1:15" x14ac:dyDescent="0.25">
      <c r="A1892" s="35" t="s">
        <v>2368</v>
      </c>
      <c r="B1892" s="28" t="str">
        <f t="shared" si="58"/>
        <v>Wayne</v>
      </c>
      <c r="C1892" s="30">
        <v>93772</v>
      </c>
      <c r="D1892" s="30">
        <v>93751</v>
      </c>
      <c r="E1892" s="30">
        <v>93751</v>
      </c>
      <c r="F1892" s="30">
        <v>93256</v>
      </c>
      <c r="G1892" s="30">
        <v>93029</v>
      </c>
      <c r="H1892" s="30">
        <v>92339</v>
      </c>
      <c r="I1892" s="30">
        <v>91801</v>
      </c>
      <c r="J1892" s="30">
        <v>91291</v>
      </c>
      <c r="K1892" s="30">
        <v>90758</v>
      </c>
      <c r="L1892" s="30">
        <v>90429</v>
      </c>
      <c r="M1892" s="30">
        <v>90200</v>
      </c>
      <c r="N1892" s="30">
        <v>89918</v>
      </c>
      <c r="O1892" s="24" t="str">
        <f t="shared" si="59"/>
        <v>Wayne County, New York</v>
      </c>
    </row>
    <row r="1893" spans="1:15" x14ac:dyDescent="0.25">
      <c r="A1893" s="35" t="s">
        <v>2369</v>
      </c>
      <c r="B1893" s="28" t="str">
        <f t="shared" si="58"/>
        <v>Westchester</v>
      </c>
      <c r="C1893" s="30">
        <v>949113</v>
      </c>
      <c r="D1893" s="30">
        <v>949218</v>
      </c>
      <c r="E1893" s="30">
        <v>950601</v>
      </c>
      <c r="F1893" s="30">
        <v>956262</v>
      </c>
      <c r="G1893" s="30">
        <v>959585</v>
      </c>
      <c r="H1893" s="30">
        <v>964567</v>
      </c>
      <c r="I1893" s="30">
        <v>967044</v>
      </c>
      <c r="J1893" s="30">
        <v>968773</v>
      </c>
      <c r="K1893" s="30">
        <v>970267</v>
      </c>
      <c r="L1893" s="30">
        <v>969689</v>
      </c>
      <c r="M1893" s="30">
        <v>968213</v>
      </c>
      <c r="N1893" s="30">
        <v>967506</v>
      </c>
      <c r="O1893" s="24" t="str">
        <f t="shared" si="59"/>
        <v>Westchester County, New York</v>
      </c>
    </row>
    <row r="1894" spans="1:15" x14ac:dyDescent="0.25">
      <c r="A1894" s="35" t="s">
        <v>2370</v>
      </c>
      <c r="B1894" s="28" t="str">
        <f t="shared" si="58"/>
        <v>Wyoming</v>
      </c>
      <c r="C1894" s="30">
        <v>42155</v>
      </c>
      <c r="D1894" s="30">
        <v>42154</v>
      </c>
      <c r="E1894" s="30">
        <v>42126</v>
      </c>
      <c r="F1894" s="30">
        <v>41849</v>
      </c>
      <c r="G1894" s="30">
        <v>41700</v>
      </c>
      <c r="H1894" s="30">
        <v>41359</v>
      </c>
      <c r="I1894" s="30">
        <v>41134</v>
      </c>
      <c r="J1894" s="30">
        <v>40930</v>
      </c>
      <c r="K1894" s="30">
        <v>40432</v>
      </c>
      <c r="L1894" s="30">
        <v>40282</v>
      </c>
      <c r="M1894" s="30">
        <v>40023</v>
      </c>
      <c r="N1894" s="30">
        <v>39859</v>
      </c>
      <c r="O1894" s="24" t="str">
        <f t="shared" si="59"/>
        <v>Wyoming County, New York</v>
      </c>
    </row>
    <row r="1895" spans="1:15" x14ac:dyDescent="0.25">
      <c r="A1895" s="35" t="s">
        <v>2371</v>
      </c>
      <c r="B1895" s="28" t="str">
        <f t="shared" si="58"/>
        <v>Yates</v>
      </c>
      <c r="C1895" s="30">
        <v>25348</v>
      </c>
      <c r="D1895" s="30">
        <v>25364</v>
      </c>
      <c r="E1895" s="30">
        <v>25376</v>
      </c>
      <c r="F1895" s="30">
        <v>25454</v>
      </c>
      <c r="G1895" s="30">
        <v>25337</v>
      </c>
      <c r="H1895" s="30">
        <v>25207</v>
      </c>
      <c r="I1895" s="30">
        <v>25149</v>
      </c>
      <c r="J1895" s="30">
        <v>25128</v>
      </c>
      <c r="K1895" s="30">
        <v>25059</v>
      </c>
      <c r="L1895" s="30">
        <v>25002</v>
      </c>
      <c r="M1895" s="30">
        <v>24951</v>
      </c>
      <c r="N1895" s="30">
        <v>24913</v>
      </c>
      <c r="O1895" s="24" t="str">
        <f t="shared" si="59"/>
        <v>Yates County, New York</v>
      </c>
    </row>
    <row r="1896" spans="1:15" x14ac:dyDescent="0.25">
      <c r="A1896" s="35" t="s">
        <v>2372</v>
      </c>
      <c r="B1896" s="28" t="str">
        <f t="shared" si="58"/>
        <v>Alamance</v>
      </c>
      <c r="C1896" s="30">
        <v>151131</v>
      </c>
      <c r="D1896" s="30">
        <v>151155</v>
      </c>
      <c r="E1896" s="30">
        <v>151431</v>
      </c>
      <c r="F1896" s="30">
        <v>152692</v>
      </c>
      <c r="G1896" s="30">
        <v>153265</v>
      </c>
      <c r="H1896" s="30">
        <v>154162</v>
      </c>
      <c r="I1896" s="30">
        <v>155384</v>
      </c>
      <c r="J1896" s="30">
        <v>157037</v>
      </c>
      <c r="K1896" s="30">
        <v>160283</v>
      </c>
      <c r="L1896" s="30">
        <v>163276</v>
      </c>
      <c r="M1896" s="30">
        <v>166514</v>
      </c>
      <c r="N1896" s="30">
        <v>169509</v>
      </c>
      <c r="O1896" s="24" t="str">
        <f t="shared" si="59"/>
        <v>Alamance County, North Carolina</v>
      </c>
    </row>
    <row r="1897" spans="1:15" x14ac:dyDescent="0.25">
      <c r="A1897" s="35" t="s">
        <v>2373</v>
      </c>
      <c r="B1897" s="28" t="str">
        <f t="shared" si="58"/>
        <v>Alexander</v>
      </c>
      <c r="C1897" s="30">
        <v>37198</v>
      </c>
      <c r="D1897" s="30">
        <v>37182</v>
      </c>
      <c r="E1897" s="30">
        <v>37233</v>
      </c>
      <c r="F1897" s="30">
        <v>37026</v>
      </c>
      <c r="G1897" s="30">
        <v>36922</v>
      </c>
      <c r="H1897" s="30">
        <v>37012</v>
      </c>
      <c r="I1897" s="30">
        <v>36987</v>
      </c>
      <c r="J1897" s="30">
        <v>36960</v>
      </c>
      <c r="K1897" s="30">
        <v>37133</v>
      </c>
      <c r="L1897" s="30">
        <v>37143</v>
      </c>
      <c r="M1897" s="30">
        <v>37331</v>
      </c>
      <c r="N1897" s="30">
        <v>37497</v>
      </c>
      <c r="O1897" s="24" t="str">
        <f t="shared" si="59"/>
        <v>Alexander County, North Carolina</v>
      </c>
    </row>
    <row r="1898" spans="1:15" x14ac:dyDescent="0.25">
      <c r="A1898" s="35" t="s">
        <v>2374</v>
      </c>
      <c r="B1898" s="28" t="str">
        <f t="shared" si="58"/>
        <v>Alleghany</v>
      </c>
      <c r="C1898" s="30">
        <v>11155</v>
      </c>
      <c r="D1898" s="30">
        <v>11152</v>
      </c>
      <c r="E1898" s="30">
        <v>11137</v>
      </c>
      <c r="F1898" s="30">
        <v>11016</v>
      </c>
      <c r="G1898" s="30">
        <v>10943</v>
      </c>
      <c r="H1898" s="30">
        <v>10903</v>
      </c>
      <c r="I1898" s="30">
        <v>10891</v>
      </c>
      <c r="J1898" s="30">
        <v>10856</v>
      </c>
      <c r="K1898" s="30">
        <v>10919</v>
      </c>
      <c r="L1898" s="30">
        <v>10988</v>
      </c>
      <c r="M1898" s="30">
        <v>11138</v>
      </c>
      <c r="N1898" s="30">
        <v>11137</v>
      </c>
      <c r="O1898" s="24" t="str">
        <f t="shared" si="59"/>
        <v>Alleghany County, North Carolina</v>
      </c>
    </row>
    <row r="1899" spans="1:15" x14ac:dyDescent="0.25">
      <c r="A1899" s="35" t="s">
        <v>2375</v>
      </c>
      <c r="B1899" s="28" t="str">
        <f t="shared" si="58"/>
        <v>Anson</v>
      </c>
      <c r="C1899" s="30">
        <v>26948</v>
      </c>
      <c r="D1899" s="30">
        <v>26929</v>
      </c>
      <c r="E1899" s="30">
        <v>26852</v>
      </c>
      <c r="F1899" s="30">
        <v>26512</v>
      </c>
      <c r="G1899" s="30">
        <v>26309</v>
      </c>
      <c r="H1899" s="30">
        <v>25957</v>
      </c>
      <c r="I1899" s="30">
        <v>25965</v>
      </c>
      <c r="J1899" s="30">
        <v>25602</v>
      </c>
      <c r="K1899" s="30">
        <v>25165</v>
      </c>
      <c r="L1899" s="30">
        <v>24829</v>
      </c>
      <c r="M1899" s="30">
        <v>24470</v>
      </c>
      <c r="N1899" s="30">
        <v>24446</v>
      </c>
      <c r="O1899" s="24" t="str">
        <f t="shared" si="59"/>
        <v>Anson County, North Carolina</v>
      </c>
    </row>
    <row r="1900" spans="1:15" x14ac:dyDescent="0.25">
      <c r="A1900" s="35" t="s">
        <v>2376</v>
      </c>
      <c r="B1900" s="28" t="str">
        <f t="shared" si="58"/>
        <v>Ashe</v>
      </c>
      <c r="C1900" s="30">
        <v>27281</v>
      </c>
      <c r="D1900" s="30">
        <v>27240</v>
      </c>
      <c r="E1900" s="30">
        <v>27228</v>
      </c>
      <c r="F1900" s="30">
        <v>26986</v>
      </c>
      <c r="G1900" s="30">
        <v>26924</v>
      </c>
      <c r="H1900" s="30">
        <v>26840</v>
      </c>
      <c r="I1900" s="30">
        <v>26764</v>
      </c>
      <c r="J1900" s="30">
        <v>26628</v>
      </c>
      <c r="K1900" s="30">
        <v>26600</v>
      </c>
      <c r="L1900" s="30">
        <v>26787</v>
      </c>
      <c r="M1900" s="30">
        <v>27099</v>
      </c>
      <c r="N1900" s="30">
        <v>27203</v>
      </c>
      <c r="O1900" s="24" t="str">
        <f t="shared" si="59"/>
        <v>Ashe County, North Carolina</v>
      </c>
    </row>
    <row r="1901" spans="1:15" x14ac:dyDescent="0.25">
      <c r="A1901" s="35" t="s">
        <v>2377</v>
      </c>
      <c r="B1901" s="28" t="str">
        <f t="shared" si="58"/>
        <v>Avery</v>
      </c>
      <c r="C1901" s="30">
        <v>17797</v>
      </c>
      <c r="D1901" s="30">
        <v>17807</v>
      </c>
      <c r="E1901" s="30">
        <v>17799</v>
      </c>
      <c r="F1901" s="30">
        <v>17770</v>
      </c>
      <c r="G1901" s="30">
        <v>17611</v>
      </c>
      <c r="H1901" s="30">
        <v>17654</v>
      </c>
      <c r="I1901" s="30">
        <v>17650</v>
      </c>
      <c r="J1901" s="30">
        <v>17486</v>
      </c>
      <c r="K1901" s="30">
        <v>17442</v>
      </c>
      <c r="L1901" s="30">
        <v>17517</v>
      </c>
      <c r="M1901" s="30">
        <v>17528</v>
      </c>
      <c r="N1901" s="30">
        <v>17557</v>
      </c>
      <c r="O1901" s="24" t="str">
        <f t="shared" si="59"/>
        <v>Avery County, North Carolina</v>
      </c>
    </row>
    <row r="1902" spans="1:15" x14ac:dyDescent="0.25">
      <c r="A1902" s="35" t="s">
        <v>2378</v>
      </c>
      <c r="B1902" s="28" t="str">
        <f t="shared" si="58"/>
        <v>Beaufort</v>
      </c>
      <c r="C1902" s="30">
        <v>47759</v>
      </c>
      <c r="D1902" s="30">
        <v>47784</v>
      </c>
      <c r="E1902" s="30">
        <v>47822</v>
      </c>
      <c r="F1902" s="30">
        <v>47675</v>
      </c>
      <c r="G1902" s="30">
        <v>47431</v>
      </c>
      <c r="H1902" s="30">
        <v>47382</v>
      </c>
      <c r="I1902" s="30">
        <v>47339</v>
      </c>
      <c r="J1902" s="30">
        <v>47389</v>
      </c>
      <c r="K1902" s="30">
        <v>47369</v>
      </c>
      <c r="L1902" s="30">
        <v>47033</v>
      </c>
      <c r="M1902" s="30">
        <v>47056</v>
      </c>
      <c r="N1902" s="30">
        <v>46994</v>
      </c>
      <c r="O1902" s="24" t="str">
        <f t="shared" si="59"/>
        <v>Beaufort County, North Carolina</v>
      </c>
    </row>
    <row r="1903" spans="1:15" x14ac:dyDescent="0.25">
      <c r="A1903" s="35" t="s">
        <v>2379</v>
      </c>
      <c r="B1903" s="28" t="str">
        <f t="shared" si="58"/>
        <v>Bertie</v>
      </c>
      <c r="C1903" s="30">
        <v>21282</v>
      </c>
      <c r="D1903" s="30">
        <v>21275</v>
      </c>
      <c r="E1903" s="30">
        <v>21245</v>
      </c>
      <c r="F1903" s="30">
        <v>20858</v>
      </c>
      <c r="G1903" s="30">
        <v>20494</v>
      </c>
      <c r="H1903" s="30">
        <v>20326</v>
      </c>
      <c r="I1903" s="30">
        <v>20316</v>
      </c>
      <c r="J1903" s="30">
        <v>20162</v>
      </c>
      <c r="K1903" s="30">
        <v>19423</v>
      </c>
      <c r="L1903" s="30">
        <v>19263</v>
      </c>
      <c r="M1903" s="30">
        <v>19106</v>
      </c>
      <c r="N1903" s="30">
        <v>18947</v>
      </c>
      <c r="O1903" s="24" t="str">
        <f t="shared" si="59"/>
        <v>Bertie County, North Carolina</v>
      </c>
    </row>
    <row r="1904" spans="1:15" x14ac:dyDescent="0.25">
      <c r="A1904" s="35" t="s">
        <v>2380</v>
      </c>
      <c r="B1904" s="28" t="str">
        <f t="shared" si="58"/>
        <v>Bladen</v>
      </c>
      <c r="C1904" s="30">
        <v>35190</v>
      </c>
      <c r="D1904" s="30">
        <v>35170</v>
      </c>
      <c r="E1904" s="30">
        <v>35181</v>
      </c>
      <c r="F1904" s="30">
        <v>34880</v>
      </c>
      <c r="G1904" s="30">
        <v>34807</v>
      </c>
      <c r="H1904" s="30">
        <v>34618</v>
      </c>
      <c r="I1904" s="30">
        <v>34361</v>
      </c>
      <c r="J1904" s="30">
        <v>34083</v>
      </c>
      <c r="K1904" s="30">
        <v>33638</v>
      </c>
      <c r="L1904" s="30">
        <v>33443</v>
      </c>
      <c r="M1904" s="30">
        <v>33151</v>
      </c>
      <c r="N1904" s="30">
        <v>32722</v>
      </c>
      <c r="O1904" s="24" t="str">
        <f t="shared" si="59"/>
        <v>Bladen County, North Carolina</v>
      </c>
    </row>
    <row r="1905" spans="1:15" x14ac:dyDescent="0.25">
      <c r="A1905" s="35" t="s">
        <v>2381</v>
      </c>
      <c r="B1905" s="28" t="str">
        <f t="shared" si="58"/>
        <v>Brunswick</v>
      </c>
      <c r="C1905" s="30">
        <v>107431</v>
      </c>
      <c r="D1905" s="30">
        <v>107429</v>
      </c>
      <c r="E1905" s="30">
        <v>108069</v>
      </c>
      <c r="F1905" s="30">
        <v>110185</v>
      </c>
      <c r="G1905" s="30">
        <v>112013</v>
      </c>
      <c r="H1905" s="30">
        <v>114922</v>
      </c>
      <c r="I1905" s="30">
        <v>118305</v>
      </c>
      <c r="J1905" s="30">
        <v>122211</v>
      </c>
      <c r="K1905" s="30">
        <v>126304</v>
      </c>
      <c r="L1905" s="30">
        <v>130859</v>
      </c>
      <c r="M1905" s="30">
        <v>136880</v>
      </c>
      <c r="N1905" s="30">
        <v>142820</v>
      </c>
      <c r="O1905" s="24" t="str">
        <f t="shared" si="59"/>
        <v>Brunswick County, North Carolina</v>
      </c>
    </row>
    <row r="1906" spans="1:15" x14ac:dyDescent="0.25">
      <c r="A1906" s="35" t="s">
        <v>2382</v>
      </c>
      <c r="B1906" s="28" t="str">
        <f t="shared" si="58"/>
        <v>Buncombe</v>
      </c>
      <c r="C1906" s="30">
        <v>238318</v>
      </c>
      <c r="D1906" s="30">
        <v>238330</v>
      </c>
      <c r="E1906" s="30">
        <v>238738</v>
      </c>
      <c r="F1906" s="30">
        <v>241172</v>
      </c>
      <c r="G1906" s="30">
        <v>243655</v>
      </c>
      <c r="H1906" s="30">
        <v>246807</v>
      </c>
      <c r="I1906" s="30">
        <v>249084</v>
      </c>
      <c r="J1906" s="30">
        <v>251954</v>
      </c>
      <c r="K1906" s="30">
        <v>254955</v>
      </c>
      <c r="L1906" s="30">
        <v>257071</v>
      </c>
      <c r="M1906" s="30">
        <v>259259</v>
      </c>
      <c r="N1906" s="30">
        <v>261191</v>
      </c>
      <c r="O1906" s="24" t="str">
        <f t="shared" si="59"/>
        <v>Buncombe County, North Carolina</v>
      </c>
    </row>
    <row r="1907" spans="1:15" x14ac:dyDescent="0.25">
      <c r="A1907" s="35" t="s">
        <v>2383</v>
      </c>
      <c r="B1907" s="28" t="str">
        <f t="shared" si="58"/>
        <v>Burke</v>
      </c>
      <c r="C1907" s="30">
        <v>90912</v>
      </c>
      <c r="D1907" s="30">
        <v>90837</v>
      </c>
      <c r="E1907" s="30">
        <v>90580</v>
      </c>
      <c r="F1907" s="30">
        <v>90542</v>
      </c>
      <c r="G1907" s="30">
        <v>89974</v>
      </c>
      <c r="H1907" s="30">
        <v>89354</v>
      </c>
      <c r="I1907" s="30">
        <v>89296</v>
      </c>
      <c r="J1907" s="30">
        <v>89341</v>
      </c>
      <c r="K1907" s="30">
        <v>89451</v>
      </c>
      <c r="L1907" s="30">
        <v>90157</v>
      </c>
      <c r="M1907" s="30">
        <v>90405</v>
      </c>
      <c r="N1907" s="30">
        <v>90485</v>
      </c>
      <c r="O1907" s="24" t="str">
        <f t="shared" si="59"/>
        <v>Burke County, North Carolina</v>
      </c>
    </row>
    <row r="1908" spans="1:15" x14ac:dyDescent="0.25">
      <c r="A1908" s="35" t="s">
        <v>2384</v>
      </c>
      <c r="B1908" s="28" t="str">
        <f t="shared" si="58"/>
        <v>Cabarrus</v>
      </c>
      <c r="C1908" s="30">
        <v>178011</v>
      </c>
      <c r="D1908" s="30">
        <v>178121</v>
      </c>
      <c r="E1908" s="30">
        <v>178562</v>
      </c>
      <c r="F1908" s="30">
        <v>181175</v>
      </c>
      <c r="G1908" s="30">
        <v>184340</v>
      </c>
      <c r="H1908" s="30">
        <v>187240</v>
      </c>
      <c r="I1908" s="30">
        <v>191680</v>
      </c>
      <c r="J1908" s="30">
        <v>196396</v>
      </c>
      <c r="K1908" s="30">
        <v>201639</v>
      </c>
      <c r="L1908" s="30">
        <v>206988</v>
      </c>
      <c r="M1908" s="30">
        <v>211597</v>
      </c>
      <c r="N1908" s="30">
        <v>216453</v>
      </c>
      <c r="O1908" s="24" t="str">
        <f t="shared" si="59"/>
        <v>Cabarrus County, North Carolina</v>
      </c>
    </row>
    <row r="1909" spans="1:15" x14ac:dyDescent="0.25">
      <c r="A1909" s="35" t="s">
        <v>2385</v>
      </c>
      <c r="B1909" s="28" t="str">
        <f t="shared" si="58"/>
        <v>Caldwell</v>
      </c>
      <c r="C1909" s="30">
        <v>83029</v>
      </c>
      <c r="D1909" s="30">
        <v>83058</v>
      </c>
      <c r="E1909" s="30">
        <v>83022</v>
      </c>
      <c r="F1909" s="30">
        <v>82451</v>
      </c>
      <c r="G1909" s="30">
        <v>82081</v>
      </c>
      <c r="H1909" s="30">
        <v>82048</v>
      </c>
      <c r="I1909" s="30">
        <v>81667</v>
      </c>
      <c r="J1909" s="30">
        <v>81518</v>
      </c>
      <c r="K1909" s="30">
        <v>81766</v>
      </c>
      <c r="L1909" s="30">
        <v>81933</v>
      </c>
      <c r="M1909" s="30">
        <v>82026</v>
      </c>
      <c r="N1909" s="30">
        <v>82178</v>
      </c>
      <c r="O1909" s="24" t="str">
        <f t="shared" si="59"/>
        <v>Caldwell County, North Carolina</v>
      </c>
    </row>
    <row r="1910" spans="1:15" x14ac:dyDescent="0.25">
      <c r="A1910" s="35" t="s">
        <v>2386</v>
      </c>
      <c r="B1910" s="28" t="str">
        <f t="shared" si="58"/>
        <v>Camden</v>
      </c>
      <c r="C1910" s="30">
        <v>9980</v>
      </c>
      <c r="D1910" s="30">
        <v>9980</v>
      </c>
      <c r="E1910" s="30">
        <v>10009</v>
      </c>
      <c r="F1910" s="30">
        <v>10024</v>
      </c>
      <c r="G1910" s="30">
        <v>10003</v>
      </c>
      <c r="H1910" s="30">
        <v>10116</v>
      </c>
      <c r="I1910" s="30">
        <v>10278</v>
      </c>
      <c r="J1910" s="30">
        <v>10282</v>
      </c>
      <c r="K1910" s="30">
        <v>10397</v>
      </c>
      <c r="L1910" s="30">
        <v>10532</v>
      </c>
      <c r="M1910" s="30">
        <v>10676</v>
      </c>
      <c r="N1910" s="30">
        <v>10867</v>
      </c>
      <c r="O1910" s="24" t="str">
        <f t="shared" si="59"/>
        <v>Camden County, North Carolina</v>
      </c>
    </row>
    <row r="1911" spans="1:15" x14ac:dyDescent="0.25">
      <c r="A1911" s="35" t="s">
        <v>2387</v>
      </c>
      <c r="B1911" s="28" t="str">
        <f t="shared" si="58"/>
        <v>Carteret</v>
      </c>
      <c r="C1911" s="30">
        <v>66469</v>
      </c>
      <c r="D1911" s="30">
        <v>66463</v>
      </c>
      <c r="E1911" s="30">
        <v>66700</v>
      </c>
      <c r="F1911" s="30">
        <v>67418</v>
      </c>
      <c r="G1911" s="30">
        <v>67770</v>
      </c>
      <c r="H1911" s="30">
        <v>68388</v>
      </c>
      <c r="I1911" s="30">
        <v>68629</v>
      </c>
      <c r="J1911" s="30">
        <v>68712</v>
      </c>
      <c r="K1911" s="30">
        <v>68808</v>
      </c>
      <c r="L1911" s="30">
        <v>68921</v>
      </c>
      <c r="M1911" s="30">
        <v>69438</v>
      </c>
      <c r="N1911" s="30">
        <v>69473</v>
      </c>
      <c r="O1911" s="24" t="str">
        <f t="shared" si="59"/>
        <v>Carteret County, North Carolina</v>
      </c>
    </row>
    <row r="1912" spans="1:15" x14ac:dyDescent="0.25">
      <c r="A1912" s="35" t="s">
        <v>2388</v>
      </c>
      <c r="B1912" s="28" t="str">
        <f t="shared" si="58"/>
        <v>Caswell</v>
      </c>
      <c r="C1912" s="30">
        <v>23719</v>
      </c>
      <c r="D1912" s="30">
        <v>23731</v>
      </c>
      <c r="E1912" s="30">
        <v>23750</v>
      </c>
      <c r="F1912" s="30">
        <v>23456</v>
      </c>
      <c r="G1912" s="30">
        <v>23042</v>
      </c>
      <c r="H1912" s="30">
        <v>23093</v>
      </c>
      <c r="I1912" s="30">
        <v>22807</v>
      </c>
      <c r="J1912" s="30">
        <v>22813</v>
      </c>
      <c r="K1912" s="30">
        <v>22755</v>
      </c>
      <c r="L1912" s="30">
        <v>22616</v>
      </c>
      <c r="M1912" s="30">
        <v>22634</v>
      </c>
      <c r="N1912" s="30">
        <v>22604</v>
      </c>
      <c r="O1912" s="24" t="str">
        <f t="shared" si="59"/>
        <v>Caswell County, North Carolina</v>
      </c>
    </row>
    <row r="1913" spans="1:15" x14ac:dyDescent="0.25">
      <c r="A1913" s="35" t="s">
        <v>2389</v>
      </c>
      <c r="B1913" s="28" t="str">
        <f t="shared" si="58"/>
        <v>Catawba</v>
      </c>
      <c r="C1913" s="30">
        <v>154358</v>
      </c>
      <c r="D1913" s="30">
        <v>154717</v>
      </c>
      <c r="E1913" s="30">
        <v>154730</v>
      </c>
      <c r="F1913" s="30">
        <v>154459</v>
      </c>
      <c r="G1913" s="30">
        <v>154693</v>
      </c>
      <c r="H1913" s="30">
        <v>154965</v>
      </c>
      <c r="I1913" s="30">
        <v>155085</v>
      </c>
      <c r="J1913" s="30">
        <v>155527</v>
      </c>
      <c r="K1913" s="30">
        <v>156448</v>
      </c>
      <c r="L1913" s="30">
        <v>157852</v>
      </c>
      <c r="M1913" s="30">
        <v>158687</v>
      </c>
      <c r="N1913" s="30">
        <v>159551</v>
      </c>
      <c r="O1913" s="24" t="str">
        <f t="shared" si="59"/>
        <v>Catawba County, North Carolina</v>
      </c>
    </row>
    <row r="1914" spans="1:15" x14ac:dyDescent="0.25">
      <c r="A1914" s="35" t="s">
        <v>2390</v>
      </c>
      <c r="B1914" s="28" t="str">
        <f t="shared" si="58"/>
        <v>Chatham</v>
      </c>
      <c r="C1914" s="30">
        <v>63505</v>
      </c>
      <c r="D1914" s="30">
        <v>63485</v>
      </c>
      <c r="E1914" s="30">
        <v>63845</v>
      </c>
      <c r="F1914" s="30">
        <v>64109</v>
      </c>
      <c r="G1914" s="30">
        <v>64527</v>
      </c>
      <c r="H1914" s="30">
        <v>65243</v>
      </c>
      <c r="I1914" s="30">
        <v>66669</v>
      </c>
      <c r="J1914" s="30">
        <v>68263</v>
      </c>
      <c r="K1914" s="30">
        <v>69642</v>
      </c>
      <c r="L1914" s="30">
        <v>71189</v>
      </c>
      <c r="M1914" s="30">
        <v>73127</v>
      </c>
      <c r="N1914" s="30">
        <v>74470</v>
      </c>
      <c r="O1914" s="24" t="str">
        <f t="shared" si="59"/>
        <v>Chatham County, North Carolina</v>
      </c>
    </row>
    <row r="1915" spans="1:15" x14ac:dyDescent="0.25">
      <c r="A1915" s="35" t="s">
        <v>2391</v>
      </c>
      <c r="B1915" s="28" t="str">
        <f t="shared" si="58"/>
        <v>Cherokee</v>
      </c>
      <c r="C1915" s="30">
        <v>27444</v>
      </c>
      <c r="D1915" s="30">
        <v>27447</v>
      </c>
      <c r="E1915" s="30">
        <v>27435</v>
      </c>
      <c r="F1915" s="30">
        <v>27180</v>
      </c>
      <c r="G1915" s="30">
        <v>27034</v>
      </c>
      <c r="H1915" s="30">
        <v>27125</v>
      </c>
      <c r="I1915" s="30">
        <v>27078</v>
      </c>
      <c r="J1915" s="30">
        <v>27102</v>
      </c>
      <c r="K1915" s="30">
        <v>27809</v>
      </c>
      <c r="L1915" s="30">
        <v>27954</v>
      </c>
      <c r="M1915" s="30">
        <v>28369</v>
      </c>
      <c r="N1915" s="30">
        <v>28612</v>
      </c>
      <c r="O1915" s="24" t="str">
        <f t="shared" si="59"/>
        <v>Cherokee County, North Carolina</v>
      </c>
    </row>
    <row r="1916" spans="1:15" x14ac:dyDescent="0.25">
      <c r="A1916" s="35" t="s">
        <v>2392</v>
      </c>
      <c r="B1916" s="28" t="str">
        <f t="shared" si="58"/>
        <v>Chowan</v>
      </c>
      <c r="C1916" s="30">
        <v>14793</v>
      </c>
      <c r="D1916" s="30">
        <v>14793</v>
      </c>
      <c r="E1916" s="30">
        <v>14738</v>
      </c>
      <c r="F1916" s="30">
        <v>14807</v>
      </c>
      <c r="G1916" s="30">
        <v>14695</v>
      </c>
      <c r="H1916" s="30">
        <v>14668</v>
      </c>
      <c r="I1916" s="30">
        <v>14502</v>
      </c>
      <c r="J1916" s="30">
        <v>14248</v>
      </c>
      <c r="K1916" s="30">
        <v>14201</v>
      </c>
      <c r="L1916" s="30">
        <v>14029</v>
      </c>
      <c r="M1916" s="30">
        <v>14065</v>
      </c>
      <c r="N1916" s="30">
        <v>13943</v>
      </c>
      <c r="O1916" s="24" t="str">
        <f t="shared" si="59"/>
        <v>Chowan County, North Carolina</v>
      </c>
    </row>
    <row r="1917" spans="1:15" x14ac:dyDescent="0.25">
      <c r="A1917" s="35" t="s">
        <v>2393</v>
      </c>
      <c r="B1917" s="28" t="str">
        <f t="shared" si="58"/>
        <v>Clay</v>
      </c>
      <c r="C1917" s="30">
        <v>10587</v>
      </c>
      <c r="D1917" s="30">
        <v>10590</v>
      </c>
      <c r="E1917" s="30">
        <v>10608</v>
      </c>
      <c r="F1917" s="30">
        <v>10686</v>
      </c>
      <c r="G1917" s="30">
        <v>10654</v>
      </c>
      <c r="H1917" s="30">
        <v>10597</v>
      </c>
      <c r="I1917" s="30">
        <v>10566</v>
      </c>
      <c r="J1917" s="30">
        <v>10623</v>
      </c>
      <c r="K1917" s="30">
        <v>10749</v>
      </c>
      <c r="L1917" s="30">
        <v>11004</v>
      </c>
      <c r="M1917" s="30">
        <v>11124</v>
      </c>
      <c r="N1917" s="30">
        <v>11231</v>
      </c>
      <c r="O1917" s="24" t="str">
        <f t="shared" si="59"/>
        <v>Clay County, North Carolina</v>
      </c>
    </row>
    <row r="1918" spans="1:15" x14ac:dyDescent="0.25">
      <c r="A1918" s="35" t="s">
        <v>2394</v>
      </c>
      <c r="B1918" s="28" t="str">
        <f t="shared" si="58"/>
        <v>Cleveland</v>
      </c>
      <c r="C1918" s="30">
        <v>98078</v>
      </c>
      <c r="D1918" s="30">
        <v>98032</v>
      </c>
      <c r="E1918" s="30">
        <v>97917</v>
      </c>
      <c r="F1918" s="30">
        <v>97442</v>
      </c>
      <c r="G1918" s="30">
        <v>97317</v>
      </c>
      <c r="H1918" s="30">
        <v>96873</v>
      </c>
      <c r="I1918" s="30">
        <v>97009</v>
      </c>
      <c r="J1918" s="30">
        <v>96850</v>
      </c>
      <c r="K1918" s="30">
        <v>96960</v>
      </c>
      <c r="L1918" s="30">
        <v>97134</v>
      </c>
      <c r="M1918" s="30">
        <v>97519</v>
      </c>
      <c r="N1918" s="30">
        <v>97947</v>
      </c>
      <c r="O1918" s="24" t="str">
        <f t="shared" si="59"/>
        <v>Cleveland County, North Carolina</v>
      </c>
    </row>
    <row r="1919" spans="1:15" x14ac:dyDescent="0.25">
      <c r="A1919" s="35" t="s">
        <v>2395</v>
      </c>
      <c r="B1919" s="28" t="str">
        <f t="shared" si="58"/>
        <v>Columbus</v>
      </c>
      <c r="C1919" s="30">
        <v>58098</v>
      </c>
      <c r="D1919" s="30">
        <v>58124</v>
      </c>
      <c r="E1919" s="30">
        <v>57992</v>
      </c>
      <c r="F1919" s="30">
        <v>57705</v>
      </c>
      <c r="G1919" s="30">
        <v>57534</v>
      </c>
      <c r="H1919" s="30">
        <v>57080</v>
      </c>
      <c r="I1919" s="30">
        <v>56883</v>
      </c>
      <c r="J1919" s="30">
        <v>56675</v>
      </c>
      <c r="K1919" s="30">
        <v>56292</v>
      </c>
      <c r="L1919" s="30">
        <v>56047</v>
      </c>
      <c r="M1919" s="30">
        <v>55819</v>
      </c>
      <c r="N1919" s="30">
        <v>55508</v>
      </c>
      <c r="O1919" s="24" t="str">
        <f t="shared" si="59"/>
        <v>Columbus County, North Carolina</v>
      </c>
    </row>
    <row r="1920" spans="1:15" x14ac:dyDescent="0.25">
      <c r="A1920" s="35" t="s">
        <v>2396</v>
      </c>
      <c r="B1920" s="28" t="str">
        <f t="shared" si="58"/>
        <v>Craven</v>
      </c>
      <c r="C1920" s="30">
        <v>103505</v>
      </c>
      <c r="D1920" s="30">
        <v>103498</v>
      </c>
      <c r="E1920" s="30">
        <v>104171</v>
      </c>
      <c r="F1920" s="30">
        <v>104831</v>
      </c>
      <c r="G1920" s="30">
        <v>105319</v>
      </c>
      <c r="H1920" s="30">
        <v>104285</v>
      </c>
      <c r="I1920" s="30">
        <v>104055</v>
      </c>
      <c r="J1920" s="30">
        <v>102853</v>
      </c>
      <c r="K1920" s="30">
        <v>102632</v>
      </c>
      <c r="L1920" s="30">
        <v>102492</v>
      </c>
      <c r="M1920" s="30">
        <v>102338</v>
      </c>
      <c r="N1920" s="30">
        <v>102139</v>
      </c>
      <c r="O1920" s="24" t="str">
        <f t="shared" si="59"/>
        <v>Craven County, North Carolina</v>
      </c>
    </row>
    <row r="1921" spans="1:15" x14ac:dyDescent="0.25">
      <c r="A1921" s="35" t="s">
        <v>2397</v>
      </c>
      <c r="B1921" s="28" t="str">
        <f t="shared" si="58"/>
        <v>Cumberland</v>
      </c>
      <c r="C1921" s="30">
        <v>319431</v>
      </c>
      <c r="D1921" s="30">
        <v>319431</v>
      </c>
      <c r="E1921" s="30">
        <v>327197</v>
      </c>
      <c r="F1921" s="30">
        <v>330503</v>
      </c>
      <c r="G1921" s="30">
        <v>329985</v>
      </c>
      <c r="H1921" s="30">
        <v>332997</v>
      </c>
      <c r="I1921" s="30">
        <v>332364</v>
      </c>
      <c r="J1921" s="30">
        <v>331203</v>
      </c>
      <c r="K1921" s="30">
        <v>333167</v>
      </c>
      <c r="L1921" s="30">
        <v>330994</v>
      </c>
      <c r="M1921" s="30">
        <v>333430</v>
      </c>
      <c r="N1921" s="30">
        <v>335509</v>
      </c>
      <c r="O1921" s="24" t="str">
        <f t="shared" si="59"/>
        <v>Cumberland County, North Carolina</v>
      </c>
    </row>
    <row r="1922" spans="1:15" x14ac:dyDescent="0.25">
      <c r="A1922" s="35" t="s">
        <v>2398</v>
      </c>
      <c r="B1922" s="28" t="str">
        <f t="shared" si="58"/>
        <v>Currituck</v>
      </c>
      <c r="C1922" s="30">
        <v>23547</v>
      </c>
      <c r="D1922" s="30">
        <v>23547</v>
      </c>
      <c r="E1922" s="30">
        <v>23674</v>
      </c>
      <c r="F1922" s="30">
        <v>23906</v>
      </c>
      <c r="G1922" s="30">
        <v>24025</v>
      </c>
      <c r="H1922" s="30">
        <v>24253</v>
      </c>
      <c r="I1922" s="30">
        <v>24820</v>
      </c>
      <c r="J1922" s="30">
        <v>25106</v>
      </c>
      <c r="K1922" s="30">
        <v>25640</v>
      </c>
      <c r="L1922" s="30">
        <v>26290</v>
      </c>
      <c r="M1922" s="30">
        <v>27016</v>
      </c>
      <c r="N1922" s="30">
        <v>27763</v>
      </c>
      <c r="O1922" s="24" t="str">
        <f t="shared" si="59"/>
        <v>Currituck County, North Carolina</v>
      </c>
    </row>
    <row r="1923" spans="1:15" x14ac:dyDescent="0.25">
      <c r="A1923" s="35" t="s">
        <v>2399</v>
      </c>
      <c r="B1923" s="28" t="str">
        <f t="shared" si="58"/>
        <v>Dare</v>
      </c>
      <c r="C1923" s="30">
        <v>33920</v>
      </c>
      <c r="D1923" s="30">
        <v>33920</v>
      </c>
      <c r="E1923" s="30">
        <v>33982</v>
      </c>
      <c r="F1923" s="30">
        <v>34156</v>
      </c>
      <c r="G1923" s="30">
        <v>34383</v>
      </c>
      <c r="H1923" s="30">
        <v>34810</v>
      </c>
      <c r="I1923" s="30">
        <v>34894</v>
      </c>
      <c r="J1923" s="30">
        <v>35468</v>
      </c>
      <c r="K1923" s="30">
        <v>35829</v>
      </c>
      <c r="L1923" s="30">
        <v>36199</v>
      </c>
      <c r="M1923" s="30">
        <v>36607</v>
      </c>
      <c r="N1923" s="30">
        <v>37009</v>
      </c>
      <c r="O1923" s="24" t="str">
        <f t="shared" si="59"/>
        <v>Dare County, North Carolina</v>
      </c>
    </row>
    <row r="1924" spans="1:15" x14ac:dyDescent="0.25">
      <c r="A1924" s="35" t="s">
        <v>2400</v>
      </c>
      <c r="B1924" s="28" t="str">
        <f t="shared" si="58"/>
        <v>Davidson</v>
      </c>
      <c r="C1924" s="30">
        <v>162878</v>
      </c>
      <c r="D1924" s="30">
        <v>162822</v>
      </c>
      <c r="E1924" s="30">
        <v>162840</v>
      </c>
      <c r="F1924" s="30">
        <v>162923</v>
      </c>
      <c r="G1924" s="30">
        <v>163040</v>
      </c>
      <c r="H1924" s="30">
        <v>163295</v>
      </c>
      <c r="I1924" s="30">
        <v>163383</v>
      </c>
      <c r="J1924" s="30">
        <v>163486</v>
      </c>
      <c r="K1924" s="30">
        <v>164270</v>
      </c>
      <c r="L1924" s="30">
        <v>165180</v>
      </c>
      <c r="M1924" s="30">
        <v>166358</v>
      </c>
      <c r="N1924" s="30">
        <v>167609</v>
      </c>
      <c r="O1924" s="24" t="str">
        <f t="shared" si="59"/>
        <v>Davidson County, North Carolina</v>
      </c>
    </row>
    <row r="1925" spans="1:15" x14ac:dyDescent="0.25">
      <c r="A1925" s="35" t="s">
        <v>2401</v>
      </c>
      <c r="B1925" s="28" t="str">
        <f t="shared" si="58"/>
        <v>Davie</v>
      </c>
      <c r="C1925" s="30">
        <v>41240</v>
      </c>
      <c r="D1925" s="30">
        <v>41221</v>
      </c>
      <c r="E1925" s="30">
        <v>41254</v>
      </c>
      <c r="F1925" s="30">
        <v>41335</v>
      </c>
      <c r="G1925" s="30">
        <v>41281</v>
      </c>
      <c r="H1925" s="30">
        <v>41435</v>
      </c>
      <c r="I1925" s="30">
        <v>41259</v>
      </c>
      <c r="J1925" s="30">
        <v>41648</v>
      </c>
      <c r="K1925" s="30">
        <v>41921</v>
      </c>
      <c r="L1925" s="30">
        <v>42308</v>
      </c>
      <c r="M1925" s="30">
        <v>42563</v>
      </c>
      <c r="N1925" s="30">
        <v>42846</v>
      </c>
      <c r="O1925" s="24" t="str">
        <f t="shared" si="59"/>
        <v>Davie County, North Carolina</v>
      </c>
    </row>
    <row r="1926" spans="1:15" x14ac:dyDescent="0.25">
      <c r="A1926" s="35" t="s">
        <v>2402</v>
      </c>
      <c r="B1926" s="28" t="str">
        <f t="shared" si="58"/>
        <v>Duplin</v>
      </c>
      <c r="C1926" s="30">
        <v>58505</v>
      </c>
      <c r="D1926" s="30">
        <v>58417</v>
      </c>
      <c r="E1926" s="30">
        <v>58666</v>
      </c>
      <c r="F1926" s="30">
        <v>59216</v>
      </c>
      <c r="G1926" s="30">
        <v>59449</v>
      </c>
      <c r="H1926" s="30">
        <v>59328</v>
      </c>
      <c r="I1926" s="30">
        <v>59432</v>
      </c>
      <c r="J1926" s="30">
        <v>58883</v>
      </c>
      <c r="K1926" s="30">
        <v>59275</v>
      </c>
      <c r="L1926" s="30">
        <v>58943</v>
      </c>
      <c r="M1926" s="30">
        <v>58991</v>
      </c>
      <c r="N1926" s="30">
        <v>58741</v>
      </c>
      <c r="O1926" s="24" t="str">
        <f t="shared" si="59"/>
        <v>Duplin County, North Carolina</v>
      </c>
    </row>
    <row r="1927" spans="1:15" x14ac:dyDescent="0.25">
      <c r="A1927" s="35" t="s">
        <v>2403</v>
      </c>
      <c r="B1927" s="28" t="str">
        <f t="shared" ref="B1927:B1990" si="60">LEFT(A1927,FIND("County",A1927,1)-2)</f>
        <v>Durham</v>
      </c>
      <c r="C1927" s="30">
        <v>267587</v>
      </c>
      <c r="D1927" s="30">
        <v>270001</v>
      </c>
      <c r="E1927" s="30">
        <v>271357</v>
      </c>
      <c r="F1927" s="30">
        <v>276563</v>
      </c>
      <c r="G1927" s="30">
        <v>282659</v>
      </c>
      <c r="H1927" s="30">
        <v>288723</v>
      </c>
      <c r="I1927" s="30">
        <v>295137</v>
      </c>
      <c r="J1927" s="30">
        <v>300793</v>
      </c>
      <c r="K1927" s="30">
        <v>307826</v>
      </c>
      <c r="L1927" s="30">
        <v>312153</v>
      </c>
      <c r="M1927" s="30">
        <v>316979</v>
      </c>
      <c r="N1927" s="30">
        <v>321488</v>
      </c>
      <c r="O1927" s="24" t="str">
        <f t="shared" ref="O1927:O1990" si="61">A1927</f>
        <v>Durham County, North Carolina</v>
      </c>
    </row>
    <row r="1928" spans="1:15" x14ac:dyDescent="0.25">
      <c r="A1928" s="35" t="s">
        <v>2404</v>
      </c>
      <c r="B1928" s="28" t="str">
        <f t="shared" si="60"/>
        <v>Edgecombe</v>
      </c>
      <c r="C1928" s="30">
        <v>56552</v>
      </c>
      <c r="D1928" s="30">
        <v>56539</v>
      </c>
      <c r="E1928" s="30">
        <v>56619</v>
      </c>
      <c r="F1928" s="30">
        <v>56050</v>
      </c>
      <c r="G1928" s="30">
        <v>55675</v>
      </c>
      <c r="H1928" s="30">
        <v>55422</v>
      </c>
      <c r="I1928" s="30">
        <v>54866</v>
      </c>
      <c r="J1928" s="30">
        <v>53743</v>
      </c>
      <c r="K1928" s="30">
        <v>53283</v>
      </c>
      <c r="L1928" s="30">
        <v>52756</v>
      </c>
      <c r="M1928" s="30">
        <v>51984</v>
      </c>
      <c r="N1928" s="30">
        <v>51472</v>
      </c>
      <c r="O1928" s="24" t="str">
        <f t="shared" si="61"/>
        <v>Edgecombe County, North Carolina</v>
      </c>
    </row>
    <row r="1929" spans="1:15" x14ac:dyDescent="0.25">
      <c r="A1929" s="35" t="s">
        <v>2405</v>
      </c>
      <c r="B1929" s="28" t="str">
        <f t="shared" si="60"/>
        <v>Forsyth</v>
      </c>
      <c r="C1929" s="30">
        <v>350670</v>
      </c>
      <c r="D1929" s="30">
        <v>350638</v>
      </c>
      <c r="E1929" s="30">
        <v>351374</v>
      </c>
      <c r="F1929" s="30">
        <v>354524</v>
      </c>
      <c r="G1929" s="30">
        <v>357598</v>
      </c>
      <c r="H1929" s="30">
        <v>360594</v>
      </c>
      <c r="I1929" s="30">
        <v>364439</v>
      </c>
      <c r="J1929" s="30">
        <v>367365</v>
      </c>
      <c r="K1929" s="30">
        <v>371260</v>
      </c>
      <c r="L1929" s="30">
        <v>375840</v>
      </c>
      <c r="M1929" s="30">
        <v>379216</v>
      </c>
      <c r="N1929" s="30">
        <v>382295</v>
      </c>
      <c r="O1929" s="24" t="str">
        <f t="shared" si="61"/>
        <v>Forsyth County, North Carolina</v>
      </c>
    </row>
    <row r="1930" spans="1:15" x14ac:dyDescent="0.25">
      <c r="A1930" s="35" t="s">
        <v>2406</v>
      </c>
      <c r="B1930" s="28" t="str">
        <f t="shared" si="60"/>
        <v>Franklin</v>
      </c>
      <c r="C1930" s="30">
        <v>60619</v>
      </c>
      <c r="D1930" s="30">
        <v>60563</v>
      </c>
      <c r="E1930" s="30">
        <v>60835</v>
      </c>
      <c r="F1930" s="30">
        <v>60946</v>
      </c>
      <c r="G1930" s="30">
        <v>61405</v>
      </c>
      <c r="H1930" s="30">
        <v>62074</v>
      </c>
      <c r="I1930" s="30">
        <v>62691</v>
      </c>
      <c r="J1930" s="30">
        <v>63668</v>
      </c>
      <c r="K1930" s="30">
        <v>64676</v>
      </c>
      <c r="L1930" s="30">
        <v>66155</v>
      </c>
      <c r="M1930" s="30">
        <v>67625</v>
      </c>
      <c r="N1930" s="30">
        <v>69685</v>
      </c>
      <c r="O1930" s="24" t="str">
        <f t="shared" si="61"/>
        <v>Franklin County, North Carolina</v>
      </c>
    </row>
    <row r="1931" spans="1:15" x14ac:dyDescent="0.25">
      <c r="A1931" s="35" t="s">
        <v>2407</v>
      </c>
      <c r="B1931" s="28" t="str">
        <f t="shared" si="60"/>
        <v>Gaston</v>
      </c>
      <c r="C1931" s="30">
        <v>206086</v>
      </c>
      <c r="D1931" s="30">
        <v>206098</v>
      </c>
      <c r="E1931" s="30">
        <v>206114</v>
      </c>
      <c r="F1931" s="30">
        <v>206886</v>
      </c>
      <c r="G1931" s="30">
        <v>207903</v>
      </c>
      <c r="H1931" s="30">
        <v>209212</v>
      </c>
      <c r="I1931" s="30">
        <v>210545</v>
      </c>
      <c r="J1931" s="30">
        <v>212919</v>
      </c>
      <c r="K1931" s="30">
        <v>216622</v>
      </c>
      <c r="L1931" s="30">
        <v>219656</v>
      </c>
      <c r="M1931" s="30">
        <v>222630</v>
      </c>
      <c r="N1931" s="30">
        <v>224529</v>
      </c>
      <c r="O1931" s="24" t="str">
        <f t="shared" si="61"/>
        <v>Gaston County, North Carolina</v>
      </c>
    </row>
    <row r="1932" spans="1:15" x14ac:dyDescent="0.25">
      <c r="A1932" s="35" t="s">
        <v>2408</v>
      </c>
      <c r="B1932" s="28" t="str">
        <f t="shared" si="60"/>
        <v>Gates</v>
      </c>
      <c r="C1932" s="30">
        <v>12197</v>
      </c>
      <c r="D1932" s="30">
        <v>12185</v>
      </c>
      <c r="E1932" s="30">
        <v>12165</v>
      </c>
      <c r="F1932" s="30">
        <v>12043</v>
      </c>
      <c r="G1932" s="30">
        <v>11890</v>
      </c>
      <c r="H1932" s="30">
        <v>11703</v>
      </c>
      <c r="I1932" s="30">
        <v>11633</v>
      </c>
      <c r="J1932" s="30">
        <v>11531</v>
      </c>
      <c r="K1932" s="30">
        <v>11569</v>
      </c>
      <c r="L1932" s="30">
        <v>11514</v>
      </c>
      <c r="M1932" s="30">
        <v>11563</v>
      </c>
      <c r="N1932" s="30">
        <v>11562</v>
      </c>
      <c r="O1932" s="24" t="str">
        <f t="shared" si="61"/>
        <v>Gates County, North Carolina</v>
      </c>
    </row>
    <row r="1933" spans="1:15" x14ac:dyDescent="0.25">
      <c r="A1933" s="35" t="s">
        <v>2409</v>
      </c>
      <c r="B1933" s="28" t="str">
        <f t="shared" si="60"/>
        <v>Graham</v>
      </c>
      <c r="C1933" s="30">
        <v>8861</v>
      </c>
      <c r="D1933" s="30">
        <v>8858</v>
      </c>
      <c r="E1933" s="30">
        <v>8867</v>
      </c>
      <c r="F1933" s="30">
        <v>8811</v>
      </c>
      <c r="G1933" s="30">
        <v>8707</v>
      </c>
      <c r="H1933" s="30">
        <v>8719</v>
      </c>
      <c r="I1933" s="30">
        <v>8621</v>
      </c>
      <c r="J1933" s="30">
        <v>8588</v>
      </c>
      <c r="K1933" s="30">
        <v>8531</v>
      </c>
      <c r="L1933" s="30">
        <v>8524</v>
      </c>
      <c r="M1933" s="30">
        <v>8461</v>
      </c>
      <c r="N1933" s="30">
        <v>8441</v>
      </c>
      <c r="O1933" s="24" t="str">
        <f t="shared" si="61"/>
        <v>Graham County, North Carolina</v>
      </c>
    </row>
    <row r="1934" spans="1:15" x14ac:dyDescent="0.25">
      <c r="A1934" s="35" t="s">
        <v>2410</v>
      </c>
      <c r="B1934" s="28" t="str">
        <f t="shared" si="60"/>
        <v>Granville</v>
      </c>
      <c r="C1934" s="30">
        <v>59916</v>
      </c>
      <c r="D1934" s="30">
        <v>57538</v>
      </c>
      <c r="E1934" s="30">
        <v>57673</v>
      </c>
      <c r="F1934" s="30">
        <v>57503</v>
      </c>
      <c r="G1934" s="30">
        <v>57557</v>
      </c>
      <c r="H1934" s="30">
        <v>57762</v>
      </c>
      <c r="I1934" s="30">
        <v>57995</v>
      </c>
      <c r="J1934" s="30">
        <v>58162</v>
      </c>
      <c r="K1934" s="30">
        <v>58684</v>
      </c>
      <c r="L1934" s="30">
        <v>59372</v>
      </c>
      <c r="M1934" s="30">
        <v>59979</v>
      </c>
      <c r="N1934" s="30">
        <v>60443</v>
      </c>
      <c r="O1934" s="24" t="str">
        <f t="shared" si="61"/>
        <v>Granville County, North Carolina</v>
      </c>
    </row>
    <row r="1935" spans="1:15" x14ac:dyDescent="0.25">
      <c r="A1935" s="35" t="s">
        <v>2411</v>
      </c>
      <c r="B1935" s="28" t="str">
        <f t="shared" si="60"/>
        <v>Greene</v>
      </c>
      <c r="C1935" s="30">
        <v>21362</v>
      </c>
      <c r="D1935" s="30">
        <v>21353</v>
      </c>
      <c r="E1935" s="30">
        <v>21258</v>
      </c>
      <c r="F1935" s="30">
        <v>21514</v>
      </c>
      <c r="G1935" s="30">
        <v>21191</v>
      </c>
      <c r="H1935" s="30">
        <v>21011</v>
      </c>
      <c r="I1935" s="30">
        <v>21012</v>
      </c>
      <c r="J1935" s="30">
        <v>20950</v>
      </c>
      <c r="K1935" s="30">
        <v>21078</v>
      </c>
      <c r="L1935" s="30">
        <v>20963</v>
      </c>
      <c r="M1935" s="30">
        <v>21106</v>
      </c>
      <c r="N1935" s="30">
        <v>21069</v>
      </c>
      <c r="O1935" s="24" t="str">
        <f t="shared" si="61"/>
        <v>Greene County, North Carolina</v>
      </c>
    </row>
    <row r="1936" spans="1:15" x14ac:dyDescent="0.25">
      <c r="A1936" s="35" t="s">
        <v>2412</v>
      </c>
      <c r="B1936" s="28" t="str">
        <f t="shared" si="60"/>
        <v>Guilford</v>
      </c>
      <c r="C1936" s="30">
        <v>488406</v>
      </c>
      <c r="D1936" s="30">
        <v>488454</v>
      </c>
      <c r="E1936" s="30">
        <v>489618</v>
      </c>
      <c r="F1936" s="30">
        <v>494953</v>
      </c>
      <c r="G1936" s="30">
        <v>500514</v>
      </c>
      <c r="H1936" s="30">
        <v>506400</v>
      </c>
      <c r="I1936" s="30">
        <v>512233</v>
      </c>
      <c r="J1936" s="30">
        <v>517053</v>
      </c>
      <c r="K1936" s="30">
        <v>524265</v>
      </c>
      <c r="L1936" s="30">
        <v>528243</v>
      </c>
      <c r="M1936" s="30">
        <v>532607</v>
      </c>
      <c r="N1936" s="30">
        <v>537174</v>
      </c>
      <c r="O1936" s="24" t="str">
        <f t="shared" si="61"/>
        <v>Guilford County, North Carolina</v>
      </c>
    </row>
    <row r="1937" spans="1:15" x14ac:dyDescent="0.25">
      <c r="A1937" s="35" t="s">
        <v>2413</v>
      </c>
      <c r="B1937" s="28" t="str">
        <f t="shared" si="60"/>
        <v>Halifax</v>
      </c>
      <c r="C1937" s="30">
        <v>54691</v>
      </c>
      <c r="D1937" s="30">
        <v>54624</v>
      </c>
      <c r="E1937" s="30">
        <v>54470</v>
      </c>
      <c r="F1937" s="30">
        <v>54114</v>
      </c>
      <c r="G1937" s="30">
        <v>53732</v>
      </c>
      <c r="H1937" s="30">
        <v>53187</v>
      </c>
      <c r="I1937" s="30">
        <v>52833</v>
      </c>
      <c r="J1937" s="30">
        <v>52182</v>
      </c>
      <c r="K1937" s="30">
        <v>51815</v>
      </c>
      <c r="L1937" s="30">
        <v>51311</v>
      </c>
      <c r="M1937" s="30">
        <v>50634</v>
      </c>
      <c r="N1937" s="30">
        <v>50010</v>
      </c>
      <c r="O1937" s="24" t="str">
        <f t="shared" si="61"/>
        <v>Halifax County, North Carolina</v>
      </c>
    </row>
    <row r="1938" spans="1:15" x14ac:dyDescent="0.25">
      <c r="A1938" s="35" t="s">
        <v>2414</v>
      </c>
      <c r="B1938" s="28" t="str">
        <f t="shared" si="60"/>
        <v>Harnett</v>
      </c>
      <c r="C1938" s="30">
        <v>114678</v>
      </c>
      <c r="D1938" s="30">
        <v>114691</v>
      </c>
      <c r="E1938" s="30">
        <v>115753</v>
      </c>
      <c r="F1938" s="30">
        <v>119178</v>
      </c>
      <c r="G1938" s="30">
        <v>122204</v>
      </c>
      <c r="H1938" s="30">
        <v>125028</v>
      </c>
      <c r="I1938" s="30">
        <v>126685</v>
      </c>
      <c r="J1938" s="30">
        <v>128034</v>
      </c>
      <c r="K1938" s="30">
        <v>130674</v>
      </c>
      <c r="L1938" s="30">
        <v>132395</v>
      </c>
      <c r="M1938" s="30">
        <v>134336</v>
      </c>
      <c r="N1938" s="30">
        <v>135976</v>
      </c>
      <c r="O1938" s="24" t="str">
        <f t="shared" si="61"/>
        <v>Harnett County, North Carolina</v>
      </c>
    </row>
    <row r="1939" spans="1:15" x14ac:dyDescent="0.25">
      <c r="A1939" s="35" t="s">
        <v>2415</v>
      </c>
      <c r="B1939" s="28" t="str">
        <f t="shared" si="60"/>
        <v>Haywood</v>
      </c>
      <c r="C1939" s="30">
        <v>59036</v>
      </c>
      <c r="D1939" s="30">
        <v>59032</v>
      </c>
      <c r="E1939" s="30">
        <v>58932</v>
      </c>
      <c r="F1939" s="30">
        <v>58726</v>
      </c>
      <c r="G1939" s="30">
        <v>58640</v>
      </c>
      <c r="H1939" s="30">
        <v>58962</v>
      </c>
      <c r="I1939" s="30">
        <v>59132</v>
      </c>
      <c r="J1939" s="30">
        <v>59646</v>
      </c>
      <c r="K1939" s="30">
        <v>60405</v>
      </c>
      <c r="L1939" s="30">
        <v>61005</v>
      </c>
      <c r="M1939" s="30">
        <v>61890</v>
      </c>
      <c r="N1939" s="30">
        <v>62317</v>
      </c>
      <c r="O1939" s="24" t="str">
        <f t="shared" si="61"/>
        <v>Haywood County, North Carolina</v>
      </c>
    </row>
    <row r="1940" spans="1:15" x14ac:dyDescent="0.25">
      <c r="A1940" s="35" t="s">
        <v>2416</v>
      </c>
      <c r="B1940" s="28" t="str">
        <f t="shared" si="60"/>
        <v>Henderson</v>
      </c>
      <c r="C1940" s="30">
        <v>106740</v>
      </c>
      <c r="D1940" s="30">
        <v>106719</v>
      </c>
      <c r="E1940" s="30">
        <v>106891</v>
      </c>
      <c r="F1940" s="30">
        <v>107370</v>
      </c>
      <c r="G1940" s="30">
        <v>107768</v>
      </c>
      <c r="H1940" s="30">
        <v>108879</v>
      </c>
      <c r="I1940" s="30">
        <v>110258</v>
      </c>
      <c r="J1940" s="30">
        <v>111847</v>
      </c>
      <c r="K1940" s="30">
        <v>113583</v>
      </c>
      <c r="L1940" s="30">
        <v>115216</v>
      </c>
      <c r="M1940" s="30">
        <v>116500</v>
      </c>
      <c r="N1940" s="30">
        <v>117417</v>
      </c>
      <c r="O1940" s="24" t="str">
        <f t="shared" si="61"/>
        <v>Henderson County, North Carolina</v>
      </c>
    </row>
    <row r="1941" spans="1:15" x14ac:dyDescent="0.25">
      <c r="A1941" s="35" t="s">
        <v>2417</v>
      </c>
      <c r="B1941" s="28" t="str">
        <f t="shared" si="60"/>
        <v>Hertford</v>
      </c>
      <c r="C1941" s="30">
        <v>24669</v>
      </c>
      <c r="D1941" s="30">
        <v>24677</v>
      </c>
      <c r="E1941" s="30">
        <v>24764</v>
      </c>
      <c r="F1941" s="30">
        <v>24718</v>
      </c>
      <c r="G1941" s="30">
        <v>24600</v>
      </c>
      <c r="H1941" s="30">
        <v>24575</v>
      </c>
      <c r="I1941" s="30">
        <v>24582</v>
      </c>
      <c r="J1941" s="30">
        <v>24373</v>
      </c>
      <c r="K1941" s="30">
        <v>24209</v>
      </c>
      <c r="L1941" s="30">
        <v>23923</v>
      </c>
      <c r="M1941" s="30">
        <v>23878</v>
      </c>
      <c r="N1941" s="30">
        <v>23677</v>
      </c>
      <c r="O1941" s="24" t="str">
        <f t="shared" si="61"/>
        <v>Hertford County, North Carolina</v>
      </c>
    </row>
    <row r="1942" spans="1:15" x14ac:dyDescent="0.25">
      <c r="A1942" s="35" t="s">
        <v>2418</v>
      </c>
      <c r="B1942" s="28" t="str">
        <f t="shared" si="60"/>
        <v>Hoke</v>
      </c>
      <c r="C1942" s="30">
        <v>46952</v>
      </c>
      <c r="D1942" s="30">
        <v>46889</v>
      </c>
      <c r="E1942" s="30">
        <v>47496</v>
      </c>
      <c r="F1942" s="30">
        <v>49468</v>
      </c>
      <c r="G1942" s="30">
        <v>50483</v>
      </c>
      <c r="H1942" s="30">
        <v>51155</v>
      </c>
      <c r="I1942" s="30">
        <v>51586</v>
      </c>
      <c r="J1942" s="30">
        <v>52739</v>
      </c>
      <c r="K1942" s="30">
        <v>52981</v>
      </c>
      <c r="L1942" s="30">
        <v>54138</v>
      </c>
      <c r="M1942" s="30">
        <v>54695</v>
      </c>
      <c r="N1942" s="30">
        <v>55234</v>
      </c>
      <c r="O1942" s="24" t="str">
        <f t="shared" si="61"/>
        <v>Hoke County, North Carolina</v>
      </c>
    </row>
    <row r="1943" spans="1:15" x14ac:dyDescent="0.25">
      <c r="A1943" s="35" t="s">
        <v>2419</v>
      </c>
      <c r="B1943" s="28" t="str">
        <f t="shared" si="60"/>
        <v>Hyde</v>
      </c>
      <c r="C1943" s="30">
        <v>5810</v>
      </c>
      <c r="D1943" s="30">
        <v>5817</v>
      </c>
      <c r="E1943" s="30">
        <v>5811</v>
      </c>
      <c r="F1943" s="30">
        <v>5798</v>
      </c>
      <c r="G1943" s="30">
        <v>5689</v>
      </c>
      <c r="H1943" s="30">
        <v>5654</v>
      </c>
      <c r="I1943" s="30">
        <v>5600</v>
      </c>
      <c r="J1943" s="30">
        <v>5426</v>
      </c>
      <c r="K1943" s="30">
        <v>5434</v>
      </c>
      <c r="L1943" s="30">
        <v>5240</v>
      </c>
      <c r="M1943" s="30">
        <v>5026</v>
      </c>
      <c r="N1943" s="30">
        <v>4937</v>
      </c>
      <c r="O1943" s="24" t="str">
        <f t="shared" si="61"/>
        <v>Hyde County, North Carolina</v>
      </c>
    </row>
    <row r="1944" spans="1:15" x14ac:dyDescent="0.25">
      <c r="A1944" s="35" t="s">
        <v>2420</v>
      </c>
      <c r="B1944" s="28" t="str">
        <f t="shared" si="60"/>
        <v>Iredell</v>
      </c>
      <c r="C1944" s="30">
        <v>159437</v>
      </c>
      <c r="D1944" s="30">
        <v>159464</v>
      </c>
      <c r="E1944" s="30">
        <v>159778</v>
      </c>
      <c r="F1944" s="30">
        <v>161037</v>
      </c>
      <c r="G1944" s="30">
        <v>162670</v>
      </c>
      <c r="H1944" s="30">
        <v>164582</v>
      </c>
      <c r="I1944" s="30">
        <v>166498</v>
      </c>
      <c r="J1944" s="30">
        <v>169453</v>
      </c>
      <c r="K1944" s="30">
        <v>172466</v>
      </c>
      <c r="L1944" s="30">
        <v>175634</v>
      </c>
      <c r="M1944" s="30">
        <v>178332</v>
      </c>
      <c r="N1944" s="30">
        <v>181806</v>
      </c>
      <c r="O1944" s="24" t="str">
        <f t="shared" si="61"/>
        <v>Iredell County, North Carolina</v>
      </c>
    </row>
    <row r="1945" spans="1:15" x14ac:dyDescent="0.25">
      <c r="A1945" s="35" t="s">
        <v>2421</v>
      </c>
      <c r="B1945" s="28" t="str">
        <f t="shared" si="60"/>
        <v>Jackson</v>
      </c>
      <c r="C1945" s="30">
        <v>40271</v>
      </c>
      <c r="D1945" s="30">
        <v>40270</v>
      </c>
      <c r="E1945" s="30">
        <v>40368</v>
      </c>
      <c r="F1945" s="30">
        <v>40240</v>
      </c>
      <c r="G1945" s="30">
        <v>40636</v>
      </c>
      <c r="H1945" s="30">
        <v>41001</v>
      </c>
      <c r="I1945" s="30">
        <v>40920</v>
      </c>
      <c r="J1945" s="30">
        <v>41305</v>
      </c>
      <c r="K1945" s="30">
        <v>42622</v>
      </c>
      <c r="L1945" s="30">
        <v>43224</v>
      </c>
      <c r="M1945" s="30">
        <v>43600</v>
      </c>
      <c r="N1945" s="30">
        <v>43938</v>
      </c>
      <c r="O1945" s="24" t="str">
        <f t="shared" si="61"/>
        <v>Jackson County, North Carolina</v>
      </c>
    </row>
    <row r="1946" spans="1:15" x14ac:dyDescent="0.25">
      <c r="A1946" s="35" t="s">
        <v>2422</v>
      </c>
      <c r="B1946" s="28" t="str">
        <f t="shared" si="60"/>
        <v>Johnston</v>
      </c>
      <c r="C1946" s="30">
        <v>168878</v>
      </c>
      <c r="D1946" s="30">
        <v>168878</v>
      </c>
      <c r="E1946" s="30">
        <v>169678</v>
      </c>
      <c r="F1946" s="30">
        <v>172446</v>
      </c>
      <c r="G1946" s="30">
        <v>174383</v>
      </c>
      <c r="H1946" s="30">
        <v>177227</v>
      </c>
      <c r="I1946" s="30">
        <v>180710</v>
      </c>
      <c r="J1946" s="30">
        <v>185104</v>
      </c>
      <c r="K1946" s="30">
        <v>190843</v>
      </c>
      <c r="L1946" s="30">
        <v>196374</v>
      </c>
      <c r="M1946" s="30">
        <v>202692</v>
      </c>
      <c r="N1946" s="30">
        <v>209339</v>
      </c>
      <c r="O1946" s="24" t="str">
        <f t="shared" si="61"/>
        <v>Johnston County, North Carolina</v>
      </c>
    </row>
    <row r="1947" spans="1:15" x14ac:dyDescent="0.25">
      <c r="A1947" s="35" t="s">
        <v>2423</v>
      </c>
      <c r="B1947" s="28" t="str">
        <f t="shared" si="60"/>
        <v>Jones</v>
      </c>
      <c r="C1947" s="30">
        <v>10153</v>
      </c>
      <c r="D1947" s="30">
        <v>10167</v>
      </c>
      <c r="E1947" s="30">
        <v>10143</v>
      </c>
      <c r="F1947" s="30">
        <v>10060</v>
      </c>
      <c r="G1947" s="30">
        <v>10071</v>
      </c>
      <c r="H1947" s="30">
        <v>10007</v>
      </c>
      <c r="I1947" s="30">
        <v>9851</v>
      </c>
      <c r="J1947" s="30">
        <v>9777</v>
      </c>
      <c r="K1947" s="30">
        <v>9588</v>
      </c>
      <c r="L1947" s="30">
        <v>9573</v>
      </c>
      <c r="M1947" s="30">
        <v>9613</v>
      </c>
      <c r="N1947" s="30">
        <v>9419</v>
      </c>
      <c r="O1947" s="24" t="str">
        <f t="shared" si="61"/>
        <v>Jones County, North Carolina</v>
      </c>
    </row>
    <row r="1948" spans="1:15" x14ac:dyDescent="0.25">
      <c r="A1948" s="35" t="s">
        <v>2424</v>
      </c>
      <c r="B1948" s="28" t="str">
        <f t="shared" si="60"/>
        <v>Lee</v>
      </c>
      <c r="C1948" s="30">
        <v>57866</v>
      </c>
      <c r="D1948" s="30">
        <v>57849</v>
      </c>
      <c r="E1948" s="30">
        <v>57877</v>
      </c>
      <c r="F1948" s="30">
        <v>58531</v>
      </c>
      <c r="G1948" s="30">
        <v>59240</v>
      </c>
      <c r="H1948" s="30">
        <v>59762</v>
      </c>
      <c r="I1948" s="30">
        <v>59401</v>
      </c>
      <c r="J1948" s="30">
        <v>59371</v>
      </c>
      <c r="K1948" s="30">
        <v>59646</v>
      </c>
      <c r="L1948" s="30">
        <v>60403</v>
      </c>
      <c r="M1948" s="30">
        <v>61208</v>
      </c>
      <c r="N1948" s="30">
        <v>61779</v>
      </c>
      <c r="O1948" s="24" t="str">
        <f t="shared" si="61"/>
        <v>Lee County, North Carolina</v>
      </c>
    </row>
    <row r="1949" spans="1:15" x14ac:dyDescent="0.25">
      <c r="A1949" s="35" t="s">
        <v>2425</v>
      </c>
      <c r="B1949" s="28" t="str">
        <f t="shared" si="60"/>
        <v>Lenoir</v>
      </c>
      <c r="C1949" s="30">
        <v>59495</v>
      </c>
      <c r="D1949" s="30">
        <v>59507</v>
      </c>
      <c r="E1949" s="30">
        <v>59488</v>
      </c>
      <c r="F1949" s="30">
        <v>59411</v>
      </c>
      <c r="G1949" s="30">
        <v>59114</v>
      </c>
      <c r="H1949" s="30">
        <v>58732</v>
      </c>
      <c r="I1949" s="30">
        <v>58255</v>
      </c>
      <c r="J1949" s="30">
        <v>57981</v>
      </c>
      <c r="K1949" s="30">
        <v>57240</v>
      </c>
      <c r="L1949" s="30">
        <v>56622</v>
      </c>
      <c r="M1949" s="30">
        <v>55990</v>
      </c>
      <c r="N1949" s="30">
        <v>55949</v>
      </c>
      <c r="O1949" s="24" t="str">
        <f t="shared" si="61"/>
        <v>Lenoir County, North Carolina</v>
      </c>
    </row>
    <row r="1950" spans="1:15" x14ac:dyDescent="0.25">
      <c r="A1950" s="35" t="s">
        <v>2426</v>
      </c>
      <c r="B1950" s="28" t="str">
        <f t="shared" si="60"/>
        <v>Lincoln</v>
      </c>
      <c r="C1950" s="30">
        <v>78265</v>
      </c>
      <c r="D1950" s="30">
        <v>78014</v>
      </c>
      <c r="E1950" s="30">
        <v>78134</v>
      </c>
      <c r="F1950" s="30">
        <v>78297</v>
      </c>
      <c r="G1950" s="30">
        <v>78729</v>
      </c>
      <c r="H1950" s="30">
        <v>79111</v>
      </c>
      <c r="I1950" s="30">
        <v>79446</v>
      </c>
      <c r="J1950" s="30">
        <v>80607</v>
      </c>
      <c r="K1950" s="30">
        <v>81229</v>
      </c>
      <c r="L1950" s="30">
        <v>82557</v>
      </c>
      <c r="M1950" s="30">
        <v>84092</v>
      </c>
      <c r="N1950" s="30">
        <v>86111</v>
      </c>
      <c r="O1950" s="24" t="str">
        <f t="shared" si="61"/>
        <v>Lincoln County, North Carolina</v>
      </c>
    </row>
    <row r="1951" spans="1:15" x14ac:dyDescent="0.25">
      <c r="A1951" s="35" t="s">
        <v>2427</v>
      </c>
      <c r="B1951" s="28" t="str">
        <f t="shared" si="60"/>
        <v>McDowell</v>
      </c>
      <c r="C1951" s="30">
        <v>44996</v>
      </c>
      <c r="D1951" s="30">
        <v>45002</v>
      </c>
      <c r="E1951" s="30">
        <v>45102</v>
      </c>
      <c r="F1951" s="30">
        <v>45053</v>
      </c>
      <c r="G1951" s="30">
        <v>44999</v>
      </c>
      <c r="H1951" s="30">
        <v>45021</v>
      </c>
      <c r="I1951" s="30">
        <v>45007</v>
      </c>
      <c r="J1951" s="30">
        <v>44967</v>
      </c>
      <c r="K1951" s="30">
        <v>44866</v>
      </c>
      <c r="L1951" s="30">
        <v>45083</v>
      </c>
      <c r="M1951" s="30">
        <v>45465</v>
      </c>
      <c r="N1951" s="30">
        <v>45756</v>
      </c>
      <c r="O1951" s="24" t="str">
        <f t="shared" si="61"/>
        <v>McDowell County, North Carolina</v>
      </c>
    </row>
    <row r="1952" spans="1:15" x14ac:dyDescent="0.25">
      <c r="A1952" s="35" t="s">
        <v>2428</v>
      </c>
      <c r="B1952" s="28" t="str">
        <f t="shared" si="60"/>
        <v>Macon</v>
      </c>
      <c r="C1952" s="30">
        <v>33922</v>
      </c>
      <c r="D1952" s="30">
        <v>33925</v>
      </c>
      <c r="E1952" s="30">
        <v>33959</v>
      </c>
      <c r="F1952" s="30">
        <v>33887</v>
      </c>
      <c r="G1952" s="30">
        <v>33806</v>
      </c>
      <c r="H1952" s="30">
        <v>33738</v>
      </c>
      <c r="I1952" s="30">
        <v>33824</v>
      </c>
      <c r="J1952" s="30">
        <v>34090</v>
      </c>
      <c r="K1952" s="30">
        <v>34262</v>
      </c>
      <c r="L1952" s="30">
        <v>34581</v>
      </c>
      <c r="M1952" s="30">
        <v>35274</v>
      </c>
      <c r="N1952" s="30">
        <v>35858</v>
      </c>
      <c r="O1952" s="24" t="str">
        <f t="shared" si="61"/>
        <v>Macon County, North Carolina</v>
      </c>
    </row>
    <row r="1953" spans="1:15" x14ac:dyDescent="0.25">
      <c r="A1953" s="35" t="s">
        <v>2429</v>
      </c>
      <c r="B1953" s="28" t="str">
        <f t="shared" si="60"/>
        <v>Madison</v>
      </c>
      <c r="C1953" s="30">
        <v>20764</v>
      </c>
      <c r="D1953" s="30">
        <v>20782</v>
      </c>
      <c r="E1953" s="30">
        <v>20777</v>
      </c>
      <c r="F1953" s="30">
        <v>20845</v>
      </c>
      <c r="G1953" s="30">
        <v>20882</v>
      </c>
      <c r="H1953" s="30">
        <v>21147</v>
      </c>
      <c r="I1953" s="30">
        <v>21187</v>
      </c>
      <c r="J1953" s="30">
        <v>21146</v>
      </c>
      <c r="K1953" s="30">
        <v>21367</v>
      </c>
      <c r="L1953" s="30">
        <v>21563</v>
      </c>
      <c r="M1953" s="30">
        <v>21665</v>
      </c>
      <c r="N1953" s="30">
        <v>21755</v>
      </c>
      <c r="O1953" s="24" t="str">
        <f t="shared" si="61"/>
        <v>Madison County, North Carolina</v>
      </c>
    </row>
    <row r="1954" spans="1:15" x14ac:dyDescent="0.25">
      <c r="A1954" s="35" t="s">
        <v>2430</v>
      </c>
      <c r="B1954" s="28" t="str">
        <f t="shared" si="60"/>
        <v>Martin</v>
      </c>
      <c r="C1954" s="30">
        <v>24505</v>
      </c>
      <c r="D1954" s="30">
        <v>24515</v>
      </c>
      <c r="E1954" s="30">
        <v>24506</v>
      </c>
      <c r="F1954" s="30">
        <v>24186</v>
      </c>
      <c r="G1954" s="30">
        <v>23845</v>
      </c>
      <c r="H1954" s="30">
        <v>23637</v>
      </c>
      <c r="I1954" s="30">
        <v>23435</v>
      </c>
      <c r="J1954" s="30">
        <v>23262</v>
      </c>
      <c r="K1954" s="30">
        <v>23122</v>
      </c>
      <c r="L1954" s="30">
        <v>22763</v>
      </c>
      <c r="M1954" s="30">
        <v>22660</v>
      </c>
      <c r="N1954" s="30">
        <v>22440</v>
      </c>
      <c r="O1954" s="24" t="str">
        <f t="shared" si="61"/>
        <v>Martin County, North Carolina</v>
      </c>
    </row>
    <row r="1955" spans="1:15" x14ac:dyDescent="0.25">
      <c r="A1955" s="35" t="s">
        <v>2431</v>
      </c>
      <c r="B1955" s="28" t="str">
        <f t="shared" si="60"/>
        <v>Mecklenburg</v>
      </c>
      <c r="C1955" s="30">
        <v>919628</v>
      </c>
      <c r="D1955" s="30">
        <v>919664</v>
      </c>
      <c r="E1955" s="30">
        <v>923242</v>
      </c>
      <c r="F1955" s="30">
        <v>943823</v>
      </c>
      <c r="G1955" s="30">
        <v>967063</v>
      </c>
      <c r="H1955" s="30">
        <v>990677</v>
      </c>
      <c r="I1955" s="30">
        <v>1010229</v>
      </c>
      <c r="J1955" s="30">
        <v>1033238</v>
      </c>
      <c r="K1955" s="30">
        <v>1056901</v>
      </c>
      <c r="L1955" s="30">
        <v>1078128</v>
      </c>
      <c r="M1955" s="30">
        <v>1093750</v>
      </c>
      <c r="N1955" s="30">
        <v>1110356</v>
      </c>
      <c r="O1955" s="24" t="str">
        <f t="shared" si="61"/>
        <v>Mecklenburg County, North Carolina</v>
      </c>
    </row>
    <row r="1956" spans="1:15" x14ac:dyDescent="0.25">
      <c r="A1956" s="35" t="s">
        <v>2432</v>
      </c>
      <c r="B1956" s="28" t="str">
        <f t="shared" si="60"/>
        <v>Mitchell</v>
      </c>
      <c r="C1956" s="30">
        <v>15579</v>
      </c>
      <c r="D1956" s="30">
        <v>15581</v>
      </c>
      <c r="E1956" s="30">
        <v>15512</v>
      </c>
      <c r="F1956" s="30">
        <v>15356</v>
      </c>
      <c r="G1956" s="30">
        <v>15330</v>
      </c>
      <c r="H1956" s="30">
        <v>15282</v>
      </c>
      <c r="I1956" s="30">
        <v>15174</v>
      </c>
      <c r="J1956" s="30">
        <v>15071</v>
      </c>
      <c r="K1956" s="30">
        <v>14996</v>
      </c>
      <c r="L1956" s="30">
        <v>14992</v>
      </c>
      <c r="M1956" s="30">
        <v>14996</v>
      </c>
      <c r="N1956" s="30">
        <v>14964</v>
      </c>
      <c r="O1956" s="24" t="str">
        <f t="shared" si="61"/>
        <v>Mitchell County, North Carolina</v>
      </c>
    </row>
    <row r="1957" spans="1:15" x14ac:dyDescent="0.25">
      <c r="A1957" s="35" t="s">
        <v>2433</v>
      </c>
      <c r="B1957" s="28" t="str">
        <f t="shared" si="60"/>
        <v>Montgomery</v>
      </c>
      <c r="C1957" s="30">
        <v>27798</v>
      </c>
      <c r="D1957" s="30">
        <v>27782</v>
      </c>
      <c r="E1957" s="30">
        <v>27729</v>
      </c>
      <c r="F1957" s="30">
        <v>27706</v>
      </c>
      <c r="G1957" s="30">
        <v>27522</v>
      </c>
      <c r="H1957" s="30">
        <v>27446</v>
      </c>
      <c r="I1957" s="30">
        <v>27283</v>
      </c>
      <c r="J1957" s="30">
        <v>27438</v>
      </c>
      <c r="K1957" s="30">
        <v>27301</v>
      </c>
      <c r="L1957" s="30">
        <v>27269</v>
      </c>
      <c r="M1957" s="30">
        <v>27077</v>
      </c>
      <c r="N1957" s="30">
        <v>27173</v>
      </c>
      <c r="O1957" s="24" t="str">
        <f t="shared" si="61"/>
        <v>Montgomery County, North Carolina</v>
      </c>
    </row>
    <row r="1958" spans="1:15" x14ac:dyDescent="0.25">
      <c r="A1958" s="35" t="s">
        <v>2434</v>
      </c>
      <c r="B1958" s="28" t="str">
        <f t="shared" si="60"/>
        <v>Moore</v>
      </c>
      <c r="C1958" s="30">
        <v>88247</v>
      </c>
      <c r="D1958" s="30">
        <v>88250</v>
      </c>
      <c r="E1958" s="30">
        <v>88594</v>
      </c>
      <c r="F1958" s="30">
        <v>89262</v>
      </c>
      <c r="G1958" s="30">
        <v>90191</v>
      </c>
      <c r="H1958" s="30">
        <v>91366</v>
      </c>
      <c r="I1958" s="30">
        <v>92816</v>
      </c>
      <c r="J1958" s="30">
        <v>94013</v>
      </c>
      <c r="K1958" s="30">
        <v>95405</v>
      </c>
      <c r="L1958" s="30">
        <v>97368</v>
      </c>
      <c r="M1958" s="30">
        <v>98805</v>
      </c>
      <c r="N1958" s="30">
        <v>100880</v>
      </c>
      <c r="O1958" s="24" t="str">
        <f t="shared" si="61"/>
        <v>Moore County, North Carolina</v>
      </c>
    </row>
    <row r="1959" spans="1:15" x14ac:dyDescent="0.25">
      <c r="A1959" s="35" t="s">
        <v>2435</v>
      </c>
      <c r="B1959" s="28" t="str">
        <f t="shared" si="60"/>
        <v>Nash</v>
      </c>
      <c r="C1959" s="30">
        <v>95840</v>
      </c>
      <c r="D1959" s="30">
        <v>95829</v>
      </c>
      <c r="E1959" s="30">
        <v>95786</v>
      </c>
      <c r="F1959" s="30">
        <v>95740</v>
      </c>
      <c r="G1959" s="30">
        <v>95187</v>
      </c>
      <c r="H1959" s="30">
        <v>94421</v>
      </c>
      <c r="I1959" s="30">
        <v>94200</v>
      </c>
      <c r="J1959" s="30">
        <v>93786</v>
      </c>
      <c r="K1959" s="30">
        <v>93953</v>
      </c>
      <c r="L1959" s="30">
        <v>94019</v>
      </c>
      <c r="M1959" s="30">
        <v>94094</v>
      </c>
      <c r="N1959" s="30">
        <v>94298</v>
      </c>
      <c r="O1959" s="24" t="str">
        <f t="shared" si="61"/>
        <v>Nash County, North Carolina</v>
      </c>
    </row>
    <row r="1960" spans="1:15" x14ac:dyDescent="0.25">
      <c r="A1960" s="35" t="s">
        <v>2436</v>
      </c>
      <c r="B1960" s="28" t="str">
        <f t="shared" si="60"/>
        <v>New Hanover</v>
      </c>
      <c r="C1960" s="30">
        <v>202667</v>
      </c>
      <c r="D1960" s="30">
        <v>202683</v>
      </c>
      <c r="E1960" s="30">
        <v>203284</v>
      </c>
      <c r="F1960" s="30">
        <v>205966</v>
      </c>
      <c r="G1960" s="30">
        <v>209045</v>
      </c>
      <c r="H1960" s="30">
        <v>212921</v>
      </c>
      <c r="I1960" s="30">
        <v>215963</v>
      </c>
      <c r="J1960" s="30">
        <v>219422</v>
      </c>
      <c r="K1960" s="30">
        <v>224809</v>
      </c>
      <c r="L1960" s="30">
        <v>228728</v>
      </c>
      <c r="M1960" s="30">
        <v>232256</v>
      </c>
      <c r="N1960" s="30">
        <v>234473</v>
      </c>
      <c r="O1960" s="24" t="str">
        <f t="shared" si="61"/>
        <v>New Hanover County, North Carolina</v>
      </c>
    </row>
    <row r="1961" spans="1:15" x14ac:dyDescent="0.25">
      <c r="A1961" s="35" t="s">
        <v>2437</v>
      </c>
      <c r="B1961" s="28" t="str">
        <f t="shared" si="60"/>
        <v>Northampton</v>
      </c>
      <c r="C1961" s="30">
        <v>22099</v>
      </c>
      <c r="D1961" s="30">
        <v>22106</v>
      </c>
      <c r="E1961" s="30">
        <v>22039</v>
      </c>
      <c r="F1961" s="30">
        <v>21916</v>
      </c>
      <c r="G1961" s="30">
        <v>21285</v>
      </c>
      <c r="H1961" s="30">
        <v>20856</v>
      </c>
      <c r="I1961" s="30">
        <v>20652</v>
      </c>
      <c r="J1961" s="30">
        <v>20533</v>
      </c>
      <c r="K1961" s="30">
        <v>20127</v>
      </c>
      <c r="L1961" s="30">
        <v>19890</v>
      </c>
      <c r="M1961" s="30">
        <v>19698</v>
      </c>
      <c r="N1961" s="30">
        <v>19483</v>
      </c>
      <c r="O1961" s="24" t="str">
        <f t="shared" si="61"/>
        <v>Northampton County, North Carolina</v>
      </c>
    </row>
    <row r="1962" spans="1:15" x14ac:dyDescent="0.25">
      <c r="A1962" s="35" t="s">
        <v>2438</v>
      </c>
      <c r="B1962" s="28" t="str">
        <f t="shared" si="60"/>
        <v>Onslow</v>
      </c>
      <c r="C1962" s="30">
        <v>177772</v>
      </c>
      <c r="D1962" s="30">
        <v>177801</v>
      </c>
      <c r="E1962" s="30">
        <v>186892</v>
      </c>
      <c r="F1962" s="30">
        <v>184993</v>
      </c>
      <c r="G1962" s="30">
        <v>190678</v>
      </c>
      <c r="H1962" s="30">
        <v>192354</v>
      </c>
      <c r="I1962" s="30">
        <v>191822</v>
      </c>
      <c r="J1962" s="30">
        <v>193114</v>
      </c>
      <c r="K1962" s="30">
        <v>192314</v>
      </c>
      <c r="L1962" s="30">
        <v>195066</v>
      </c>
      <c r="M1962" s="30">
        <v>196915</v>
      </c>
      <c r="N1962" s="30">
        <v>197938</v>
      </c>
      <c r="O1962" s="24" t="str">
        <f t="shared" si="61"/>
        <v>Onslow County, North Carolina</v>
      </c>
    </row>
    <row r="1963" spans="1:15" x14ac:dyDescent="0.25">
      <c r="A1963" s="35" t="s">
        <v>2439</v>
      </c>
      <c r="B1963" s="28" t="str">
        <f t="shared" si="60"/>
        <v>Orange</v>
      </c>
      <c r="C1963" s="30">
        <v>133801</v>
      </c>
      <c r="D1963" s="30">
        <v>133693</v>
      </c>
      <c r="E1963" s="30">
        <v>133981</v>
      </c>
      <c r="F1963" s="30">
        <v>134825</v>
      </c>
      <c r="G1963" s="30">
        <v>137817</v>
      </c>
      <c r="H1963" s="30">
        <v>139397</v>
      </c>
      <c r="I1963" s="30">
        <v>140321</v>
      </c>
      <c r="J1963" s="30">
        <v>141298</v>
      </c>
      <c r="K1963" s="30">
        <v>142800</v>
      </c>
      <c r="L1963" s="30">
        <v>143626</v>
      </c>
      <c r="M1963" s="30">
        <v>147980</v>
      </c>
      <c r="N1963" s="30">
        <v>148476</v>
      </c>
      <c r="O1963" s="24" t="str">
        <f t="shared" si="61"/>
        <v>Orange County, North Carolina</v>
      </c>
    </row>
    <row r="1964" spans="1:15" x14ac:dyDescent="0.25">
      <c r="A1964" s="35" t="s">
        <v>2440</v>
      </c>
      <c r="B1964" s="28" t="str">
        <f t="shared" si="60"/>
        <v>Pamlico</v>
      </c>
      <c r="C1964" s="30">
        <v>13144</v>
      </c>
      <c r="D1964" s="30">
        <v>13143</v>
      </c>
      <c r="E1964" s="30">
        <v>13109</v>
      </c>
      <c r="F1964" s="30">
        <v>13244</v>
      </c>
      <c r="G1964" s="30">
        <v>13019</v>
      </c>
      <c r="H1964" s="30">
        <v>12880</v>
      </c>
      <c r="I1964" s="30">
        <v>12872</v>
      </c>
      <c r="J1964" s="30">
        <v>12741</v>
      </c>
      <c r="K1964" s="30">
        <v>12765</v>
      </c>
      <c r="L1964" s="30">
        <v>12638</v>
      </c>
      <c r="M1964" s="30">
        <v>12633</v>
      </c>
      <c r="N1964" s="30">
        <v>12726</v>
      </c>
      <c r="O1964" s="24" t="str">
        <f t="shared" si="61"/>
        <v>Pamlico County, North Carolina</v>
      </c>
    </row>
    <row r="1965" spans="1:15" x14ac:dyDescent="0.25">
      <c r="A1965" s="35" t="s">
        <v>2441</v>
      </c>
      <c r="B1965" s="28" t="str">
        <f t="shared" si="60"/>
        <v>Pasquotank</v>
      </c>
      <c r="C1965" s="30">
        <v>40661</v>
      </c>
      <c r="D1965" s="30">
        <v>40661</v>
      </c>
      <c r="E1965" s="30">
        <v>40626</v>
      </c>
      <c r="F1965" s="30">
        <v>40266</v>
      </c>
      <c r="G1965" s="30">
        <v>40378</v>
      </c>
      <c r="H1965" s="30">
        <v>39548</v>
      </c>
      <c r="I1965" s="30">
        <v>39436</v>
      </c>
      <c r="J1965" s="30">
        <v>39384</v>
      </c>
      <c r="K1965" s="30">
        <v>39392</v>
      </c>
      <c r="L1965" s="30">
        <v>39386</v>
      </c>
      <c r="M1965" s="30">
        <v>39583</v>
      </c>
      <c r="N1965" s="30">
        <v>39824</v>
      </c>
      <c r="O1965" s="24" t="str">
        <f t="shared" si="61"/>
        <v>Pasquotank County, North Carolina</v>
      </c>
    </row>
    <row r="1966" spans="1:15" x14ac:dyDescent="0.25">
      <c r="A1966" s="35" t="s">
        <v>2442</v>
      </c>
      <c r="B1966" s="28" t="str">
        <f t="shared" si="60"/>
        <v>Pender</v>
      </c>
      <c r="C1966" s="30">
        <v>52217</v>
      </c>
      <c r="D1966" s="30">
        <v>52196</v>
      </c>
      <c r="E1966" s="30">
        <v>52415</v>
      </c>
      <c r="F1966" s="30">
        <v>53175</v>
      </c>
      <c r="G1966" s="30">
        <v>53714</v>
      </c>
      <c r="H1966" s="30">
        <v>54779</v>
      </c>
      <c r="I1966" s="30">
        <v>55900</v>
      </c>
      <c r="J1966" s="30">
        <v>57426</v>
      </c>
      <c r="K1966" s="30">
        <v>58771</v>
      </c>
      <c r="L1966" s="30">
        <v>60719</v>
      </c>
      <c r="M1966" s="30">
        <v>62017</v>
      </c>
      <c r="N1966" s="30">
        <v>63060</v>
      </c>
      <c r="O1966" s="24" t="str">
        <f t="shared" si="61"/>
        <v>Pender County, North Carolina</v>
      </c>
    </row>
    <row r="1967" spans="1:15" x14ac:dyDescent="0.25">
      <c r="A1967" s="35" t="s">
        <v>2443</v>
      </c>
      <c r="B1967" s="28" t="str">
        <f t="shared" si="60"/>
        <v>Perquimans</v>
      </c>
      <c r="C1967" s="30">
        <v>13453</v>
      </c>
      <c r="D1967" s="30">
        <v>13452</v>
      </c>
      <c r="E1967" s="30">
        <v>13480</v>
      </c>
      <c r="F1967" s="30">
        <v>13498</v>
      </c>
      <c r="G1967" s="30">
        <v>13587</v>
      </c>
      <c r="H1967" s="30">
        <v>13634</v>
      </c>
      <c r="I1967" s="30">
        <v>13538</v>
      </c>
      <c r="J1967" s="30">
        <v>13463</v>
      </c>
      <c r="K1967" s="30">
        <v>13402</v>
      </c>
      <c r="L1967" s="30">
        <v>13439</v>
      </c>
      <c r="M1967" s="30">
        <v>13381</v>
      </c>
      <c r="N1967" s="30">
        <v>13463</v>
      </c>
      <c r="O1967" s="24" t="str">
        <f t="shared" si="61"/>
        <v>Perquimans County, North Carolina</v>
      </c>
    </row>
    <row r="1968" spans="1:15" x14ac:dyDescent="0.25">
      <c r="A1968" s="35" t="s">
        <v>2444</v>
      </c>
      <c r="B1968" s="28" t="str">
        <f t="shared" si="60"/>
        <v>Person</v>
      </c>
      <c r="C1968" s="30">
        <v>39464</v>
      </c>
      <c r="D1968" s="30">
        <v>39476</v>
      </c>
      <c r="E1968" s="30">
        <v>39411</v>
      </c>
      <c r="F1968" s="30">
        <v>39520</v>
      </c>
      <c r="G1968" s="30">
        <v>39175</v>
      </c>
      <c r="H1968" s="30">
        <v>39239</v>
      </c>
      <c r="I1968" s="30">
        <v>39114</v>
      </c>
      <c r="J1968" s="30">
        <v>39190</v>
      </c>
      <c r="K1968" s="30">
        <v>39270</v>
      </c>
      <c r="L1968" s="30">
        <v>39338</v>
      </c>
      <c r="M1968" s="30">
        <v>39436</v>
      </c>
      <c r="N1968" s="30">
        <v>39490</v>
      </c>
      <c r="O1968" s="24" t="str">
        <f t="shared" si="61"/>
        <v>Person County, North Carolina</v>
      </c>
    </row>
    <row r="1969" spans="1:15" x14ac:dyDescent="0.25">
      <c r="A1969" s="35" t="s">
        <v>2445</v>
      </c>
      <c r="B1969" s="28" t="str">
        <f t="shared" si="60"/>
        <v>Pitt</v>
      </c>
      <c r="C1969" s="30">
        <v>168148</v>
      </c>
      <c r="D1969" s="30">
        <v>168176</v>
      </c>
      <c r="E1969" s="30">
        <v>168863</v>
      </c>
      <c r="F1969" s="30">
        <v>170791</v>
      </c>
      <c r="G1969" s="30">
        <v>172980</v>
      </c>
      <c r="H1969" s="30">
        <v>174380</v>
      </c>
      <c r="I1969" s="30">
        <v>174974</v>
      </c>
      <c r="J1969" s="30">
        <v>176071</v>
      </c>
      <c r="K1969" s="30">
        <v>177171</v>
      </c>
      <c r="L1969" s="30">
        <v>178607</v>
      </c>
      <c r="M1969" s="30">
        <v>179575</v>
      </c>
      <c r="N1969" s="30">
        <v>180742</v>
      </c>
      <c r="O1969" s="24" t="str">
        <f t="shared" si="61"/>
        <v>Pitt County, North Carolina</v>
      </c>
    </row>
    <row r="1970" spans="1:15" x14ac:dyDescent="0.25">
      <c r="A1970" s="35" t="s">
        <v>2446</v>
      </c>
      <c r="B1970" s="28" t="str">
        <f t="shared" si="60"/>
        <v>Polk</v>
      </c>
      <c r="C1970" s="30">
        <v>20510</v>
      </c>
      <c r="D1970" s="30">
        <v>20516</v>
      </c>
      <c r="E1970" s="30">
        <v>20475</v>
      </c>
      <c r="F1970" s="30">
        <v>20288</v>
      </c>
      <c r="G1970" s="30">
        <v>20249</v>
      </c>
      <c r="H1970" s="30">
        <v>20388</v>
      </c>
      <c r="I1970" s="30">
        <v>20367</v>
      </c>
      <c r="J1970" s="30">
        <v>20414</v>
      </c>
      <c r="K1970" s="30">
        <v>20414</v>
      </c>
      <c r="L1970" s="30">
        <v>20564</v>
      </c>
      <c r="M1970" s="30">
        <v>20668</v>
      </c>
      <c r="N1970" s="30">
        <v>20724</v>
      </c>
      <c r="O1970" s="24" t="str">
        <f t="shared" si="61"/>
        <v>Polk County, North Carolina</v>
      </c>
    </row>
    <row r="1971" spans="1:15" x14ac:dyDescent="0.25">
      <c r="A1971" s="35" t="s">
        <v>2447</v>
      </c>
      <c r="B1971" s="28" t="str">
        <f t="shared" si="60"/>
        <v>Randolph</v>
      </c>
      <c r="C1971" s="30">
        <v>141752</v>
      </c>
      <c r="D1971" s="30">
        <v>141824</v>
      </c>
      <c r="E1971" s="30">
        <v>141985</v>
      </c>
      <c r="F1971" s="30">
        <v>141858</v>
      </c>
      <c r="G1971" s="30">
        <v>142270</v>
      </c>
      <c r="H1971" s="30">
        <v>142308</v>
      </c>
      <c r="I1971" s="30">
        <v>142474</v>
      </c>
      <c r="J1971" s="30">
        <v>142575</v>
      </c>
      <c r="K1971" s="30">
        <v>143062</v>
      </c>
      <c r="L1971" s="30">
        <v>143037</v>
      </c>
      <c r="M1971" s="30">
        <v>143249</v>
      </c>
      <c r="N1971" s="30">
        <v>143667</v>
      </c>
      <c r="O1971" s="24" t="str">
        <f t="shared" si="61"/>
        <v>Randolph County, North Carolina</v>
      </c>
    </row>
    <row r="1972" spans="1:15" x14ac:dyDescent="0.25">
      <c r="A1972" s="35" t="s">
        <v>2448</v>
      </c>
      <c r="B1972" s="28" t="str">
        <f t="shared" si="60"/>
        <v>Richmond</v>
      </c>
      <c r="C1972" s="30">
        <v>46639</v>
      </c>
      <c r="D1972" s="30">
        <v>46647</v>
      </c>
      <c r="E1972" s="30">
        <v>46635</v>
      </c>
      <c r="F1972" s="30">
        <v>46651</v>
      </c>
      <c r="G1972" s="30">
        <v>46359</v>
      </c>
      <c r="H1972" s="30">
        <v>46133</v>
      </c>
      <c r="I1972" s="30">
        <v>45771</v>
      </c>
      <c r="J1972" s="30">
        <v>45429</v>
      </c>
      <c r="K1972" s="30">
        <v>45012</v>
      </c>
      <c r="L1972" s="30">
        <v>44827</v>
      </c>
      <c r="M1972" s="30">
        <v>44888</v>
      </c>
      <c r="N1972" s="30">
        <v>44829</v>
      </c>
      <c r="O1972" s="24" t="str">
        <f t="shared" si="61"/>
        <v>Richmond County, North Carolina</v>
      </c>
    </row>
    <row r="1973" spans="1:15" x14ac:dyDescent="0.25">
      <c r="A1973" s="35" t="s">
        <v>2449</v>
      </c>
      <c r="B1973" s="28" t="str">
        <f t="shared" si="60"/>
        <v>Robeson</v>
      </c>
      <c r="C1973" s="30">
        <v>134168</v>
      </c>
      <c r="D1973" s="30">
        <v>134229</v>
      </c>
      <c r="E1973" s="30">
        <v>134493</v>
      </c>
      <c r="F1973" s="30">
        <v>135183</v>
      </c>
      <c r="G1973" s="30">
        <v>135462</v>
      </c>
      <c r="H1973" s="30">
        <v>135136</v>
      </c>
      <c r="I1973" s="30">
        <v>134931</v>
      </c>
      <c r="J1973" s="30">
        <v>134460</v>
      </c>
      <c r="K1973" s="30">
        <v>133383</v>
      </c>
      <c r="L1973" s="30">
        <v>132626</v>
      </c>
      <c r="M1973" s="30">
        <v>131884</v>
      </c>
      <c r="N1973" s="30">
        <v>130625</v>
      </c>
      <c r="O1973" s="24" t="str">
        <f t="shared" si="61"/>
        <v>Robeson County, North Carolina</v>
      </c>
    </row>
    <row r="1974" spans="1:15" x14ac:dyDescent="0.25">
      <c r="A1974" s="35" t="s">
        <v>2450</v>
      </c>
      <c r="B1974" s="28" t="str">
        <f t="shared" si="60"/>
        <v>Rockingham</v>
      </c>
      <c r="C1974" s="30">
        <v>93643</v>
      </c>
      <c r="D1974" s="30">
        <v>93645</v>
      </c>
      <c r="E1974" s="30">
        <v>93661</v>
      </c>
      <c r="F1974" s="30">
        <v>93284</v>
      </c>
      <c r="G1974" s="30">
        <v>92691</v>
      </c>
      <c r="H1974" s="30">
        <v>91896</v>
      </c>
      <c r="I1974" s="30">
        <v>91790</v>
      </c>
      <c r="J1974" s="30">
        <v>91657</v>
      </c>
      <c r="K1974" s="30">
        <v>91308</v>
      </c>
      <c r="L1974" s="30">
        <v>90791</v>
      </c>
      <c r="M1974" s="30">
        <v>90617</v>
      </c>
      <c r="N1974" s="30">
        <v>91010</v>
      </c>
      <c r="O1974" s="24" t="str">
        <f t="shared" si="61"/>
        <v>Rockingham County, North Carolina</v>
      </c>
    </row>
    <row r="1975" spans="1:15" x14ac:dyDescent="0.25">
      <c r="A1975" s="35" t="s">
        <v>2451</v>
      </c>
      <c r="B1975" s="28" t="str">
        <f t="shared" si="60"/>
        <v>Rowan</v>
      </c>
      <c r="C1975" s="30">
        <v>138428</v>
      </c>
      <c r="D1975" s="30">
        <v>138494</v>
      </c>
      <c r="E1975" s="30">
        <v>138331</v>
      </c>
      <c r="F1975" s="30">
        <v>137805</v>
      </c>
      <c r="G1975" s="30">
        <v>137511</v>
      </c>
      <c r="H1975" s="30">
        <v>137690</v>
      </c>
      <c r="I1975" s="30">
        <v>138080</v>
      </c>
      <c r="J1975" s="30">
        <v>138497</v>
      </c>
      <c r="K1975" s="30">
        <v>139410</v>
      </c>
      <c r="L1975" s="30">
        <v>140356</v>
      </c>
      <c r="M1975" s="30">
        <v>141128</v>
      </c>
      <c r="N1975" s="30">
        <v>142088</v>
      </c>
      <c r="O1975" s="24" t="str">
        <f t="shared" si="61"/>
        <v>Rowan County, North Carolina</v>
      </c>
    </row>
    <row r="1976" spans="1:15" x14ac:dyDescent="0.25">
      <c r="A1976" s="35" t="s">
        <v>2452</v>
      </c>
      <c r="B1976" s="28" t="str">
        <f t="shared" si="60"/>
        <v>Rutherford</v>
      </c>
      <c r="C1976" s="30">
        <v>67810</v>
      </c>
      <c r="D1976" s="30">
        <v>67819</v>
      </c>
      <c r="E1976" s="30">
        <v>67740</v>
      </c>
      <c r="F1976" s="30">
        <v>67416</v>
      </c>
      <c r="G1976" s="30">
        <v>67215</v>
      </c>
      <c r="H1976" s="30">
        <v>66847</v>
      </c>
      <c r="I1976" s="30">
        <v>66561</v>
      </c>
      <c r="J1976" s="30">
        <v>66375</v>
      </c>
      <c r="K1976" s="30">
        <v>66286</v>
      </c>
      <c r="L1976" s="30">
        <v>66529</v>
      </c>
      <c r="M1976" s="30">
        <v>66775</v>
      </c>
      <c r="N1976" s="30">
        <v>67029</v>
      </c>
      <c r="O1976" s="24" t="str">
        <f t="shared" si="61"/>
        <v>Rutherford County, North Carolina</v>
      </c>
    </row>
    <row r="1977" spans="1:15" x14ac:dyDescent="0.25">
      <c r="A1977" s="35" t="s">
        <v>2453</v>
      </c>
      <c r="B1977" s="28" t="str">
        <f t="shared" si="60"/>
        <v>Sampson</v>
      </c>
      <c r="C1977" s="30">
        <v>63431</v>
      </c>
      <c r="D1977" s="30">
        <v>63471</v>
      </c>
      <c r="E1977" s="30">
        <v>63532</v>
      </c>
      <c r="F1977" s="30">
        <v>63514</v>
      </c>
      <c r="G1977" s="30">
        <v>63708</v>
      </c>
      <c r="H1977" s="30">
        <v>63898</v>
      </c>
      <c r="I1977" s="30">
        <v>63796</v>
      </c>
      <c r="J1977" s="30">
        <v>63559</v>
      </c>
      <c r="K1977" s="30">
        <v>63225</v>
      </c>
      <c r="L1977" s="30">
        <v>63263</v>
      </c>
      <c r="M1977" s="30">
        <v>63345</v>
      </c>
      <c r="N1977" s="30">
        <v>63531</v>
      </c>
      <c r="O1977" s="24" t="str">
        <f t="shared" si="61"/>
        <v>Sampson County, North Carolina</v>
      </c>
    </row>
    <row r="1978" spans="1:15" x14ac:dyDescent="0.25">
      <c r="A1978" s="35" t="s">
        <v>2454</v>
      </c>
      <c r="B1978" s="28" t="str">
        <f t="shared" si="60"/>
        <v>Scotland</v>
      </c>
      <c r="C1978" s="30">
        <v>36157</v>
      </c>
      <c r="D1978" s="30">
        <v>36160</v>
      </c>
      <c r="E1978" s="30">
        <v>36062</v>
      </c>
      <c r="F1978" s="30">
        <v>36275</v>
      </c>
      <c r="G1978" s="30">
        <v>36093</v>
      </c>
      <c r="H1978" s="30">
        <v>35911</v>
      </c>
      <c r="I1978" s="30">
        <v>35656</v>
      </c>
      <c r="J1978" s="30">
        <v>35321</v>
      </c>
      <c r="K1978" s="30">
        <v>35309</v>
      </c>
      <c r="L1978" s="30">
        <v>35174</v>
      </c>
      <c r="M1978" s="30">
        <v>34751</v>
      </c>
      <c r="N1978" s="30">
        <v>34823</v>
      </c>
      <c r="O1978" s="24" t="str">
        <f t="shared" si="61"/>
        <v>Scotland County, North Carolina</v>
      </c>
    </row>
    <row r="1979" spans="1:15" x14ac:dyDescent="0.25">
      <c r="A1979" s="35" t="s">
        <v>2455</v>
      </c>
      <c r="B1979" s="28" t="str">
        <f t="shared" si="60"/>
        <v>Stanly</v>
      </c>
      <c r="C1979" s="30">
        <v>60585</v>
      </c>
      <c r="D1979" s="30">
        <v>60586</v>
      </c>
      <c r="E1979" s="30">
        <v>60579</v>
      </c>
      <c r="F1979" s="30">
        <v>60530</v>
      </c>
      <c r="G1979" s="30">
        <v>60462</v>
      </c>
      <c r="H1979" s="30">
        <v>60633</v>
      </c>
      <c r="I1979" s="30">
        <v>60618</v>
      </c>
      <c r="J1979" s="30">
        <v>60622</v>
      </c>
      <c r="K1979" s="30">
        <v>60826</v>
      </c>
      <c r="L1979" s="30">
        <v>61505</v>
      </c>
      <c r="M1979" s="30">
        <v>62180</v>
      </c>
      <c r="N1979" s="30">
        <v>62806</v>
      </c>
      <c r="O1979" s="24" t="str">
        <f t="shared" si="61"/>
        <v>Stanly County, North Carolina</v>
      </c>
    </row>
    <row r="1980" spans="1:15" x14ac:dyDescent="0.25">
      <c r="A1980" s="35" t="s">
        <v>2456</v>
      </c>
      <c r="B1980" s="28" t="str">
        <f t="shared" si="60"/>
        <v>Stokes</v>
      </c>
      <c r="C1980" s="30">
        <v>47401</v>
      </c>
      <c r="D1980" s="30">
        <v>47413</v>
      </c>
      <c r="E1980" s="30">
        <v>47344</v>
      </c>
      <c r="F1980" s="30">
        <v>47142</v>
      </c>
      <c r="G1980" s="30">
        <v>46731</v>
      </c>
      <c r="H1980" s="30">
        <v>46514</v>
      </c>
      <c r="I1980" s="30">
        <v>46323</v>
      </c>
      <c r="J1980" s="30">
        <v>46159</v>
      </c>
      <c r="K1980" s="30">
        <v>45920</v>
      </c>
      <c r="L1980" s="30">
        <v>45724</v>
      </c>
      <c r="M1980" s="30">
        <v>45511</v>
      </c>
      <c r="N1980" s="30">
        <v>45591</v>
      </c>
      <c r="O1980" s="24" t="str">
        <f t="shared" si="61"/>
        <v>Stokes County, North Carolina</v>
      </c>
    </row>
    <row r="1981" spans="1:15" x14ac:dyDescent="0.25">
      <c r="A1981" s="35" t="s">
        <v>2457</v>
      </c>
      <c r="B1981" s="28" t="str">
        <f t="shared" si="60"/>
        <v>Surry</v>
      </c>
      <c r="C1981" s="30">
        <v>73673</v>
      </c>
      <c r="D1981" s="30">
        <v>73749</v>
      </c>
      <c r="E1981" s="30">
        <v>73775</v>
      </c>
      <c r="F1981" s="30">
        <v>73496</v>
      </c>
      <c r="G1981" s="30">
        <v>73295</v>
      </c>
      <c r="H1981" s="30">
        <v>72643</v>
      </c>
      <c r="I1981" s="30">
        <v>72487</v>
      </c>
      <c r="J1981" s="30">
        <v>71998</v>
      </c>
      <c r="K1981" s="30">
        <v>72008</v>
      </c>
      <c r="L1981" s="30">
        <v>72107</v>
      </c>
      <c r="M1981" s="30">
        <v>71959</v>
      </c>
      <c r="N1981" s="30">
        <v>71783</v>
      </c>
      <c r="O1981" s="24" t="str">
        <f t="shared" si="61"/>
        <v>Surry County, North Carolina</v>
      </c>
    </row>
    <row r="1982" spans="1:15" x14ac:dyDescent="0.25">
      <c r="A1982" s="35" t="s">
        <v>2458</v>
      </c>
      <c r="B1982" s="28" t="str">
        <f t="shared" si="60"/>
        <v>Swain</v>
      </c>
      <c r="C1982" s="30">
        <v>13981</v>
      </c>
      <c r="D1982" s="30">
        <v>13978</v>
      </c>
      <c r="E1982" s="30">
        <v>14006</v>
      </c>
      <c r="F1982" s="30">
        <v>14007</v>
      </c>
      <c r="G1982" s="30">
        <v>14053</v>
      </c>
      <c r="H1982" s="30">
        <v>13977</v>
      </c>
      <c r="I1982" s="30">
        <v>14238</v>
      </c>
      <c r="J1982" s="30">
        <v>14326</v>
      </c>
      <c r="K1982" s="30">
        <v>14190</v>
      </c>
      <c r="L1982" s="30">
        <v>14263</v>
      </c>
      <c r="M1982" s="30">
        <v>14249</v>
      </c>
      <c r="N1982" s="30">
        <v>14271</v>
      </c>
      <c r="O1982" s="24" t="str">
        <f t="shared" si="61"/>
        <v>Swain County, North Carolina</v>
      </c>
    </row>
    <row r="1983" spans="1:15" x14ac:dyDescent="0.25">
      <c r="A1983" s="35" t="s">
        <v>2459</v>
      </c>
      <c r="B1983" s="28" t="str">
        <f t="shared" si="60"/>
        <v>Transylvania</v>
      </c>
      <c r="C1983" s="30">
        <v>33090</v>
      </c>
      <c r="D1983" s="30">
        <v>33089</v>
      </c>
      <c r="E1983" s="30">
        <v>33085</v>
      </c>
      <c r="F1983" s="30">
        <v>32807</v>
      </c>
      <c r="G1983" s="30">
        <v>32835</v>
      </c>
      <c r="H1983" s="30">
        <v>32827</v>
      </c>
      <c r="I1983" s="30">
        <v>32952</v>
      </c>
      <c r="J1983" s="30">
        <v>33157</v>
      </c>
      <c r="K1983" s="30">
        <v>33393</v>
      </c>
      <c r="L1983" s="30">
        <v>33767</v>
      </c>
      <c r="M1983" s="30">
        <v>34173</v>
      </c>
      <c r="N1983" s="30">
        <v>34385</v>
      </c>
      <c r="O1983" s="24" t="str">
        <f t="shared" si="61"/>
        <v>Transylvania County, North Carolina</v>
      </c>
    </row>
    <row r="1984" spans="1:15" x14ac:dyDescent="0.25">
      <c r="A1984" s="35" t="s">
        <v>2460</v>
      </c>
      <c r="B1984" s="28" t="str">
        <f t="shared" si="60"/>
        <v>Tyrrell</v>
      </c>
      <c r="C1984" s="30">
        <v>4407</v>
      </c>
      <c r="D1984" s="30">
        <v>4407</v>
      </c>
      <c r="E1984" s="30">
        <v>4415</v>
      </c>
      <c r="F1984" s="30">
        <v>4337</v>
      </c>
      <c r="G1984" s="30">
        <v>4122</v>
      </c>
      <c r="H1984" s="30">
        <v>4104</v>
      </c>
      <c r="I1984" s="30">
        <v>4120</v>
      </c>
      <c r="J1984" s="30">
        <v>4139</v>
      </c>
      <c r="K1984" s="30">
        <v>4024</v>
      </c>
      <c r="L1984" s="30">
        <v>4180</v>
      </c>
      <c r="M1984" s="30">
        <v>4115</v>
      </c>
      <c r="N1984" s="30">
        <v>4016</v>
      </c>
      <c r="O1984" s="24" t="str">
        <f t="shared" si="61"/>
        <v>Tyrrell County, North Carolina</v>
      </c>
    </row>
    <row r="1985" spans="1:15" x14ac:dyDescent="0.25">
      <c r="A1985" s="35" t="s">
        <v>2461</v>
      </c>
      <c r="B1985" s="28" t="str">
        <f t="shared" si="60"/>
        <v>Union</v>
      </c>
      <c r="C1985" s="30">
        <v>201292</v>
      </c>
      <c r="D1985" s="30">
        <v>201332</v>
      </c>
      <c r="E1985" s="30">
        <v>202109</v>
      </c>
      <c r="F1985" s="30">
        <v>204888</v>
      </c>
      <c r="G1985" s="30">
        <v>208069</v>
      </c>
      <c r="H1985" s="30">
        <v>212200</v>
      </c>
      <c r="I1985" s="30">
        <v>217689</v>
      </c>
      <c r="J1985" s="30">
        <v>221949</v>
      </c>
      <c r="K1985" s="30">
        <v>226279</v>
      </c>
      <c r="L1985" s="30">
        <v>231350</v>
      </c>
      <c r="M1985" s="30">
        <v>235830</v>
      </c>
      <c r="N1985" s="30">
        <v>239859</v>
      </c>
      <c r="O1985" s="24" t="str">
        <f t="shared" si="61"/>
        <v>Union County, North Carolina</v>
      </c>
    </row>
    <row r="1986" spans="1:15" x14ac:dyDescent="0.25">
      <c r="A1986" s="35" t="s">
        <v>2462</v>
      </c>
      <c r="B1986" s="28" t="str">
        <f t="shared" si="60"/>
        <v>Vance</v>
      </c>
      <c r="C1986" s="30">
        <v>45422</v>
      </c>
      <c r="D1986" s="30">
        <v>45408</v>
      </c>
      <c r="E1986" s="30">
        <v>45289</v>
      </c>
      <c r="F1986" s="30">
        <v>45288</v>
      </c>
      <c r="G1986" s="30">
        <v>45093</v>
      </c>
      <c r="H1986" s="30">
        <v>44491</v>
      </c>
      <c r="I1986" s="30">
        <v>44517</v>
      </c>
      <c r="J1986" s="30">
        <v>44459</v>
      </c>
      <c r="K1986" s="30">
        <v>44485</v>
      </c>
      <c r="L1986" s="30">
        <v>44281</v>
      </c>
      <c r="M1986" s="30">
        <v>44635</v>
      </c>
      <c r="N1986" s="30">
        <v>44535</v>
      </c>
      <c r="O1986" s="24" t="str">
        <f t="shared" si="61"/>
        <v>Vance County, North Carolina</v>
      </c>
    </row>
    <row r="1987" spans="1:15" x14ac:dyDescent="0.25">
      <c r="A1987" s="35" t="s">
        <v>2463</v>
      </c>
      <c r="B1987" s="28" t="str">
        <f t="shared" si="60"/>
        <v>Wake</v>
      </c>
      <c r="C1987" s="30">
        <v>900993</v>
      </c>
      <c r="D1987" s="30">
        <v>901052</v>
      </c>
      <c r="E1987" s="30">
        <v>906870</v>
      </c>
      <c r="F1987" s="30">
        <v>928787</v>
      </c>
      <c r="G1987" s="30">
        <v>952060</v>
      </c>
      <c r="H1987" s="30">
        <v>974198</v>
      </c>
      <c r="I1987" s="30">
        <v>997788</v>
      </c>
      <c r="J1987" s="30">
        <v>1022319</v>
      </c>
      <c r="K1987" s="30">
        <v>1048335</v>
      </c>
      <c r="L1987" s="30">
        <v>1071706</v>
      </c>
      <c r="M1987" s="30">
        <v>1091273</v>
      </c>
      <c r="N1987" s="30">
        <v>1111761</v>
      </c>
      <c r="O1987" s="24" t="str">
        <f t="shared" si="61"/>
        <v>Wake County, North Carolina</v>
      </c>
    </row>
    <row r="1988" spans="1:15" x14ac:dyDescent="0.25">
      <c r="A1988" s="35" t="s">
        <v>2464</v>
      </c>
      <c r="B1988" s="28" t="str">
        <f t="shared" si="60"/>
        <v>Warren</v>
      </c>
      <c r="C1988" s="30">
        <v>20972</v>
      </c>
      <c r="D1988" s="30">
        <v>21028</v>
      </c>
      <c r="E1988" s="30">
        <v>20987</v>
      </c>
      <c r="F1988" s="30">
        <v>20998</v>
      </c>
      <c r="G1988" s="30">
        <v>20764</v>
      </c>
      <c r="H1988" s="30">
        <v>20600</v>
      </c>
      <c r="I1988" s="30">
        <v>20385</v>
      </c>
      <c r="J1988" s="30">
        <v>20207</v>
      </c>
      <c r="K1988" s="30">
        <v>19884</v>
      </c>
      <c r="L1988" s="30">
        <v>19849</v>
      </c>
      <c r="M1988" s="30">
        <v>19819</v>
      </c>
      <c r="N1988" s="30">
        <v>19731</v>
      </c>
      <c r="O1988" s="24" t="str">
        <f t="shared" si="61"/>
        <v>Warren County, North Carolina</v>
      </c>
    </row>
    <row r="1989" spans="1:15" x14ac:dyDescent="0.25">
      <c r="A1989" s="35" t="s">
        <v>2465</v>
      </c>
      <c r="B1989" s="28" t="str">
        <f t="shared" si="60"/>
        <v>Washington</v>
      </c>
      <c r="C1989" s="30">
        <v>13228</v>
      </c>
      <c r="D1989" s="30">
        <v>13193</v>
      </c>
      <c r="E1989" s="30">
        <v>13119</v>
      </c>
      <c r="F1989" s="30">
        <v>12904</v>
      </c>
      <c r="G1989" s="30">
        <v>12662</v>
      </c>
      <c r="H1989" s="30">
        <v>12669</v>
      </c>
      <c r="I1989" s="30">
        <v>12476</v>
      </c>
      <c r="J1989" s="30">
        <v>12247</v>
      </c>
      <c r="K1989" s="30">
        <v>12070</v>
      </c>
      <c r="L1989" s="30">
        <v>11944</v>
      </c>
      <c r="M1989" s="30">
        <v>11769</v>
      </c>
      <c r="N1989" s="30">
        <v>11580</v>
      </c>
      <c r="O1989" s="24" t="str">
        <f t="shared" si="61"/>
        <v>Washington County, North Carolina</v>
      </c>
    </row>
    <row r="1990" spans="1:15" x14ac:dyDescent="0.25">
      <c r="A1990" s="35" t="s">
        <v>2466</v>
      </c>
      <c r="B1990" s="28" t="str">
        <f t="shared" si="60"/>
        <v>Watauga</v>
      </c>
      <c r="C1990" s="30">
        <v>51079</v>
      </c>
      <c r="D1990" s="30">
        <v>51061</v>
      </c>
      <c r="E1990" s="30">
        <v>50972</v>
      </c>
      <c r="F1990" s="30">
        <v>51626</v>
      </c>
      <c r="G1990" s="30">
        <v>52062</v>
      </c>
      <c r="H1990" s="30">
        <v>52295</v>
      </c>
      <c r="I1990" s="30">
        <v>52395</v>
      </c>
      <c r="J1990" s="30">
        <v>53093</v>
      </c>
      <c r="K1990" s="30">
        <v>54140</v>
      </c>
      <c r="L1990" s="30">
        <v>55181</v>
      </c>
      <c r="M1990" s="30">
        <v>56034</v>
      </c>
      <c r="N1990" s="30">
        <v>56177</v>
      </c>
      <c r="O1990" s="24" t="str">
        <f t="shared" si="61"/>
        <v>Watauga County, North Carolina</v>
      </c>
    </row>
    <row r="1991" spans="1:15" x14ac:dyDescent="0.25">
      <c r="A1991" s="35" t="s">
        <v>2467</v>
      </c>
      <c r="B1991" s="28" t="str">
        <f t="shared" ref="B1991:B2054" si="62">LEFT(A1991,FIND("County",A1991,1)-2)</f>
        <v>Wayne</v>
      </c>
      <c r="C1991" s="30">
        <v>122623</v>
      </c>
      <c r="D1991" s="30">
        <v>122661</v>
      </c>
      <c r="E1991" s="30">
        <v>122886</v>
      </c>
      <c r="F1991" s="30">
        <v>124038</v>
      </c>
      <c r="G1991" s="30">
        <v>124559</v>
      </c>
      <c r="H1991" s="30">
        <v>124587</v>
      </c>
      <c r="I1991" s="30">
        <v>124586</v>
      </c>
      <c r="J1991" s="30">
        <v>124342</v>
      </c>
      <c r="K1991" s="30">
        <v>124269</v>
      </c>
      <c r="L1991" s="30">
        <v>123034</v>
      </c>
      <c r="M1991" s="30">
        <v>123237</v>
      </c>
      <c r="N1991" s="30">
        <v>123131</v>
      </c>
      <c r="O1991" s="24" t="str">
        <f t="shared" ref="O1991:O2054" si="63">A1991</f>
        <v>Wayne County, North Carolina</v>
      </c>
    </row>
    <row r="1992" spans="1:15" x14ac:dyDescent="0.25">
      <c r="A1992" s="35" t="s">
        <v>2468</v>
      </c>
      <c r="B1992" s="28" t="str">
        <f t="shared" si="62"/>
        <v>Wilkes</v>
      </c>
      <c r="C1992" s="30">
        <v>69340</v>
      </c>
      <c r="D1992" s="30">
        <v>69310</v>
      </c>
      <c r="E1992" s="30">
        <v>69264</v>
      </c>
      <c r="F1992" s="30">
        <v>68948</v>
      </c>
      <c r="G1992" s="30">
        <v>68906</v>
      </c>
      <c r="H1992" s="30">
        <v>68609</v>
      </c>
      <c r="I1992" s="30">
        <v>68414</v>
      </c>
      <c r="J1992" s="30">
        <v>68298</v>
      </c>
      <c r="K1992" s="30">
        <v>68581</v>
      </c>
      <c r="L1992" s="30">
        <v>68489</v>
      </c>
      <c r="M1992" s="30">
        <v>68563</v>
      </c>
      <c r="N1992" s="30">
        <v>68412</v>
      </c>
      <c r="O1992" s="24" t="str">
        <f t="shared" si="63"/>
        <v>Wilkes County, North Carolina</v>
      </c>
    </row>
    <row r="1993" spans="1:15" x14ac:dyDescent="0.25">
      <c r="A1993" s="35" t="s">
        <v>2469</v>
      </c>
      <c r="B1993" s="28" t="str">
        <f t="shared" si="62"/>
        <v>Wilson</v>
      </c>
      <c r="C1993" s="30">
        <v>81234</v>
      </c>
      <c r="D1993" s="30">
        <v>81224</v>
      </c>
      <c r="E1993" s="30">
        <v>81294</v>
      </c>
      <c r="F1993" s="30">
        <v>81155</v>
      </c>
      <c r="G1993" s="30">
        <v>81396</v>
      </c>
      <c r="H1993" s="30">
        <v>81189</v>
      </c>
      <c r="I1993" s="30">
        <v>81007</v>
      </c>
      <c r="J1993" s="30">
        <v>81240</v>
      </c>
      <c r="K1993" s="30">
        <v>81307</v>
      </c>
      <c r="L1993" s="30">
        <v>81436</v>
      </c>
      <c r="M1993" s="30">
        <v>81392</v>
      </c>
      <c r="N1993" s="30">
        <v>81801</v>
      </c>
      <c r="O1993" s="24" t="str">
        <f t="shared" si="63"/>
        <v>Wilson County, North Carolina</v>
      </c>
    </row>
    <row r="1994" spans="1:15" x14ac:dyDescent="0.25">
      <c r="A1994" s="35" t="s">
        <v>2470</v>
      </c>
      <c r="B1994" s="28" t="str">
        <f t="shared" si="62"/>
        <v>Yadkin</v>
      </c>
      <c r="C1994" s="30">
        <v>38406</v>
      </c>
      <c r="D1994" s="30">
        <v>38409</v>
      </c>
      <c r="E1994" s="30">
        <v>38433</v>
      </c>
      <c r="F1994" s="30">
        <v>38342</v>
      </c>
      <c r="G1994" s="30">
        <v>38144</v>
      </c>
      <c r="H1994" s="30">
        <v>38063</v>
      </c>
      <c r="I1994" s="30">
        <v>37846</v>
      </c>
      <c r="J1994" s="30">
        <v>37619</v>
      </c>
      <c r="K1994" s="30">
        <v>37653</v>
      </c>
      <c r="L1994" s="30">
        <v>37588</v>
      </c>
      <c r="M1994" s="30">
        <v>37481</v>
      </c>
      <c r="N1994" s="30">
        <v>37667</v>
      </c>
      <c r="O1994" s="24" t="str">
        <f t="shared" si="63"/>
        <v>Yadkin County, North Carolina</v>
      </c>
    </row>
    <row r="1995" spans="1:15" x14ac:dyDescent="0.25">
      <c r="A1995" s="35" t="s">
        <v>2471</v>
      </c>
      <c r="B1995" s="28" t="str">
        <f t="shared" si="62"/>
        <v>Yancey</v>
      </c>
      <c r="C1995" s="30">
        <v>17818</v>
      </c>
      <c r="D1995" s="30">
        <v>17817</v>
      </c>
      <c r="E1995" s="30">
        <v>17805</v>
      </c>
      <c r="F1995" s="30">
        <v>17690</v>
      </c>
      <c r="G1995" s="30">
        <v>17624</v>
      </c>
      <c r="H1995" s="30">
        <v>17549</v>
      </c>
      <c r="I1995" s="30">
        <v>17542</v>
      </c>
      <c r="J1995" s="30">
        <v>17550</v>
      </c>
      <c r="K1995" s="30">
        <v>17610</v>
      </c>
      <c r="L1995" s="30">
        <v>17697</v>
      </c>
      <c r="M1995" s="30">
        <v>17873</v>
      </c>
      <c r="N1995" s="30">
        <v>18069</v>
      </c>
      <c r="O1995" s="24" t="str">
        <f t="shared" si="63"/>
        <v>Yancey County, North Carolina</v>
      </c>
    </row>
    <row r="1996" spans="1:15" x14ac:dyDescent="0.25">
      <c r="A1996" s="35" t="s">
        <v>2472</v>
      </c>
      <c r="B1996" s="28" t="str">
        <f t="shared" si="62"/>
        <v>Adams</v>
      </c>
      <c r="C1996" s="30">
        <v>2343</v>
      </c>
      <c r="D1996" s="30">
        <v>2343</v>
      </c>
      <c r="E1996" s="30">
        <v>2350</v>
      </c>
      <c r="F1996" s="30">
        <v>2311</v>
      </c>
      <c r="G1996" s="30">
        <v>2333</v>
      </c>
      <c r="H1996" s="30">
        <v>2391</v>
      </c>
      <c r="I1996" s="30">
        <v>2388</v>
      </c>
      <c r="J1996" s="30">
        <v>2397</v>
      </c>
      <c r="K1996" s="30">
        <v>2344</v>
      </c>
      <c r="L1996" s="30">
        <v>2324</v>
      </c>
      <c r="M1996" s="30">
        <v>2276</v>
      </c>
      <c r="N1996" s="30">
        <v>2216</v>
      </c>
      <c r="O1996" s="24" t="str">
        <f t="shared" si="63"/>
        <v>Adams County, North Dakota</v>
      </c>
    </row>
    <row r="1997" spans="1:15" x14ac:dyDescent="0.25">
      <c r="A1997" s="35" t="s">
        <v>2473</v>
      </c>
      <c r="B1997" s="28" t="str">
        <f t="shared" si="62"/>
        <v>Barnes</v>
      </c>
      <c r="C1997" s="30">
        <v>11066</v>
      </c>
      <c r="D1997" s="30">
        <v>11064</v>
      </c>
      <c r="E1997" s="30">
        <v>11065</v>
      </c>
      <c r="F1997" s="30">
        <v>11113</v>
      </c>
      <c r="G1997" s="30">
        <v>11006</v>
      </c>
      <c r="H1997" s="30">
        <v>11115</v>
      </c>
      <c r="I1997" s="30">
        <v>11062</v>
      </c>
      <c r="J1997" s="30">
        <v>11008</v>
      </c>
      <c r="K1997" s="30">
        <v>10899</v>
      </c>
      <c r="L1997" s="30">
        <v>10679</v>
      </c>
      <c r="M1997" s="30">
        <v>10527</v>
      </c>
      <c r="N1997" s="30">
        <v>10415</v>
      </c>
      <c r="O1997" s="24" t="str">
        <f t="shared" si="63"/>
        <v>Barnes County, North Dakota</v>
      </c>
    </row>
    <row r="1998" spans="1:15" x14ac:dyDescent="0.25">
      <c r="A1998" s="35" t="s">
        <v>2474</v>
      </c>
      <c r="B1998" s="28" t="str">
        <f t="shared" si="62"/>
        <v>Benson</v>
      </c>
      <c r="C1998" s="30">
        <v>6660</v>
      </c>
      <c r="D1998" s="30">
        <v>6660</v>
      </c>
      <c r="E1998" s="30">
        <v>6677</v>
      </c>
      <c r="F1998" s="30">
        <v>6688</v>
      </c>
      <c r="G1998" s="30">
        <v>6771</v>
      </c>
      <c r="H1998" s="30">
        <v>6899</v>
      </c>
      <c r="I1998" s="30">
        <v>6885</v>
      </c>
      <c r="J1998" s="30">
        <v>6820</v>
      </c>
      <c r="K1998" s="30">
        <v>6840</v>
      </c>
      <c r="L1998" s="30">
        <v>6916</v>
      </c>
      <c r="M1998" s="30">
        <v>6958</v>
      </c>
      <c r="N1998" s="30">
        <v>6832</v>
      </c>
      <c r="O1998" s="24" t="str">
        <f t="shared" si="63"/>
        <v>Benson County, North Dakota</v>
      </c>
    </row>
    <row r="1999" spans="1:15" x14ac:dyDescent="0.25">
      <c r="A1999" s="35" t="s">
        <v>2475</v>
      </c>
      <c r="B1999" s="28" t="str">
        <f t="shared" si="62"/>
        <v>Billings</v>
      </c>
      <c r="C1999" s="30">
        <v>783</v>
      </c>
      <c r="D1999" s="30">
        <v>784</v>
      </c>
      <c r="E1999" s="30">
        <v>783</v>
      </c>
      <c r="F1999" s="30">
        <v>844</v>
      </c>
      <c r="G1999" s="30">
        <v>919</v>
      </c>
      <c r="H1999" s="30">
        <v>912</v>
      </c>
      <c r="I1999" s="30">
        <v>920</v>
      </c>
      <c r="J1999" s="30">
        <v>948</v>
      </c>
      <c r="K1999" s="30">
        <v>948</v>
      </c>
      <c r="L1999" s="30">
        <v>922</v>
      </c>
      <c r="M1999" s="30">
        <v>918</v>
      </c>
      <c r="N1999" s="30">
        <v>928</v>
      </c>
      <c r="O1999" s="24" t="str">
        <f t="shared" si="63"/>
        <v>Billings County, North Dakota</v>
      </c>
    </row>
    <row r="2000" spans="1:15" x14ac:dyDescent="0.25">
      <c r="A2000" s="34" t="s">
        <v>475</v>
      </c>
      <c r="B2000" s="28" t="str">
        <f t="shared" si="62"/>
        <v>Bottineau</v>
      </c>
      <c r="C2000" s="30">
        <v>6429</v>
      </c>
      <c r="D2000" s="30">
        <v>6429</v>
      </c>
      <c r="E2000" s="30">
        <v>6440</v>
      </c>
      <c r="F2000" s="30">
        <v>6499</v>
      </c>
      <c r="G2000" s="30">
        <v>6606</v>
      </c>
      <c r="H2000" s="30">
        <v>6738</v>
      </c>
      <c r="I2000" s="30">
        <v>6684</v>
      </c>
      <c r="J2000" s="30">
        <v>6734</v>
      </c>
      <c r="K2000" s="30">
        <v>6573</v>
      </c>
      <c r="L2000" s="30">
        <v>6522</v>
      </c>
      <c r="M2000" s="30">
        <v>6398</v>
      </c>
      <c r="N2000" s="30">
        <v>6282</v>
      </c>
      <c r="O2000" s="24" t="str">
        <f t="shared" si="63"/>
        <v>Bottineau County, North Dakota</v>
      </c>
    </row>
    <row r="2001" spans="1:15" x14ac:dyDescent="0.25">
      <c r="A2001" s="35" t="s">
        <v>2476</v>
      </c>
      <c r="B2001" s="28" t="str">
        <f t="shared" si="62"/>
        <v>Bowman</v>
      </c>
      <c r="C2001" s="30">
        <v>3151</v>
      </c>
      <c r="D2001" s="30">
        <v>3151</v>
      </c>
      <c r="E2001" s="30">
        <v>3143</v>
      </c>
      <c r="F2001" s="30">
        <v>3143</v>
      </c>
      <c r="G2001" s="30">
        <v>3211</v>
      </c>
      <c r="H2001" s="30">
        <v>3214</v>
      </c>
      <c r="I2001" s="30">
        <v>3238</v>
      </c>
      <c r="J2001" s="30">
        <v>3277</v>
      </c>
      <c r="K2001" s="30">
        <v>3222</v>
      </c>
      <c r="L2001" s="30">
        <v>3150</v>
      </c>
      <c r="M2001" s="30">
        <v>3067</v>
      </c>
      <c r="N2001" s="30">
        <v>3024</v>
      </c>
      <c r="O2001" s="24" t="str">
        <f t="shared" si="63"/>
        <v>Bowman County, North Dakota</v>
      </c>
    </row>
    <row r="2002" spans="1:15" x14ac:dyDescent="0.25">
      <c r="A2002" s="35" t="s">
        <v>2477</v>
      </c>
      <c r="B2002" s="28" t="str">
        <f t="shared" si="62"/>
        <v>Burke</v>
      </c>
      <c r="C2002" s="30">
        <v>1968</v>
      </c>
      <c r="D2002" s="30">
        <v>1968</v>
      </c>
      <c r="E2002" s="30">
        <v>1971</v>
      </c>
      <c r="F2002" s="30">
        <v>2062</v>
      </c>
      <c r="G2002" s="30">
        <v>2182</v>
      </c>
      <c r="H2002" s="30">
        <v>2305</v>
      </c>
      <c r="I2002" s="30">
        <v>2261</v>
      </c>
      <c r="J2002" s="30">
        <v>2344</v>
      </c>
      <c r="K2002" s="30">
        <v>2227</v>
      </c>
      <c r="L2002" s="30">
        <v>2128</v>
      </c>
      <c r="M2002" s="30">
        <v>2094</v>
      </c>
      <c r="N2002" s="30">
        <v>2115</v>
      </c>
      <c r="O2002" s="24" t="str">
        <f t="shared" si="63"/>
        <v>Burke County, North Dakota</v>
      </c>
    </row>
    <row r="2003" spans="1:15" x14ac:dyDescent="0.25">
      <c r="A2003" s="35" t="s">
        <v>2478</v>
      </c>
      <c r="B2003" s="28" t="str">
        <f t="shared" si="62"/>
        <v>Burleigh</v>
      </c>
      <c r="C2003" s="30">
        <v>81308</v>
      </c>
      <c r="D2003" s="30">
        <v>81308</v>
      </c>
      <c r="E2003" s="30">
        <v>81701</v>
      </c>
      <c r="F2003" s="30">
        <v>83295</v>
      </c>
      <c r="G2003" s="30">
        <v>85748</v>
      </c>
      <c r="H2003" s="30">
        <v>88422</v>
      </c>
      <c r="I2003" s="30">
        <v>90510</v>
      </c>
      <c r="J2003" s="30">
        <v>93211</v>
      </c>
      <c r="K2003" s="30">
        <v>94606</v>
      </c>
      <c r="L2003" s="30">
        <v>95247</v>
      </c>
      <c r="M2003" s="30">
        <v>95276</v>
      </c>
      <c r="N2003" s="30">
        <v>95626</v>
      </c>
      <c r="O2003" s="24" t="str">
        <f t="shared" si="63"/>
        <v>Burleigh County, North Dakota</v>
      </c>
    </row>
    <row r="2004" spans="1:15" x14ac:dyDescent="0.25">
      <c r="A2004" s="35" t="s">
        <v>2479</v>
      </c>
      <c r="B2004" s="28" t="str">
        <f t="shared" si="62"/>
        <v>Cass</v>
      </c>
      <c r="C2004" s="30">
        <v>149778</v>
      </c>
      <c r="D2004" s="30">
        <v>149778</v>
      </c>
      <c r="E2004" s="30">
        <v>150308</v>
      </c>
      <c r="F2004" s="30">
        <v>153301</v>
      </c>
      <c r="G2004" s="30">
        <v>157416</v>
      </c>
      <c r="H2004" s="30">
        <v>162837</v>
      </c>
      <c r="I2004" s="30">
        <v>166552</v>
      </c>
      <c r="J2004" s="30">
        <v>170722</v>
      </c>
      <c r="K2004" s="30">
        <v>174189</v>
      </c>
      <c r="L2004" s="30">
        <v>177745</v>
      </c>
      <c r="M2004" s="30">
        <v>180294</v>
      </c>
      <c r="N2004" s="30">
        <v>181923</v>
      </c>
      <c r="O2004" s="24" t="str">
        <f t="shared" si="63"/>
        <v>Cass County, North Dakota</v>
      </c>
    </row>
    <row r="2005" spans="1:15" x14ac:dyDescent="0.25">
      <c r="A2005" s="35" t="s">
        <v>2480</v>
      </c>
      <c r="B2005" s="28" t="str">
        <f t="shared" si="62"/>
        <v>Cavalier</v>
      </c>
      <c r="C2005" s="30">
        <v>3993</v>
      </c>
      <c r="D2005" s="30">
        <v>3994</v>
      </c>
      <c r="E2005" s="30">
        <v>3987</v>
      </c>
      <c r="F2005" s="30">
        <v>3946</v>
      </c>
      <c r="G2005" s="30">
        <v>3923</v>
      </c>
      <c r="H2005" s="30">
        <v>3856</v>
      </c>
      <c r="I2005" s="30">
        <v>3847</v>
      </c>
      <c r="J2005" s="30">
        <v>3827</v>
      </c>
      <c r="K2005" s="30">
        <v>3824</v>
      </c>
      <c r="L2005" s="30">
        <v>3793</v>
      </c>
      <c r="M2005" s="30">
        <v>3811</v>
      </c>
      <c r="N2005" s="30">
        <v>3762</v>
      </c>
      <c r="O2005" s="24" t="str">
        <f t="shared" si="63"/>
        <v>Cavalier County, North Dakota</v>
      </c>
    </row>
    <row r="2006" spans="1:15" x14ac:dyDescent="0.25">
      <c r="A2006" s="35" t="s">
        <v>2481</v>
      </c>
      <c r="B2006" s="28" t="str">
        <f t="shared" si="62"/>
        <v>Dickey</v>
      </c>
      <c r="C2006" s="30">
        <v>5289</v>
      </c>
      <c r="D2006" s="30">
        <v>5287</v>
      </c>
      <c r="E2006" s="30">
        <v>5278</v>
      </c>
      <c r="F2006" s="30">
        <v>5254</v>
      </c>
      <c r="G2006" s="30">
        <v>5220</v>
      </c>
      <c r="H2006" s="30">
        <v>5194</v>
      </c>
      <c r="I2006" s="30">
        <v>5101</v>
      </c>
      <c r="J2006" s="30">
        <v>5054</v>
      </c>
      <c r="K2006" s="30">
        <v>4987</v>
      </c>
      <c r="L2006" s="30">
        <v>4848</v>
      </c>
      <c r="M2006" s="30">
        <v>4931</v>
      </c>
      <c r="N2006" s="30">
        <v>4872</v>
      </c>
      <c r="O2006" s="24" t="str">
        <f t="shared" si="63"/>
        <v>Dickey County, North Dakota</v>
      </c>
    </row>
    <row r="2007" spans="1:15" x14ac:dyDescent="0.25">
      <c r="A2007" s="35" t="s">
        <v>2482</v>
      </c>
      <c r="B2007" s="28" t="str">
        <f t="shared" si="62"/>
        <v>Divide</v>
      </c>
      <c r="C2007" s="30">
        <v>2071</v>
      </c>
      <c r="D2007" s="30">
        <v>2071</v>
      </c>
      <c r="E2007" s="30">
        <v>2080</v>
      </c>
      <c r="F2007" s="30">
        <v>2143</v>
      </c>
      <c r="G2007" s="30">
        <v>2248</v>
      </c>
      <c r="H2007" s="30">
        <v>2327</v>
      </c>
      <c r="I2007" s="30">
        <v>2428</v>
      </c>
      <c r="J2007" s="30">
        <v>2459</v>
      </c>
      <c r="K2007" s="30">
        <v>2391</v>
      </c>
      <c r="L2007" s="30">
        <v>2295</v>
      </c>
      <c r="M2007" s="30">
        <v>2264</v>
      </c>
      <c r="N2007" s="30">
        <v>2264</v>
      </c>
      <c r="O2007" s="24" t="str">
        <f t="shared" si="63"/>
        <v>Divide County, North Dakota</v>
      </c>
    </row>
    <row r="2008" spans="1:15" x14ac:dyDescent="0.25">
      <c r="A2008" s="35" t="s">
        <v>2483</v>
      </c>
      <c r="B2008" s="28" t="str">
        <f t="shared" si="62"/>
        <v>Dunn</v>
      </c>
      <c r="C2008" s="30">
        <v>3536</v>
      </c>
      <c r="D2008" s="30">
        <v>3536</v>
      </c>
      <c r="E2008" s="30">
        <v>3536</v>
      </c>
      <c r="F2008" s="30">
        <v>3724</v>
      </c>
      <c r="G2008" s="30">
        <v>3958</v>
      </c>
      <c r="H2008" s="30">
        <v>4140</v>
      </c>
      <c r="I2008" s="30">
        <v>4375</v>
      </c>
      <c r="J2008" s="30">
        <v>4578</v>
      </c>
      <c r="K2008" s="30">
        <v>4372</v>
      </c>
      <c r="L2008" s="30">
        <v>4274</v>
      </c>
      <c r="M2008" s="30">
        <v>4328</v>
      </c>
      <c r="N2008" s="30">
        <v>4424</v>
      </c>
      <c r="O2008" s="24" t="str">
        <f t="shared" si="63"/>
        <v>Dunn County, North Dakota</v>
      </c>
    </row>
    <row r="2009" spans="1:15" x14ac:dyDescent="0.25">
      <c r="A2009" s="35" t="s">
        <v>2484</v>
      </c>
      <c r="B2009" s="28" t="str">
        <f t="shared" si="62"/>
        <v>Eddy</v>
      </c>
      <c r="C2009" s="30">
        <v>2385</v>
      </c>
      <c r="D2009" s="30">
        <v>2385</v>
      </c>
      <c r="E2009" s="30">
        <v>2385</v>
      </c>
      <c r="F2009" s="30">
        <v>2346</v>
      </c>
      <c r="G2009" s="30">
        <v>2350</v>
      </c>
      <c r="H2009" s="30">
        <v>2367</v>
      </c>
      <c r="I2009" s="30">
        <v>2329</v>
      </c>
      <c r="J2009" s="30">
        <v>2305</v>
      </c>
      <c r="K2009" s="30">
        <v>2288</v>
      </c>
      <c r="L2009" s="30">
        <v>2315</v>
      </c>
      <c r="M2009" s="30">
        <v>2309</v>
      </c>
      <c r="N2009" s="30">
        <v>2287</v>
      </c>
      <c r="O2009" s="24" t="str">
        <f t="shared" si="63"/>
        <v>Eddy County, North Dakota</v>
      </c>
    </row>
    <row r="2010" spans="1:15" x14ac:dyDescent="0.25">
      <c r="A2010" s="35" t="s">
        <v>2485</v>
      </c>
      <c r="B2010" s="28" t="str">
        <f t="shared" si="62"/>
        <v>Emmons</v>
      </c>
      <c r="C2010" s="30">
        <v>3550</v>
      </c>
      <c r="D2010" s="30">
        <v>3545</v>
      </c>
      <c r="E2010" s="30">
        <v>3531</v>
      </c>
      <c r="F2010" s="30">
        <v>3506</v>
      </c>
      <c r="G2010" s="30">
        <v>3470</v>
      </c>
      <c r="H2010" s="30">
        <v>3476</v>
      </c>
      <c r="I2010" s="30">
        <v>3412</v>
      </c>
      <c r="J2010" s="30">
        <v>3397</v>
      </c>
      <c r="K2010" s="30">
        <v>3338</v>
      </c>
      <c r="L2010" s="30">
        <v>3298</v>
      </c>
      <c r="M2010" s="30">
        <v>3278</v>
      </c>
      <c r="N2010" s="30">
        <v>3241</v>
      </c>
      <c r="O2010" s="24" t="str">
        <f t="shared" si="63"/>
        <v>Emmons County, North Dakota</v>
      </c>
    </row>
    <row r="2011" spans="1:15" x14ac:dyDescent="0.25">
      <c r="A2011" s="35" t="s">
        <v>2486</v>
      </c>
      <c r="B2011" s="28" t="str">
        <f t="shared" si="62"/>
        <v>Foster</v>
      </c>
      <c r="C2011" s="30">
        <v>3343</v>
      </c>
      <c r="D2011" s="30">
        <v>3337</v>
      </c>
      <c r="E2011" s="30">
        <v>3343</v>
      </c>
      <c r="F2011" s="30">
        <v>3343</v>
      </c>
      <c r="G2011" s="30">
        <v>3380</v>
      </c>
      <c r="H2011" s="30">
        <v>3355</v>
      </c>
      <c r="I2011" s="30">
        <v>3337</v>
      </c>
      <c r="J2011" s="30">
        <v>3325</v>
      </c>
      <c r="K2011" s="30">
        <v>3309</v>
      </c>
      <c r="L2011" s="30">
        <v>3249</v>
      </c>
      <c r="M2011" s="30">
        <v>3207</v>
      </c>
      <c r="N2011" s="30">
        <v>3210</v>
      </c>
      <c r="O2011" s="24" t="str">
        <f t="shared" si="63"/>
        <v>Foster County, North Dakota</v>
      </c>
    </row>
    <row r="2012" spans="1:15" x14ac:dyDescent="0.25">
      <c r="A2012" s="35" t="s">
        <v>2487</v>
      </c>
      <c r="B2012" s="28" t="str">
        <f t="shared" si="62"/>
        <v>Golden Valley</v>
      </c>
      <c r="C2012" s="30">
        <v>1680</v>
      </c>
      <c r="D2012" s="30">
        <v>1680</v>
      </c>
      <c r="E2012" s="30">
        <v>1682</v>
      </c>
      <c r="F2012" s="30">
        <v>1758</v>
      </c>
      <c r="G2012" s="30">
        <v>1806</v>
      </c>
      <c r="H2012" s="30">
        <v>1825</v>
      </c>
      <c r="I2012" s="30">
        <v>1852</v>
      </c>
      <c r="J2012" s="30">
        <v>1879</v>
      </c>
      <c r="K2012" s="30">
        <v>1857</v>
      </c>
      <c r="L2012" s="30">
        <v>1779</v>
      </c>
      <c r="M2012" s="30">
        <v>1763</v>
      </c>
      <c r="N2012" s="30">
        <v>1761</v>
      </c>
      <c r="O2012" s="24" t="str">
        <f t="shared" si="63"/>
        <v>Golden Valley County, North Dakota</v>
      </c>
    </row>
    <row r="2013" spans="1:15" x14ac:dyDescent="0.25">
      <c r="A2013" s="35" t="s">
        <v>2488</v>
      </c>
      <c r="B2013" s="28" t="str">
        <f t="shared" si="62"/>
        <v>Grand Forks</v>
      </c>
      <c r="C2013" s="30">
        <v>66861</v>
      </c>
      <c r="D2013" s="30">
        <v>66864</v>
      </c>
      <c r="E2013" s="30">
        <v>66994</v>
      </c>
      <c r="F2013" s="30">
        <v>66654</v>
      </c>
      <c r="G2013" s="30">
        <v>67582</v>
      </c>
      <c r="H2013" s="30">
        <v>69102</v>
      </c>
      <c r="I2013" s="30">
        <v>69764</v>
      </c>
      <c r="J2013" s="30">
        <v>70352</v>
      </c>
      <c r="K2013" s="30">
        <v>70473</v>
      </c>
      <c r="L2013" s="30">
        <v>70489</v>
      </c>
      <c r="M2013" s="30">
        <v>70355</v>
      </c>
      <c r="N2013" s="30">
        <v>69451</v>
      </c>
      <c r="O2013" s="24" t="str">
        <f t="shared" si="63"/>
        <v>Grand Forks County, North Dakota</v>
      </c>
    </row>
    <row r="2014" spans="1:15" x14ac:dyDescent="0.25">
      <c r="A2014" s="35" t="s">
        <v>2489</v>
      </c>
      <c r="B2014" s="28" t="str">
        <f t="shared" si="62"/>
        <v>Grant</v>
      </c>
      <c r="C2014" s="30">
        <v>2394</v>
      </c>
      <c r="D2014" s="30">
        <v>2394</v>
      </c>
      <c r="E2014" s="30">
        <v>2394</v>
      </c>
      <c r="F2014" s="30">
        <v>2359</v>
      </c>
      <c r="G2014" s="30">
        <v>2350</v>
      </c>
      <c r="H2014" s="30">
        <v>2393</v>
      </c>
      <c r="I2014" s="30">
        <v>2374</v>
      </c>
      <c r="J2014" s="30">
        <v>2396</v>
      </c>
      <c r="K2014" s="30">
        <v>2379</v>
      </c>
      <c r="L2014" s="30">
        <v>2363</v>
      </c>
      <c r="M2014" s="30">
        <v>2354</v>
      </c>
      <c r="N2014" s="30">
        <v>2274</v>
      </c>
      <c r="O2014" s="24" t="str">
        <f t="shared" si="63"/>
        <v>Grant County, North Dakota</v>
      </c>
    </row>
    <row r="2015" spans="1:15" x14ac:dyDescent="0.25">
      <c r="A2015" s="35" t="s">
        <v>2490</v>
      </c>
      <c r="B2015" s="28" t="str">
        <f t="shared" si="62"/>
        <v>Griggs</v>
      </c>
      <c r="C2015" s="30">
        <v>2420</v>
      </c>
      <c r="D2015" s="30">
        <v>2421</v>
      </c>
      <c r="E2015" s="30">
        <v>2416</v>
      </c>
      <c r="F2015" s="30">
        <v>2370</v>
      </c>
      <c r="G2015" s="30">
        <v>2345</v>
      </c>
      <c r="H2015" s="30">
        <v>2284</v>
      </c>
      <c r="I2015" s="30">
        <v>2291</v>
      </c>
      <c r="J2015" s="30">
        <v>2288</v>
      </c>
      <c r="K2015" s="30">
        <v>2258</v>
      </c>
      <c r="L2015" s="30">
        <v>2244</v>
      </c>
      <c r="M2015" s="30">
        <v>2228</v>
      </c>
      <c r="N2015" s="30">
        <v>2231</v>
      </c>
      <c r="O2015" s="24" t="str">
        <f t="shared" si="63"/>
        <v>Griggs County, North Dakota</v>
      </c>
    </row>
    <row r="2016" spans="1:15" x14ac:dyDescent="0.25">
      <c r="A2016" s="35" t="s">
        <v>2491</v>
      </c>
      <c r="B2016" s="28" t="str">
        <f t="shared" si="62"/>
        <v>Hettinger</v>
      </c>
      <c r="C2016" s="30">
        <v>2477</v>
      </c>
      <c r="D2016" s="30">
        <v>2478</v>
      </c>
      <c r="E2016" s="30">
        <v>2476</v>
      </c>
      <c r="F2016" s="30">
        <v>2504</v>
      </c>
      <c r="G2016" s="30">
        <v>2542</v>
      </c>
      <c r="H2016" s="30">
        <v>2644</v>
      </c>
      <c r="I2016" s="30">
        <v>2627</v>
      </c>
      <c r="J2016" s="30">
        <v>2657</v>
      </c>
      <c r="K2016" s="30">
        <v>2597</v>
      </c>
      <c r="L2016" s="30">
        <v>2479</v>
      </c>
      <c r="M2016" s="30">
        <v>2503</v>
      </c>
      <c r="N2016" s="30">
        <v>2499</v>
      </c>
      <c r="O2016" s="24" t="str">
        <f t="shared" si="63"/>
        <v>Hettinger County, North Dakota</v>
      </c>
    </row>
    <row r="2017" spans="1:15" x14ac:dyDescent="0.25">
      <c r="A2017" s="35" t="s">
        <v>2492</v>
      </c>
      <c r="B2017" s="28" t="str">
        <f t="shared" si="62"/>
        <v>Kidder</v>
      </c>
      <c r="C2017" s="30">
        <v>2435</v>
      </c>
      <c r="D2017" s="30">
        <v>2435</v>
      </c>
      <c r="E2017" s="30">
        <v>2447</v>
      </c>
      <c r="F2017" s="30">
        <v>2442</v>
      </c>
      <c r="G2017" s="30">
        <v>2447</v>
      </c>
      <c r="H2017" s="30">
        <v>2444</v>
      </c>
      <c r="I2017" s="30">
        <v>2448</v>
      </c>
      <c r="J2017" s="30">
        <v>2449</v>
      </c>
      <c r="K2017" s="30">
        <v>2475</v>
      </c>
      <c r="L2017" s="30">
        <v>2471</v>
      </c>
      <c r="M2017" s="30">
        <v>2453</v>
      </c>
      <c r="N2017" s="30">
        <v>2480</v>
      </c>
      <c r="O2017" s="24" t="str">
        <f t="shared" si="63"/>
        <v>Kidder County, North Dakota</v>
      </c>
    </row>
    <row r="2018" spans="1:15" x14ac:dyDescent="0.25">
      <c r="A2018" s="35" t="s">
        <v>2493</v>
      </c>
      <c r="B2018" s="28" t="str">
        <f t="shared" si="62"/>
        <v>LaMoure</v>
      </c>
      <c r="C2018" s="30">
        <v>4139</v>
      </c>
      <c r="D2018" s="30">
        <v>4141</v>
      </c>
      <c r="E2018" s="30">
        <v>4130</v>
      </c>
      <c r="F2018" s="30">
        <v>4095</v>
      </c>
      <c r="G2018" s="30">
        <v>4085</v>
      </c>
      <c r="H2018" s="30">
        <v>4101</v>
      </c>
      <c r="I2018" s="30">
        <v>4096</v>
      </c>
      <c r="J2018" s="30">
        <v>4136</v>
      </c>
      <c r="K2018" s="30">
        <v>4113</v>
      </c>
      <c r="L2018" s="30">
        <v>4101</v>
      </c>
      <c r="M2018" s="30">
        <v>4075</v>
      </c>
      <c r="N2018" s="30">
        <v>4046</v>
      </c>
      <c r="O2018" s="24" t="str">
        <f t="shared" si="63"/>
        <v>LaMoure County, North Dakota</v>
      </c>
    </row>
    <row r="2019" spans="1:15" x14ac:dyDescent="0.25">
      <c r="A2019" s="35" t="s">
        <v>2494</v>
      </c>
      <c r="B2019" s="28" t="str">
        <f t="shared" si="62"/>
        <v>Logan</v>
      </c>
      <c r="C2019" s="30">
        <v>1990</v>
      </c>
      <c r="D2019" s="30">
        <v>1988</v>
      </c>
      <c r="E2019" s="30">
        <v>1998</v>
      </c>
      <c r="F2019" s="30">
        <v>1972</v>
      </c>
      <c r="G2019" s="30">
        <v>1941</v>
      </c>
      <c r="H2019" s="30">
        <v>1932</v>
      </c>
      <c r="I2019" s="30">
        <v>1941</v>
      </c>
      <c r="J2019" s="30">
        <v>1927</v>
      </c>
      <c r="K2019" s="30">
        <v>1930</v>
      </c>
      <c r="L2019" s="30">
        <v>1919</v>
      </c>
      <c r="M2019" s="30">
        <v>1887</v>
      </c>
      <c r="N2019" s="30">
        <v>1850</v>
      </c>
      <c r="O2019" s="24" t="str">
        <f t="shared" si="63"/>
        <v>Logan County, North Dakota</v>
      </c>
    </row>
    <row r="2020" spans="1:15" x14ac:dyDescent="0.25">
      <c r="A2020" s="35" t="s">
        <v>2495</v>
      </c>
      <c r="B2020" s="28" t="str">
        <f t="shared" si="62"/>
        <v>McHenry</v>
      </c>
      <c r="C2020" s="30">
        <v>5395</v>
      </c>
      <c r="D2020" s="30">
        <v>5392</v>
      </c>
      <c r="E2020" s="30">
        <v>5402</v>
      </c>
      <c r="F2020" s="30">
        <v>5501</v>
      </c>
      <c r="G2020" s="30">
        <v>5800</v>
      </c>
      <c r="H2020" s="30">
        <v>5908</v>
      </c>
      <c r="I2020" s="30">
        <v>5977</v>
      </c>
      <c r="J2020" s="30">
        <v>5975</v>
      </c>
      <c r="K2020" s="30">
        <v>5970</v>
      </c>
      <c r="L2020" s="30">
        <v>5890</v>
      </c>
      <c r="M2020" s="30">
        <v>5808</v>
      </c>
      <c r="N2020" s="30">
        <v>5745</v>
      </c>
      <c r="O2020" s="24" t="str">
        <f t="shared" si="63"/>
        <v>McHenry County, North Dakota</v>
      </c>
    </row>
    <row r="2021" spans="1:15" x14ac:dyDescent="0.25">
      <c r="A2021" s="35" t="s">
        <v>2496</v>
      </c>
      <c r="B2021" s="28" t="str">
        <f t="shared" si="62"/>
        <v>McIntosh</v>
      </c>
      <c r="C2021" s="30">
        <v>2809</v>
      </c>
      <c r="D2021" s="30">
        <v>2813</v>
      </c>
      <c r="E2021" s="30">
        <v>2800</v>
      </c>
      <c r="F2021" s="30">
        <v>2758</v>
      </c>
      <c r="G2021" s="30">
        <v>2750</v>
      </c>
      <c r="H2021" s="30">
        <v>2738</v>
      </c>
      <c r="I2021" s="30">
        <v>2745</v>
      </c>
      <c r="J2021" s="30">
        <v>2717</v>
      </c>
      <c r="K2021" s="30">
        <v>2599</v>
      </c>
      <c r="L2021" s="30">
        <v>2608</v>
      </c>
      <c r="M2021" s="30">
        <v>2566</v>
      </c>
      <c r="N2021" s="30">
        <v>2497</v>
      </c>
      <c r="O2021" s="24" t="str">
        <f t="shared" si="63"/>
        <v>McIntosh County, North Dakota</v>
      </c>
    </row>
    <row r="2022" spans="1:15" x14ac:dyDescent="0.25">
      <c r="A2022" s="35" t="s">
        <v>2497</v>
      </c>
      <c r="B2022" s="28" t="str">
        <f t="shared" si="62"/>
        <v>McKenzie</v>
      </c>
      <c r="C2022" s="30">
        <v>6360</v>
      </c>
      <c r="D2022" s="30">
        <v>6359</v>
      </c>
      <c r="E2022" s="30">
        <v>6412</v>
      </c>
      <c r="F2022" s="30">
        <v>7011</v>
      </c>
      <c r="G2022" s="30">
        <v>7978</v>
      </c>
      <c r="H2022" s="30">
        <v>9278</v>
      </c>
      <c r="I2022" s="30">
        <v>10979</v>
      </c>
      <c r="J2022" s="30">
        <v>12794</v>
      </c>
      <c r="K2022" s="30">
        <v>12572</v>
      </c>
      <c r="L2022" s="30">
        <v>12688</v>
      </c>
      <c r="M2022" s="30">
        <v>13594</v>
      </c>
      <c r="N2022" s="30">
        <v>15024</v>
      </c>
      <c r="O2022" s="24" t="str">
        <f t="shared" si="63"/>
        <v>McKenzie County, North Dakota</v>
      </c>
    </row>
    <row r="2023" spans="1:15" x14ac:dyDescent="0.25">
      <c r="A2023" s="35" t="s">
        <v>2498</v>
      </c>
      <c r="B2023" s="28" t="str">
        <f t="shared" si="62"/>
        <v>McLean</v>
      </c>
      <c r="C2023" s="30">
        <v>8962</v>
      </c>
      <c r="D2023" s="30">
        <v>8962</v>
      </c>
      <c r="E2023" s="30">
        <v>8998</v>
      </c>
      <c r="F2023" s="30">
        <v>9081</v>
      </c>
      <c r="G2023" s="30">
        <v>9385</v>
      </c>
      <c r="H2023" s="30">
        <v>9464</v>
      </c>
      <c r="I2023" s="30">
        <v>9553</v>
      </c>
      <c r="J2023" s="30">
        <v>9664</v>
      </c>
      <c r="K2023" s="30">
        <v>9643</v>
      </c>
      <c r="L2023" s="30">
        <v>9636</v>
      </c>
      <c r="M2023" s="30">
        <v>9529</v>
      </c>
      <c r="N2023" s="30">
        <v>9450</v>
      </c>
      <c r="O2023" s="24" t="str">
        <f t="shared" si="63"/>
        <v>McLean County, North Dakota</v>
      </c>
    </row>
    <row r="2024" spans="1:15" x14ac:dyDescent="0.25">
      <c r="A2024" s="35" t="s">
        <v>2499</v>
      </c>
      <c r="B2024" s="28" t="str">
        <f t="shared" si="62"/>
        <v>Mercer</v>
      </c>
      <c r="C2024" s="30">
        <v>8424</v>
      </c>
      <c r="D2024" s="30">
        <v>8424</v>
      </c>
      <c r="E2024" s="30">
        <v>8419</v>
      </c>
      <c r="F2024" s="30">
        <v>8425</v>
      </c>
      <c r="G2024" s="30">
        <v>8475</v>
      </c>
      <c r="H2024" s="30">
        <v>8589</v>
      </c>
      <c r="I2024" s="30">
        <v>8712</v>
      </c>
      <c r="J2024" s="30">
        <v>8786</v>
      </c>
      <c r="K2024" s="30">
        <v>8616</v>
      </c>
      <c r="L2024" s="30">
        <v>8457</v>
      </c>
      <c r="M2024" s="30">
        <v>8266</v>
      </c>
      <c r="N2024" s="30">
        <v>8187</v>
      </c>
      <c r="O2024" s="24" t="str">
        <f t="shared" si="63"/>
        <v>Mercer County, North Dakota</v>
      </c>
    </row>
    <row r="2025" spans="1:15" x14ac:dyDescent="0.25">
      <c r="A2025" s="35" t="s">
        <v>2500</v>
      </c>
      <c r="B2025" s="28" t="str">
        <f t="shared" si="62"/>
        <v>Morton</v>
      </c>
      <c r="C2025" s="30">
        <v>27471</v>
      </c>
      <c r="D2025" s="30">
        <v>27469</v>
      </c>
      <c r="E2025" s="30">
        <v>27570</v>
      </c>
      <c r="F2025" s="30">
        <v>27721</v>
      </c>
      <c r="G2025" s="30">
        <v>28083</v>
      </c>
      <c r="H2025" s="30">
        <v>28929</v>
      </c>
      <c r="I2025" s="30">
        <v>29777</v>
      </c>
      <c r="J2025" s="30">
        <v>30249</v>
      </c>
      <c r="K2025" s="30">
        <v>30732</v>
      </c>
      <c r="L2025" s="30">
        <v>30938</v>
      </c>
      <c r="M2025" s="30">
        <v>31058</v>
      </c>
      <c r="N2025" s="30">
        <v>31364</v>
      </c>
      <c r="O2025" s="24" t="str">
        <f t="shared" si="63"/>
        <v>Morton County, North Dakota</v>
      </c>
    </row>
    <row r="2026" spans="1:15" x14ac:dyDescent="0.25">
      <c r="A2026" s="35" t="s">
        <v>2501</v>
      </c>
      <c r="B2026" s="28" t="str">
        <f t="shared" si="62"/>
        <v>Mountrail</v>
      </c>
      <c r="C2026" s="30">
        <v>7673</v>
      </c>
      <c r="D2026" s="30">
        <v>7663</v>
      </c>
      <c r="E2026" s="30">
        <v>7708</v>
      </c>
      <c r="F2026" s="30">
        <v>8103</v>
      </c>
      <c r="G2026" s="30">
        <v>8739</v>
      </c>
      <c r="H2026" s="30">
        <v>9340</v>
      </c>
      <c r="I2026" s="30">
        <v>9751</v>
      </c>
      <c r="J2026" s="30">
        <v>10311</v>
      </c>
      <c r="K2026" s="30">
        <v>10234</v>
      </c>
      <c r="L2026" s="30">
        <v>10276</v>
      </c>
      <c r="M2026" s="30">
        <v>10239</v>
      </c>
      <c r="N2026" s="30">
        <v>10545</v>
      </c>
      <c r="O2026" s="24" t="str">
        <f t="shared" si="63"/>
        <v>Mountrail County, North Dakota</v>
      </c>
    </row>
    <row r="2027" spans="1:15" x14ac:dyDescent="0.25">
      <c r="A2027" s="35" t="s">
        <v>2502</v>
      </c>
      <c r="B2027" s="28" t="str">
        <f t="shared" si="62"/>
        <v>Nelson</v>
      </c>
      <c r="C2027" s="30">
        <v>3126</v>
      </c>
      <c r="D2027" s="30">
        <v>3126</v>
      </c>
      <c r="E2027" s="30">
        <v>3121</v>
      </c>
      <c r="F2027" s="30">
        <v>3059</v>
      </c>
      <c r="G2027" s="30">
        <v>3055</v>
      </c>
      <c r="H2027" s="30">
        <v>3052</v>
      </c>
      <c r="I2027" s="30">
        <v>3014</v>
      </c>
      <c r="J2027" s="30">
        <v>2914</v>
      </c>
      <c r="K2027" s="30">
        <v>2889</v>
      </c>
      <c r="L2027" s="30">
        <v>2902</v>
      </c>
      <c r="M2027" s="30">
        <v>2885</v>
      </c>
      <c r="N2027" s="30">
        <v>2879</v>
      </c>
      <c r="O2027" s="24" t="str">
        <f t="shared" si="63"/>
        <v>Nelson County, North Dakota</v>
      </c>
    </row>
    <row r="2028" spans="1:15" x14ac:dyDescent="0.25">
      <c r="A2028" s="35" t="s">
        <v>2503</v>
      </c>
      <c r="B2028" s="28" t="str">
        <f t="shared" si="62"/>
        <v>Oliver</v>
      </c>
      <c r="C2028" s="30">
        <v>1846</v>
      </c>
      <c r="D2028" s="30">
        <v>1848</v>
      </c>
      <c r="E2028" s="30">
        <v>1841</v>
      </c>
      <c r="F2028" s="30">
        <v>1849</v>
      </c>
      <c r="G2028" s="30">
        <v>1848</v>
      </c>
      <c r="H2028" s="30">
        <v>1889</v>
      </c>
      <c r="I2028" s="30">
        <v>1868</v>
      </c>
      <c r="J2028" s="30">
        <v>1865</v>
      </c>
      <c r="K2028" s="30">
        <v>1895</v>
      </c>
      <c r="L2028" s="30">
        <v>1930</v>
      </c>
      <c r="M2028" s="30">
        <v>1945</v>
      </c>
      <c r="N2028" s="30">
        <v>1959</v>
      </c>
      <c r="O2028" s="24" t="str">
        <f t="shared" si="63"/>
        <v>Oliver County, North Dakota</v>
      </c>
    </row>
    <row r="2029" spans="1:15" x14ac:dyDescent="0.25">
      <c r="A2029" s="35" t="s">
        <v>2504</v>
      </c>
      <c r="B2029" s="28" t="str">
        <f t="shared" si="62"/>
        <v>Pembina</v>
      </c>
      <c r="C2029" s="30">
        <v>7413</v>
      </c>
      <c r="D2029" s="30">
        <v>7403</v>
      </c>
      <c r="E2029" s="30">
        <v>7402</v>
      </c>
      <c r="F2029" s="30">
        <v>7354</v>
      </c>
      <c r="G2029" s="30">
        <v>7220</v>
      </c>
      <c r="H2029" s="30">
        <v>7098</v>
      </c>
      <c r="I2029" s="30">
        <v>7068</v>
      </c>
      <c r="J2029" s="30">
        <v>7031</v>
      </c>
      <c r="K2029" s="30">
        <v>7046</v>
      </c>
      <c r="L2029" s="30">
        <v>6962</v>
      </c>
      <c r="M2029" s="30">
        <v>6895</v>
      </c>
      <c r="N2029" s="30">
        <v>6801</v>
      </c>
      <c r="O2029" s="24" t="str">
        <f t="shared" si="63"/>
        <v>Pembina County, North Dakota</v>
      </c>
    </row>
    <row r="2030" spans="1:15" x14ac:dyDescent="0.25">
      <c r="A2030" s="35" t="s">
        <v>2505</v>
      </c>
      <c r="B2030" s="28" t="str">
        <f t="shared" si="62"/>
        <v>Pierce</v>
      </c>
      <c r="C2030" s="30">
        <v>4357</v>
      </c>
      <c r="D2030" s="30">
        <v>4359</v>
      </c>
      <c r="E2030" s="30">
        <v>4360</v>
      </c>
      <c r="F2030" s="30">
        <v>4367</v>
      </c>
      <c r="G2030" s="30">
        <v>4446</v>
      </c>
      <c r="H2030" s="30">
        <v>4419</v>
      </c>
      <c r="I2030" s="30">
        <v>4364</v>
      </c>
      <c r="J2030" s="30">
        <v>4273</v>
      </c>
      <c r="K2030" s="30">
        <v>4216</v>
      </c>
      <c r="L2030" s="30">
        <v>4096</v>
      </c>
      <c r="M2030" s="30">
        <v>4070</v>
      </c>
      <c r="N2030" s="30">
        <v>3975</v>
      </c>
      <c r="O2030" s="24" t="str">
        <f t="shared" si="63"/>
        <v>Pierce County, North Dakota</v>
      </c>
    </row>
    <row r="2031" spans="1:15" x14ac:dyDescent="0.25">
      <c r="A2031" s="35" t="s">
        <v>2506</v>
      </c>
      <c r="B2031" s="28" t="str">
        <f t="shared" si="62"/>
        <v>Ramsey</v>
      </c>
      <c r="C2031" s="30">
        <v>11451</v>
      </c>
      <c r="D2031" s="30">
        <v>11451</v>
      </c>
      <c r="E2031" s="30">
        <v>11450</v>
      </c>
      <c r="F2031" s="30">
        <v>11523</v>
      </c>
      <c r="G2031" s="30">
        <v>11584</v>
      </c>
      <c r="H2031" s="30">
        <v>11579</v>
      </c>
      <c r="I2031" s="30">
        <v>11615</v>
      </c>
      <c r="J2031" s="30">
        <v>11664</v>
      </c>
      <c r="K2031" s="30">
        <v>11557</v>
      </c>
      <c r="L2031" s="30">
        <v>11596</v>
      </c>
      <c r="M2031" s="30">
        <v>11580</v>
      </c>
      <c r="N2031" s="30">
        <v>11519</v>
      </c>
      <c r="O2031" s="24" t="str">
        <f t="shared" si="63"/>
        <v>Ramsey County, North Dakota</v>
      </c>
    </row>
    <row r="2032" spans="1:15" x14ac:dyDescent="0.25">
      <c r="A2032" s="35" t="s">
        <v>2507</v>
      </c>
      <c r="B2032" s="28" t="str">
        <f t="shared" si="62"/>
        <v>Ransom</v>
      </c>
      <c r="C2032" s="30">
        <v>5457</v>
      </c>
      <c r="D2032" s="30">
        <v>5457</v>
      </c>
      <c r="E2032" s="30">
        <v>5440</v>
      </c>
      <c r="F2032" s="30">
        <v>5432</v>
      </c>
      <c r="G2032" s="30">
        <v>5470</v>
      </c>
      <c r="H2032" s="30">
        <v>5496</v>
      </c>
      <c r="I2032" s="30">
        <v>5442</v>
      </c>
      <c r="J2032" s="30">
        <v>5451</v>
      </c>
      <c r="K2032" s="30">
        <v>5375</v>
      </c>
      <c r="L2032" s="30">
        <v>5303</v>
      </c>
      <c r="M2032" s="30">
        <v>5224</v>
      </c>
      <c r="N2032" s="30">
        <v>5218</v>
      </c>
      <c r="O2032" s="24" t="str">
        <f t="shared" si="63"/>
        <v>Ransom County, North Dakota</v>
      </c>
    </row>
    <row r="2033" spans="1:15" x14ac:dyDescent="0.25">
      <c r="A2033" s="35" t="s">
        <v>2508</v>
      </c>
      <c r="B2033" s="28" t="str">
        <f t="shared" si="62"/>
        <v>Renville</v>
      </c>
      <c r="C2033" s="30">
        <v>2470</v>
      </c>
      <c r="D2033" s="30">
        <v>2470</v>
      </c>
      <c r="E2033" s="30">
        <v>2484</v>
      </c>
      <c r="F2033" s="30">
        <v>2497</v>
      </c>
      <c r="G2033" s="30">
        <v>2556</v>
      </c>
      <c r="H2033" s="30">
        <v>2613</v>
      </c>
      <c r="I2033" s="30">
        <v>2573</v>
      </c>
      <c r="J2033" s="30">
        <v>2551</v>
      </c>
      <c r="K2033" s="30">
        <v>2517</v>
      </c>
      <c r="L2033" s="30">
        <v>2455</v>
      </c>
      <c r="M2033" s="30">
        <v>2358</v>
      </c>
      <c r="N2033" s="30">
        <v>2327</v>
      </c>
      <c r="O2033" s="24" t="str">
        <f t="shared" si="63"/>
        <v>Renville County, North Dakota</v>
      </c>
    </row>
    <row r="2034" spans="1:15" x14ac:dyDescent="0.25">
      <c r="A2034" s="35" t="s">
        <v>2509</v>
      </c>
      <c r="B2034" s="28" t="str">
        <f t="shared" si="62"/>
        <v>Richland</v>
      </c>
      <c r="C2034" s="30">
        <v>16321</v>
      </c>
      <c r="D2034" s="30">
        <v>16321</v>
      </c>
      <c r="E2034" s="30">
        <v>16327</v>
      </c>
      <c r="F2034" s="30">
        <v>16265</v>
      </c>
      <c r="G2034" s="30">
        <v>16224</v>
      </c>
      <c r="H2034" s="30">
        <v>16291</v>
      </c>
      <c r="I2034" s="30">
        <v>16345</v>
      </c>
      <c r="J2034" s="30">
        <v>16286</v>
      </c>
      <c r="K2034" s="30">
        <v>16289</v>
      </c>
      <c r="L2034" s="30">
        <v>16287</v>
      </c>
      <c r="M2034" s="30">
        <v>16229</v>
      </c>
      <c r="N2034" s="30">
        <v>16177</v>
      </c>
      <c r="O2034" s="24" t="str">
        <f t="shared" si="63"/>
        <v>Richland County, North Dakota</v>
      </c>
    </row>
    <row r="2035" spans="1:15" x14ac:dyDescent="0.25">
      <c r="A2035" s="35" t="s">
        <v>2510</v>
      </c>
      <c r="B2035" s="28" t="str">
        <f t="shared" si="62"/>
        <v>Rolette</v>
      </c>
      <c r="C2035" s="30">
        <v>13937</v>
      </c>
      <c r="D2035" s="30">
        <v>13939</v>
      </c>
      <c r="E2035" s="30">
        <v>14007</v>
      </c>
      <c r="F2035" s="30">
        <v>14193</v>
      </c>
      <c r="G2035" s="30">
        <v>14403</v>
      </c>
      <c r="H2035" s="30">
        <v>14680</v>
      </c>
      <c r="I2035" s="30">
        <v>14733</v>
      </c>
      <c r="J2035" s="30">
        <v>14698</v>
      </c>
      <c r="K2035" s="30">
        <v>14716</v>
      </c>
      <c r="L2035" s="30">
        <v>14614</v>
      </c>
      <c r="M2035" s="30">
        <v>14349</v>
      </c>
      <c r="N2035" s="30">
        <v>14176</v>
      </c>
      <c r="O2035" s="24" t="str">
        <f t="shared" si="63"/>
        <v>Rolette County, North Dakota</v>
      </c>
    </row>
    <row r="2036" spans="1:15" x14ac:dyDescent="0.25">
      <c r="A2036" s="35" t="s">
        <v>2511</v>
      </c>
      <c r="B2036" s="28" t="str">
        <f t="shared" si="62"/>
        <v>Sargent</v>
      </c>
      <c r="C2036" s="30">
        <v>3829</v>
      </c>
      <c r="D2036" s="30">
        <v>3829</v>
      </c>
      <c r="E2036" s="30">
        <v>3812</v>
      </c>
      <c r="F2036" s="30">
        <v>3792</v>
      </c>
      <c r="G2036" s="30">
        <v>3893</v>
      </c>
      <c r="H2036" s="30">
        <v>3879</v>
      </c>
      <c r="I2036" s="30">
        <v>3920</v>
      </c>
      <c r="J2036" s="30">
        <v>3866</v>
      </c>
      <c r="K2036" s="30">
        <v>3883</v>
      </c>
      <c r="L2036" s="30">
        <v>3862</v>
      </c>
      <c r="M2036" s="30">
        <v>3851</v>
      </c>
      <c r="N2036" s="30">
        <v>3898</v>
      </c>
      <c r="O2036" s="24" t="str">
        <f t="shared" si="63"/>
        <v>Sargent County, North Dakota</v>
      </c>
    </row>
    <row r="2037" spans="1:15" x14ac:dyDescent="0.25">
      <c r="A2037" s="35" t="s">
        <v>2512</v>
      </c>
      <c r="B2037" s="28" t="str">
        <f t="shared" si="62"/>
        <v>Sheridan</v>
      </c>
      <c r="C2037" s="30">
        <v>1321</v>
      </c>
      <c r="D2037" s="30">
        <v>1321</v>
      </c>
      <c r="E2037" s="30">
        <v>1316</v>
      </c>
      <c r="F2037" s="30">
        <v>1316</v>
      </c>
      <c r="G2037" s="30">
        <v>1284</v>
      </c>
      <c r="H2037" s="30">
        <v>1327</v>
      </c>
      <c r="I2037" s="30">
        <v>1334</v>
      </c>
      <c r="J2037" s="30">
        <v>1311</v>
      </c>
      <c r="K2037" s="30">
        <v>1342</v>
      </c>
      <c r="L2037" s="30">
        <v>1351</v>
      </c>
      <c r="M2037" s="30">
        <v>1342</v>
      </c>
      <c r="N2037" s="30">
        <v>1315</v>
      </c>
      <c r="O2037" s="24" t="str">
        <f t="shared" si="63"/>
        <v>Sheridan County, North Dakota</v>
      </c>
    </row>
    <row r="2038" spans="1:15" x14ac:dyDescent="0.25">
      <c r="A2038" s="35" t="s">
        <v>2513</v>
      </c>
      <c r="B2038" s="28" t="str">
        <f t="shared" si="62"/>
        <v>Sioux</v>
      </c>
      <c r="C2038" s="30">
        <v>4153</v>
      </c>
      <c r="D2038" s="30">
        <v>4154</v>
      </c>
      <c r="E2038" s="30">
        <v>4148</v>
      </c>
      <c r="F2038" s="30">
        <v>4236</v>
      </c>
      <c r="G2038" s="30">
        <v>4328</v>
      </c>
      <c r="H2038" s="30">
        <v>4434</v>
      </c>
      <c r="I2038" s="30">
        <v>4459</v>
      </c>
      <c r="J2038" s="30">
        <v>4377</v>
      </c>
      <c r="K2038" s="30">
        <v>4457</v>
      </c>
      <c r="L2038" s="30">
        <v>4425</v>
      </c>
      <c r="M2038" s="30">
        <v>4377</v>
      </c>
      <c r="N2038" s="30">
        <v>4230</v>
      </c>
      <c r="O2038" s="24" t="str">
        <f t="shared" si="63"/>
        <v>Sioux County, North Dakota</v>
      </c>
    </row>
    <row r="2039" spans="1:15" x14ac:dyDescent="0.25">
      <c r="A2039" s="35" t="s">
        <v>2514</v>
      </c>
      <c r="B2039" s="28" t="str">
        <f t="shared" si="62"/>
        <v>Slope</v>
      </c>
      <c r="C2039" s="30">
        <v>727</v>
      </c>
      <c r="D2039" s="30">
        <v>727</v>
      </c>
      <c r="E2039" s="30">
        <v>732</v>
      </c>
      <c r="F2039" s="30">
        <v>727</v>
      </c>
      <c r="G2039" s="30">
        <v>766</v>
      </c>
      <c r="H2039" s="30">
        <v>771</v>
      </c>
      <c r="I2039" s="30">
        <v>779</v>
      </c>
      <c r="J2039" s="30">
        <v>781</v>
      </c>
      <c r="K2039" s="30">
        <v>781</v>
      </c>
      <c r="L2039" s="30">
        <v>767</v>
      </c>
      <c r="M2039" s="30">
        <v>761</v>
      </c>
      <c r="N2039" s="30">
        <v>750</v>
      </c>
      <c r="O2039" s="24" t="str">
        <f t="shared" si="63"/>
        <v>Slope County, North Dakota</v>
      </c>
    </row>
    <row r="2040" spans="1:15" x14ac:dyDescent="0.25">
      <c r="A2040" s="35" t="s">
        <v>2515</v>
      </c>
      <c r="B2040" s="28" t="str">
        <f t="shared" si="62"/>
        <v>Stark</v>
      </c>
      <c r="C2040" s="30">
        <v>24199</v>
      </c>
      <c r="D2040" s="30">
        <v>24199</v>
      </c>
      <c r="E2040" s="30">
        <v>24359</v>
      </c>
      <c r="F2040" s="30">
        <v>25186</v>
      </c>
      <c r="G2040" s="30">
        <v>26901</v>
      </c>
      <c r="H2040" s="30">
        <v>28317</v>
      </c>
      <c r="I2040" s="30">
        <v>30315</v>
      </c>
      <c r="J2040" s="30">
        <v>31861</v>
      </c>
      <c r="K2040" s="30">
        <v>30869</v>
      </c>
      <c r="L2040" s="30">
        <v>30291</v>
      </c>
      <c r="M2040" s="30">
        <v>30893</v>
      </c>
      <c r="N2040" s="30">
        <v>31489</v>
      </c>
      <c r="O2040" s="24" t="str">
        <f t="shared" si="63"/>
        <v>Stark County, North Dakota</v>
      </c>
    </row>
    <row r="2041" spans="1:15" x14ac:dyDescent="0.25">
      <c r="A2041" s="35" t="s">
        <v>2516</v>
      </c>
      <c r="B2041" s="28" t="str">
        <f t="shared" si="62"/>
        <v>Steele</v>
      </c>
      <c r="C2041" s="30">
        <v>1975</v>
      </c>
      <c r="D2041" s="30">
        <v>1975</v>
      </c>
      <c r="E2041" s="30">
        <v>1991</v>
      </c>
      <c r="F2041" s="30">
        <v>1970</v>
      </c>
      <c r="G2041" s="30">
        <v>1952</v>
      </c>
      <c r="H2041" s="30">
        <v>1918</v>
      </c>
      <c r="I2041" s="30">
        <v>1912</v>
      </c>
      <c r="J2041" s="30">
        <v>1915</v>
      </c>
      <c r="K2041" s="30">
        <v>1912</v>
      </c>
      <c r="L2041" s="30">
        <v>1906</v>
      </c>
      <c r="M2041" s="30">
        <v>1892</v>
      </c>
      <c r="N2041" s="30">
        <v>1890</v>
      </c>
      <c r="O2041" s="24" t="str">
        <f t="shared" si="63"/>
        <v>Steele County, North Dakota</v>
      </c>
    </row>
    <row r="2042" spans="1:15" x14ac:dyDescent="0.25">
      <c r="A2042" s="35" t="s">
        <v>2517</v>
      </c>
      <c r="B2042" s="28" t="str">
        <f t="shared" si="62"/>
        <v>Stutsman</v>
      </c>
      <c r="C2042" s="30">
        <v>21100</v>
      </c>
      <c r="D2042" s="30">
        <v>21100</v>
      </c>
      <c r="E2042" s="30">
        <v>21137</v>
      </c>
      <c r="F2042" s="30">
        <v>21021</v>
      </c>
      <c r="G2042" s="30">
        <v>20978</v>
      </c>
      <c r="H2042" s="30">
        <v>21082</v>
      </c>
      <c r="I2042" s="30">
        <v>21120</v>
      </c>
      <c r="J2042" s="30">
        <v>21047</v>
      </c>
      <c r="K2042" s="30">
        <v>21068</v>
      </c>
      <c r="L2042" s="30">
        <v>21132</v>
      </c>
      <c r="M2042" s="30">
        <v>20875</v>
      </c>
      <c r="N2042" s="30">
        <v>20704</v>
      </c>
      <c r="O2042" s="24" t="str">
        <f t="shared" si="63"/>
        <v>Stutsman County, North Dakota</v>
      </c>
    </row>
    <row r="2043" spans="1:15" x14ac:dyDescent="0.25">
      <c r="A2043" s="35" t="s">
        <v>2518</v>
      </c>
      <c r="B2043" s="28" t="str">
        <f t="shared" si="62"/>
        <v>Towner</v>
      </c>
      <c r="C2043" s="30">
        <v>2246</v>
      </c>
      <c r="D2043" s="30">
        <v>2246</v>
      </c>
      <c r="E2043" s="30">
        <v>2243</v>
      </c>
      <c r="F2043" s="30">
        <v>2260</v>
      </c>
      <c r="G2043" s="30">
        <v>2292</v>
      </c>
      <c r="H2043" s="30">
        <v>2264</v>
      </c>
      <c r="I2043" s="30">
        <v>2275</v>
      </c>
      <c r="J2043" s="30">
        <v>2251</v>
      </c>
      <c r="K2043" s="30">
        <v>2249</v>
      </c>
      <c r="L2043" s="30">
        <v>2244</v>
      </c>
      <c r="M2043" s="30">
        <v>2185</v>
      </c>
      <c r="N2043" s="30">
        <v>2189</v>
      </c>
      <c r="O2043" s="24" t="str">
        <f t="shared" si="63"/>
        <v>Towner County, North Dakota</v>
      </c>
    </row>
    <row r="2044" spans="1:15" x14ac:dyDescent="0.25">
      <c r="A2044" s="35" t="s">
        <v>2519</v>
      </c>
      <c r="B2044" s="28" t="str">
        <f t="shared" si="62"/>
        <v>Traill</v>
      </c>
      <c r="C2044" s="30">
        <v>8121</v>
      </c>
      <c r="D2044" s="30">
        <v>8121</v>
      </c>
      <c r="E2044" s="30">
        <v>8105</v>
      </c>
      <c r="F2044" s="30">
        <v>8068</v>
      </c>
      <c r="G2044" s="30">
        <v>8070</v>
      </c>
      <c r="H2044" s="30">
        <v>8188</v>
      </c>
      <c r="I2044" s="30">
        <v>8042</v>
      </c>
      <c r="J2044" s="30">
        <v>7987</v>
      </c>
      <c r="K2044" s="30">
        <v>8001</v>
      </c>
      <c r="L2044" s="30">
        <v>7998</v>
      </c>
      <c r="M2044" s="30">
        <v>8020</v>
      </c>
      <c r="N2044" s="30">
        <v>8036</v>
      </c>
      <c r="O2044" s="24" t="str">
        <f t="shared" si="63"/>
        <v>Traill County, North Dakota</v>
      </c>
    </row>
    <row r="2045" spans="1:15" x14ac:dyDescent="0.25">
      <c r="A2045" s="35" t="s">
        <v>2520</v>
      </c>
      <c r="B2045" s="28" t="str">
        <f t="shared" si="62"/>
        <v>Walsh</v>
      </c>
      <c r="C2045" s="30">
        <v>11119</v>
      </c>
      <c r="D2045" s="30">
        <v>11126</v>
      </c>
      <c r="E2045" s="30">
        <v>11114</v>
      </c>
      <c r="F2045" s="30">
        <v>11025</v>
      </c>
      <c r="G2045" s="30">
        <v>11024</v>
      </c>
      <c r="H2045" s="30">
        <v>11081</v>
      </c>
      <c r="I2045" s="30">
        <v>10907</v>
      </c>
      <c r="J2045" s="30">
        <v>10852</v>
      </c>
      <c r="K2045" s="30">
        <v>10816</v>
      </c>
      <c r="L2045" s="30">
        <v>10801</v>
      </c>
      <c r="M2045" s="30">
        <v>10645</v>
      </c>
      <c r="N2045" s="30">
        <v>10641</v>
      </c>
      <c r="O2045" s="24" t="str">
        <f t="shared" si="63"/>
        <v>Walsh County, North Dakota</v>
      </c>
    </row>
    <row r="2046" spans="1:15" x14ac:dyDescent="0.25">
      <c r="A2046" s="35" t="s">
        <v>2521</v>
      </c>
      <c r="B2046" s="28" t="str">
        <f t="shared" si="62"/>
        <v>Ward</v>
      </c>
      <c r="C2046" s="30">
        <v>61675</v>
      </c>
      <c r="D2046" s="30">
        <v>61675</v>
      </c>
      <c r="E2046" s="30">
        <v>62121</v>
      </c>
      <c r="F2046" s="30">
        <v>64209</v>
      </c>
      <c r="G2046" s="30">
        <v>64863</v>
      </c>
      <c r="H2046" s="30">
        <v>67398</v>
      </c>
      <c r="I2046" s="30">
        <v>68869</v>
      </c>
      <c r="J2046" s="30">
        <v>70703</v>
      </c>
      <c r="K2046" s="30">
        <v>69489</v>
      </c>
      <c r="L2046" s="30">
        <v>68516</v>
      </c>
      <c r="M2046" s="30">
        <v>67713</v>
      </c>
      <c r="N2046" s="30">
        <v>67641</v>
      </c>
      <c r="O2046" s="24" t="str">
        <f t="shared" si="63"/>
        <v>Ward County, North Dakota</v>
      </c>
    </row>
    <row r="2047" spans="1:15" x14ac:dyDescent="0.25">
      <c r="A2047" s="35" t="s">
        <v>2522</v>
      </c>
      <c r="B2047" s="28" t="str">
        <f t="shared" si="62"/>
        <v>Wells</v>
      </c>
      <c r="C2047" s="30">
        <v>4207</v>
      </c>
      <c r="D2047" s="30">
        <v>4207</v>
      </c>
      <c r="E2047" s="30">
        <v>4192</v>
      </c>
      <c r="F2047" s="30">
        <v>4198</v>
      </c>
      <c r="G2047" s="30">
        <v>4235</v>
      </c>
      <c r="H2047" s="30">
        <v>4150</v>
      </c>
      <c r="I2047" s="30">
        <v>4125</v>
      </c>
      <c r="J2047" s="30">
        <v>4095</v>
      </c>
      <c r="K2047" s="30">
        <v>4049</v>
      </c>
      <c r="L2047" s="30">
        <v>3994</v>
      </c>
      <c r="M2047" s="30">
        <v>3908</v>
      </c>
      <c r="N2047" s="30">
        <v>3834</v>
      </c>
      <c r="O2047" s="24" t="str">
        <f t="shared" si="63"/>
        <v>Wells County, North Dakota</v>
      </c>
    </row>
    <row r="2048" spans="1:15" x14ac:dyDescent="0.25">
      <c r="A2048" s="35" t="s">
        <v>2523</v>
      </c>
      <c r="B2048" s="28" t="str">
        <f t="shared" si="62"/>
        <v>Williams</v>
      </c>
      <c r="C2048" s="30">
        <v>22398</v>
      </c>
      <c r="D2048" s="30">
        <v>22399</v>
      </c>
      <c r="E2048" s="30">
        <v>22589</v>
      </c>
      <c r="F2048" s="30">
        <v>24406</v>
      </c>
      <c r="G2048" s="30">
        <v>26735</v>
      </c>
      <c r="H2048" s="30">
        <v>29591</v>
      </c>
      <c r="I2048" s="30">
        <v>32106</v>
      </c>
      <c r="J2048" s="30">
        <v>35301</v>
      </c>
      <c r="K2048" s="30">
        <v>34213</v>
      </c>
      <c r="L2048" s="30">
        <v>33467</v>
      </c>
      <c r="M2048" s="30">
        <v>35469</v>
      </c>
      <c r="N2048" s="30">
        <v>37589</v>
      </c>
      <c r="O2048" s="24" t="str">
        <f t="shared" si="63"/>
        <v>Williams County, North Dakota</v>
      </c>
    </row>
    <row r="2049" spans="1:15" x14ac:dyDescent="0.25">
      <c r="A2049" s="35" t="s">
        <v>2524</v>
      </c>
      <c r="B2049" s="28" t="str">
        <f t="shared" si="62"/>
        <v>Adams</v>
      </c>
      <c r="C2049" s="30">
        <v>28550</v>
      </c>
      <c r="D2049" s="30">
        <v>28541</v>
      </c>
      <c r="E2049" s="30">
        <v>28537</v>
      </c>
      <c r="F2049" s="30">
        <v>28459</v>
      </c>
      <c r="G2049" s="30">
        <v>28293</v>
      </c>
      <c r="H2049" s="30">
        <v>28089</v>
      </c>
      <c r="I2049" s="30">
        <v>28066</v>
      </c>
      <c r="J2049" s="30">
        <v>27926</v>
      </c>
      <c r="K2049" s="30">
        <v>27807</v>
      </c>
      <c r="L2049" s="30">
        <v>27753</v>
      </c>
      <c r="M2049" s="30">
        <v>27694</v>
      </c>
      <c r="N2049" s="30">
        <v>27698</v>
      </c>
      <c r="O2049" s="24" t="str">
        <f t="shared" si="63"/>
        <v>Adams County, Ohio</v>
      </c>
    </row>
    <row r="2050" spans="1:15" x14ac:dyDescent="0.25">
      <c r="A2050" s="35" t="s">
        <v>2525</v>
      </c>
      <c r="B2050" s="28" t="str">
        <f t="shared" si="62"/>
        <v>Allen</v>
      </c>
      <c r="C2050" s="30">
        <v>106331</v>
      </c>
      <c r="D2050" s="30">
        <v>106313</v>
      </c>
      <c r="E2050" s="30">
        <v>106358</v>
      </c>
      <c r="F2050" s="30">
        <v>105988</v>
      </c>
      <c r="G2050" s="30">
        <v>105244</v>
      </c>
      <c r="H2050" s="30">
        <v>105055</v>
      </c>
      <c r="I2050" s="30">
        <v>104848</v>
      </c>
      <c r="J2050" s="30">
        <v>104095</v>
      </c>
      <c r="K2050" s="30">
        <v>103613</v>
      </c>
      <c r="L2050" s="30">
        <v>103093</v>
      </c>
      <c r="M2050" s="30">
        <v>102725</v>
      </c>
      <c r="N2050" s="30">
        <v>102351</v>
      </c>
      <c r="O2050" s="24" t="str">
        <f t="shared" si="63"/>
        <v>Allen County, Ohio</v>
      </c>
    </row>
    <row r="2051" spans="1:15" x14ac:dyDescent="0.25">
      <c r="A2051" s="35" t="s">
        <v>2526</v>
      </c>
      <c r="B2051" s="28" t="str">
        <f t="shared" si="62"/>
        <v>Ashland</v>
      </c>
      <c r="C2051" s="30">
        <v>53139</v>
      </c>
      <c r="D2051" s="30">
        <v>53140</v>
      </c>
      <c r="E2051" s="30">
        <v>53321</v>
      </c>
      <c r="F2051" s="30">
        <v>53252</v>
      </c>
      <c r="G2051" s="30">
        <v>53239</v>
      </c>
      <c r="H2051" s="30">
        <v>53153</v>
      </c>
      <c r="I2051" s="30">
        <v>53161</v>
      </c>
      <c r="J2051" s="30">
        <v>53310</v>
      </c>
      <c r="K2051" s="30">
        <v>53520</v>
      </c>
      <c r="L2051" s="30">
        <v>53662</v>
      </c>
      <c r="M2051" s="30">
        <v>53706</v>
      </c>
      <c r="N2051" s="30">
        <v>53484</v>
      </c>
      <c r="O2051" s="24" t="str">
        <f t="shared" si="63"/>
        <v>Ashland County, Ohio</v>
      </c>
    </row>
    <row r="2052" spans="1:15" x14ac:dyDescent="0.25">
      <c r="A2052" s="35" t="s">
        <v>2527</v>
      </c>
      <c r="B2052" s="28" t="str">
        <f t="shared" si="62"/>
        <v>Ashtabula</v>
      </c>
      <c r="C2052" s="30">
        <v>101497</v>
      </c>
      <c r="D2052" s="30">
        <v>101489</v>
      </c>
      <c r="E2052" s="30">
        <v>101403</v>
      </c>
      <c r="F2052" s="30">
        <v>101085</v>
      </c>
      <c r="G2052" s="30">
        <v>100252</v>
      </c>
      <c r="H2052" s="30">
        <v>99746</v>
      </c>
      <c r="I2052" s="30">
        <v>99027</v>
      </c>
      <c r="J2052" s="30">
        <v>98404</v>
      </c>
      <c r="K2052" s="30">
        <v>98171</v>
      </c>
      <c r="L2052" s="30">
        <v>97748</v>
      </c>
      <c r="M2052" s="30">
        <v>97587</v>
      </c>
      <c r="N2052" s="30">
        <v>97241</v>
      </c>
      <c r="O2052" s="24" t="str">
        <f t="shared" si="63"/>
        <v>Ashtabula County, Ohio</v>
      </c>
    </row>
    <row r="2053" spans="1:15" x14ac:dyDescent="0.25">
      <c r="A2053" s="35" t="s">
        <v>2528</v>
      </c>
      <c r="B2053" s="28" t="str">
        <f t="shared" si="62"/>
        <v>Athens</v>
      </c>
      <c r="C2053" s="30">
        <v>64757</v>
      </c>
      <c r="D2053" s="30">
        <v>64764</v>
      </c>
      <c r="E2053" s="30">
        <v>65173</v>
      </c>
      <c r="F2053" s="30">
        <v>65079</v>
      </c>
      <c r="G2053" s="30">
        <v>64610</v>
      </c>
      <c r="H2053" s="30">
        <v>64594</v>
      </c>
      <c r="I2053" s="30">
        <v>64783</v>
      </c>
      <c r="J2053" s="30">
        <v>65886</v>
      </c>
      <c r="K2053" s="30">
        <v>66352</v>
      </c>
      <c r="L2053" s="30">
        <v>66503</v>
      </c>
      <c r="M2053" s="30">
        <v>65519</v>
      </c>
      <c r="N2053" s="30">
        <v>65327</v>
      </c>
      <c r="O2053" s="24" t="str">
        <f t="shared" si="63"/>
        <v>Athens County, Ohio</v>
      </c>
    </row>
    <row r="2054" spans="1:15" x14ac:dyDescent="0.25">
      <c r="A2054" s="35" t="s">
        <v>2529</v>
      </c>
      <c r="B2054" s="28" t="str">
        <f t="shared" si="62"/>
        <v>Auglaize</v>
      </c>
      <c r="C2054" s="30">
        <v>45949</v>
      </c>
      <c r="D2054" s="30">
        <v>45917</v>
      </c>
      <c r="E2054" s="30">
        <v>45898</v>
      </c>
      <c r="F2054" s="30">
        <v>45741</v>
      </c>
      <c r="G2054" s="30">
        <v>45770</v>
      </c>
      <c r="H2054" s="30">
        <v>45801</v>
      </c>
      <c r="I2054" s="30">
        <v>45737</v>
      </c>
      <c r="J2054" s="30">
        <v>45734</v>
      </c>
      <c r="K2054" s="30">
        <v>45766</v>
      </c>
      <c r="L2054" s="30">
        <v>45753</v>
      </c>
      <c r="M2054" s="30">
        <v>45736</v>
      </c>
      <c r="N2054" s="30">
        <v>45656</v>
      </c>
      <c r="O2054" s="24" t="str">
        <f t="shared" si="63"/>
        <v>Auglaize County, Ohio</v>
      </c>
    </row>
    <row r="2055" spans="1:15" x14ac:dyDescent="0.25">
      <c r="A2055" s="35" t="s">
        <v>2530</v>
      </c>
      <c r="B2055" s="28" t="str">
        <f t="shared" ref="B2055:B2118" si="64">LEFT(A2055,FIND("County",A2055,1)-2)</f>
        <v>Belmont</v>
      </c>
      <c r="C2055" s="30">
        <v>70400</v>
      </c>
      <c r="D2055" s="30">
        <v>70400</v>
      </c>
      <c r="E2055" s="30">
        <v>70333</v>
      </c>
      <c r="F2055" s="30">
        <v>70122</v>
      </c>
      <c r="G2055" s="30">
        <v>69709</v>
      </c>
      <c r="H2055" s="30">
        <v>69563</v>
      </c>
      <c r="I2055" s="30">
        <v>69367</v>
      </c>
      <c r="J2055" s="30">
        <v>68973</v>
      </c>
      <c r="K2055" s="30">
        <v>68606</v>
      </c>
      <c r="L2055" s="30">
        <v>68002</v>
      </c>
      <c r="M2055" s="30">
        <v>67533</v>
      </c>
      <c r="N2055" s="30">
        <v>67006</v>
      </c>
      <c r="O2055" s="24" t="str">
        <f t="shared" ref="O2055:O2118" si="65">A2055</f>
        <v>Belmont County, Ohio</v>
      </c>
    </row>
    <row r="2056" spans="1:15" x14ac:dyDescent="0.25">
      <c r="A2056" s="35" t="s">
        <v>2531</v>
      </c>
      <c r="B2056" s="28" t="str">
        <f t="shared" si="64"/>
        <v>Brown</v>
      </c>
      <c r="C2056" s="30">
        <v>44846</v>
      </c>
      <c r="D2056" s="30">
        <v>44826</v>
      </c>
      <c r="E2056" s="30">
        <v>44863</v>
      </c>
      <c r="F2056" s="30">
        <v>44629</v>
      </c>
      <c r="G2056" s="30">
        <v>44281</v>
      </c>
      <c r="H2056" s="30">
        <v>44111</v>
      </c>
      <c r="I2056" s="30">
        <v>43933</v>
      </c>
      <c r="J2056" s="30">
        <v>43697</v>
      </c>
      <c r="K2056" s="30">
        <v>43638</v>
      </c>
      <c r="L2056" s="30">
        <v>43523</v>
      </c>
      <c r="M2056" s="30">
        <v>43570</v>
      </c>
      <c r="N2056" s="30">
        <v>43432</v>
      </c>
      <c r="O2056" s="24" t="str">
        <f t="shared" si="65"/>
        <v>Brown County, Ohio</v>
      </c>
    </row>
    <row r="2057" spans="1:15" x14ac:dyDescent="0.25">
      <c r="A2057" s="35" t="s">
        <v>2532</v>
      </c>
      <c r="B2057" s="28" t="str">
        <f t="shared" si="64"/>
        <v>Butler</v>
      </c>
      <c r="C2057" s="30">
        <v>368130</v>
      </c>
      <c r="D2057" s="30">
        <v>368136</v>
      </c>
      <c r="E2057" s="30">
        <v>369102</v>
      </c>
      <c r="F2057" s="30">
        <v>370123</v>
      </c>
      <c r="G2057" s="30">
        <v>370550</v>
      </c>
      <c r="H2057" s="30">
        <v>371395</v>
      </c>
      <c r="I2057" s="30">
        <v>373750</v>
      </c>
      <c r="J2057" s="30">
        <v>375998</v>
      </c>
      <c r="K2057" s="30">
        <v>378354</v>
      </c>
      <c r="L2057" s="30">
        <v>380607</v>
      </c>
      <c r="M2057" s="30">
        <v>382000</v>
      </c>
      <c r="N2057" s="30">
        <v>383134</v>
      </c>
      <c r="O2057" s="24" t="str">
        <f t="shared" si="65"/>
        <v>Butler County, Ohio</v>
      </c>
    </row>
    <row r="2058" spans="1:15" x14ac:dyDescent="0.25">
      <c r="A2058" s="35" t="s">
        <v>2533</v>
      </c>
      <c r="B2058" s="28" t="str">
        <f t="shared" si="64"/>
        <v>Carroll</v>
      </c>
      <c r="C2058" s="30">
        <v>28836</v>
      </c>
      <c r="D2058" s="30">
        <v>28834</v>
      </c>
      <c r="E2058" s="30">
        <v>28846</v>
      </c>
      <c r="F2058" s="30">
        <v>28820</v>
      </c>
      <c r="G2058" s="30">
        <v>28538</v>
      </c>
      <c r="H2058" s="30">
        <v>28257</v>
      </c>
      <c r="I2058" s="30">
        <v>28129</v>
      </c>
      <c r="J2058" s="30">
        <v>27718</v>
      </c>
      <c r="K2058" s="30">
        <v>27621</v>
      </c>
      <c r="L2058" s="30">
        <v>27324</v>
      </c>
      <c r="M2058" s="30">
        <v>27082</v>
      </c>
      <c r="N2058" s="30">
        <v>26914</v>
      </c>
      <c r="O2058" s="24" t="str">
        <f t="shared" si="65"/>
        <v>Carroll County, Ohio</v>
      </c>
    </row>
    <row r="2059" spans="1:15" x14ac:dyDescent="0.25">
      <c r="A2059" s="35" t="s">
        <v>2534</v>
      </c>
      <c r="B2059" s="28" t="str">
        <f t="shared" si="64"/>
        <v>Champaign</v>
      </c>
      <c r="C2059" s="30">
        <v>40097</v>
      </c>
      <c r="D2059" s="30">
        <v>40101</v>
      </c>
      <c r="E2059" s="30">
        <v>40078</v>
      </c>
      <c r="F2059" s="30">
        <v>39824</v>
      </c>
      <c r="G2059" s="30">
        <v>39573</v>
      </c>
      <c r="H2059" s="30">
        <v>39461</v>
      </c>
      <c r="I2059" s="30">
        <v>39078</v>
      </c>
      <c r="J2059" s="30">
        <v>38963</v>
      </c>
      <c r="K2059" s="30">
        <v>38741</v>
      </c>
      <c r="L2059" s="30">
        <v>38851</v>
      </c>
      <c r="M2059" s="30">
        <v>38785</v>
      </c>
      <c r="N2059" s="30">
        <v>38885</v>
      </c>
      <c r="O2059" s="24" t="str">
        <f t="shared" si="65"/>
        <v>Champaign County, Ohio</v>
      </c>
    </row>
    <row r="2060" spans="1:15" x14ac:dyDescent="0.25">
      <c r="A2060" s="35" t="s">
        <v>2535</v>
      </c>
      <c r="B2060" s="28" t="str">
        <f t="shared" si="64"/>
        <v>Clark</v>
      </c>
      <c r="C2060" s="30">
        <v>138333</v>
      </c>
      <c r="D2060" s="30">
        <v>138339</v>
      </c>
      <c r="E2060" s="30">
        <v>138274</v>
      </c>
      <c r="F2060" s="30">
        <v>137811</v>
      </c>
      <c r="G2060" s="30">
        <v>137171</v>
      </c>
      <c r="H2060" s="30">
        <v>136638</v>
      </c>
      <c r="I2060" s="30">
        <v>136311</v>
      </c>
      <c r="J2060" s="30">
        <v>135746</v>
      </c>
      <c r="K2060" s="30">
        <v>134723</v>
      </c>
      <c r="L2060" s="30">
        <v>134549</v>
      </c>
      <c r="M2060" s="30">
        <v>134528</v>
      </c>
      <c r="N2060" s="30">
        <v>134083</v>
      </c>
      <c r="O2060" s="24" t="str">
        <f t="shared" si="65"/>
        <v>Clark County, Ohio</v>
      </c>
    </row>
    <row r="2061" spans="1:15" x14ac:dyDescent="0.25">
      <c r="A2061" s="35" t="s">
        <v>2536</v>
      </c>
      <c r="B2061" s="28" t="str">
        <f t="shared" si="64"/>
        <v>Clermont</v>
      </c>
      <c r="C2061" s="30">
        <v>197363</v>
      </c>
      <c r="D2061" s="30">
        <v>197366</v>
      </c>
      <c r="E2061" s="30">
        <v>197604</v>
      </c>
      <c r="F2061" s="30">
        <v>198859</v>
      </c>
      <c r="G2061" s="30">
        <v>199487</v>
      </c>
      <c r="H2061" s="30">
        <v>200447</v>
      </c>
      <c r="I2061" s="30">
        <v>201454</v>
      </c>
      <c r="J2061" s="30">
        <v>201995</v>
      </c>
      <c r="K2061" s="30">
        <v>203165</v>
      </c>
      <c r="L2061" s="30">
        <v>204260</v>
      </c>
      <c r="M2061" s="30">
        <v>205526</v>
      </c>
      <c r="N2061" s="30">
        <v>206428</v>
      </c>
      <c r="O2061" s="24" t="str">
        <f t="shared" si="65"/>
        <v>Clermont County, Ohio</v>
      </c>
    </row>
    <row r="2062" spans="1:15" x14ac:dyDescent="0.25">
      <c r="A2062" s="35" t="s">
        <v>2537</v>
      </c>
      <c r="B2062" s="28" t="str">
        <f t="shared" si="64"/>
        <v>Clinton</v>
      </c>
      <c r="C2062" s="30">
        <v>42040</v>
      </c>
      <c r="D2062" s="30">
        <v>42048</v>
      </c>
      <c r="E2062" s="30">
        <v>41922</v>
      </c>
      <c r="F2062" s="30">
        <v>41913</v>
      </c>
      <c r="G2062" s="30">
        <v>41819</v>
      </c>
      <c r="H2062" s="30">
        <v>41864</v>
      </c>
      <c r="I2062" s="30">
        <v>41805</v>
      </c>
      <c r="J2062" s="30">
        <v>41839</v>
      </c>
      <c r="K2062" s="30">
        <v>41887</v>
      </c>
      <c r="L2062" s="30">
        <v>42004</v>
      </c>
      <c r="M2062" s="30">
        <v>42085</v>
      </c>
      <c r="N2062" s="30">
        <v>41968</v>
      </c>
      <c r="O2062" s="24" t="str">
        <f t="shared" si="65"/>
        <v>Clinton County, Ohio</v>
      </c>
    </row>
    <row r="2063" spans="1:15" x14ac:dyDescent="0.25">
      <c r="A2063" s="35" t="s">
        <v>2538</v>
      </c>
      <c r="B2063" s="28" t="str">
        <f t="shared" si="64"/>
        <v>Columbiana</v>
      </c>
      <c r="C2063" s="30">
        <v>107841</v>
      </c>
      <c r="D2063" s="30">
        <v>107852</v>
      </c>
      <c r="E2063" s="30">
        <v>107890</v>
      </c>
      <c r="F2063" s="30">
        <v>107419</v>
      </c>
      <c r="G2063" s="30">
        <v>106620</v>
      </c>
      <c r="H2063" s="30">
        <v>105959</v>
      </c>
      <c r="I2063" s="30">
        <v>105621</v>
      </c>
      <c r="J2063" s="30">
        <v>104714</v>
      </c>
      <c r="K2063" s="30">
        <v>103817</v>
      </c>
      <c r="L2063" s="30">
        <v>103062</v>
      </c>
      <c r="M2063" s="30">
        <v>102473</v>
      </c>
      <c r="N2063" s="30">
        <v>101883</v>
      </c>
      <c r="O2063" s="24" t="str">
        <f t="shared" si="65"/>
        <v>Columbiana County, Ohio</v>
      </c>
    </row>
    <row r="2064" spans="1:15" x14ac:dyDescent="0.25">
      <c r="A2064" s="35" t="s">
        <v>2539</v>
      </c>
      <c r="B2064" s="28" t="str">
        <f t="shared" si="64"/>
        <v>Coshocton</v>
      </c>
      <c r="C2064" s="30">
        <v>36901</v>
      </c>
      <c r="D2064" s="30">
        <v>36900</v>
      </c>
      <c r="E2064" s="30">
        <v>36938</v>
      </c>
      <c r="F2064" s="30">
        <v>36931</v>
      </c>
      <c r="G2064" s="30">
        <v>36823</v>
      </c>
      <c r="H2064" s="30">
        <v>36723</v>
      </c>
      <c r="I2064" s="30">
        <v>36531</v>
      </c>
      <c r="J2064" s="30">
        <v>36577</v>
      </c>
      <c r="K2064" s="30">
        <v>36617</v>
      </c>
      <c r="L2064" s="30">
        <v>36536</v>
      </c>
      <c r="M2064" s="30">
        <v>36596</v>
      </c>
      <c r="N2064" s="30">
        <v>36600</v>
      </c>
      <c r="O2064" s="24" t="str">
        <f t="shared" si="65"/>
        <v>Coshocton County, Ohio</v>
      </c>
    </row>
    <row r="2065" spans="1:15" x14ac:dyDescent="0.25">
      <c r="A2065" s="35" t="s">
        <v>2540</v>
      </c>
      <c r="B2065" s="28" t="str">
        <f t="shared" si="64"/>
        <v>Crawford</v>
      </c>
      <c r="C2065" s="30">
        <v>43784</v>
      </c>
      <c r="D2065" s="30">
        <v>43783</v>
      </c>
      <c r="E2065" s="30">
        <v>43754</v>
      </c>
      <c r="F2065" s="30">
        <v>43310</v>
      </c>
      <c r="G2065" s="30">
        <v>42776</v>
      </c>
      <c r="H2065" s="30">
        <v>42713</v>
      </c>
      <c r="I2065" s="30">
        <v>42407</v>
      </c>
      <c r="J2065" s="30">
        <v>42324</v>
      </c>
      <c r="K2065" s="30">
        <v>42095</v>
      </c>
      <c r="L2065" s="30">
        <v>41710</v>
      </c>
      <c r="M2065" s="30">
        <v>41484</v>
      </c>
      <c r="N2065" s="30">
        <v>41494</v>
      </c>
      <c r="O2065" s="24" t="str">
        <f t="shared" si="65"/>
        <v>Crawford County, Ohio</v>
      </c>
    </row>
    <row r="2066" spans="1:15" x14ac:dyDescent="0.25">
      <c r="A2066" s="35" t="s">
        <v>2541</v>
      </c>
      <c r="B2066" s="28" t="str">
        <f t="shared" si="64"/>
        <v>Cuyahoga</v>
      </c>
      <c r="C2066" s="30">
        <v>1280122</v>
      </c>
      <c r="D2066" s="30">
        <v>1280114</v>
      </c>
      <c r="E2066" s="30">
        <v>1278088</v>
      </c>
      <c r="F2066" s="30">
        <v>1270331</v>
      </c>
      <c r="G2066" s="30">
        <v>1266106</v>
      </c>
      <c r="H2066" s="30">
        <v>1265442</v>
      </c>
      <c r="I2066" s="30">
        <v>1263201</v>
      </c>
      <c r="J2066" s="30">
        <v>1258739</v>
      </c>
      <c r="K2066" s="30">
        <v>1254144</v>
      </c>
      <c r="L2066" s="30">
        <v>1247581</v>
      </c>
      <c r="M2066" s="30">
        <v>1241718</v>
      </c>
      <c r="N2066" s="30">
        <v>1235072</v>
      </c>
      <c r="O2066" s="24" t="str">
        <f t="shared" si="65"/>
        <v>Cuyahoga County, Ohio</v>
      </c>
    </row>
    <row r="2067" spans="1:15" x14ac:dyDescent="0.25">
      <c r="A2067" s="35" t="s">
        <v>2542</v>
      </c>
      <c r="B2067" s="28" t="str">
        <f t="shared" si="64"/>
        <v>Darke</v>
      </c>
      <c r="C2067" s="30">
        <v>52959</v>
      </c>
      <c r="D2067" s="30">
        <v>52968</v>
      </c>
      <c r="E2067" s="30">
        <v>52963</v>
      </c>
      <c r="F2067" s="30">
        <v>52653</v>
      </c>
      <c r="G2067" s="30">
        <v>52515</v>
      </c>
      <c r="H2067" s="30">
        <v>52306</v>
      </c>
      <c r="I2067" s="30">
        <v>52184</v>
      </c>
      <c r="J2067" s="30">
        <v>51981</v>
      </c>
      <c r="K2067" s="30">
        <v>51624</v>
      </c>
      <c r="L2067" s="30">
        <v>51549</v>
      </c>
      <c r="M2067" s="30">
        <v>51299</v>
      </c>
      <c r="N2067" s="30">
        <v>51113</v>
      </c>
      <c r="O2067" s="24" t="str">
        <f t="shared" si="65"/>
        <v>Darke County, Ohio</v>
      </c>
    </row>
    <row r="2068" spans="1:15" x14ac:dyDescent="0.25">
      <c r="A2068" s="35" t="s">
        <v>2543</v>
      </c>
      <c r="B2068" s="28" t="str">
        <f t="shared" si="64"/>
        <v>Defiance</v>
      </c>
      <c r="C2068" s="30">
        <v>39037</v>
      </c>
      <c r="D2068" s="30">
        <v>39026</v>
      </c>
      <c r="E2068" s="30">
        <v>39082</v>
      </c>
      <c r="F2068" s="30">
        <v>39005</v>
      </c>
      <c r="G2068" s="30">
        <v>38827</v>
      </c>
      <c r="H2068" s="30">
        <v>38564</v>
      </c>
      <c r="I2068" s="30">
        <v>38525</v>
      </c>
      <c r="J2068" s="30">
        <v>38326</v>
      </c>
      <c r="K2068" s="30">
        <v>38140</v>
      </c>
      <c r="L2068" s="30">
        <v>38156</v>
      </c>
      <c r="M2068" s="30">
        <v>38089</v>
      </c>
      <c r="N2068" s="30">
        <v>38087</v>
      </c>
      <c r="O2068" s="24" t="str">
        <f t="shared" si="65"/>
        <v>Defiance County, Ohio</v>
      </c>
    </row>
    <row r="2069" spans="1:15" x14ac:dyDescent="0.25">
      <c r="A2069" s="35" t="s">
        <v>2544</v>
      </c>
      <c r="B2069" s="28" t="str">
        <f t="shared" si="64"/>
        <v>Delaware</v>
      </c>
      <c r="C2069" s="30">
        <v>174214</v>
      </c>
      <c r="D2069" s="30">
        <v>174172</v>
      </c>
      <c r="E2069" s="30">
        <v>175099</v>
      </c>
      <c r="F2069" s="30">
        <v>178535</v>
      </c>
      <c r="G2069" s="30">
        <v>181127</v>
      </c>
      <c r="H2069" s="30">
        <v>185380</v>
      </c>
      <c r="I2069" s="30">
        <v>189440</v>
      </c>
      <c r="J2069" s="30">
        <v>193391</v>
      </c>
      <c r="K2069" s="30">
        <v>197144</v>
      </c>
      <c r="L2069" s="30">
        <v>200870</v>
      </c>
      <c r="M2069" s="30">
        <v>205091</v>
      </c>
      <c r="N2069" s="30">
        <v>209177</v>
      </c>
      <c r="O2069" s="24" t="str">
        <f t="shared" si="65"/>
        <v>Delaware County, Ohio</v>
      </c>
    </row>
    <row r="2070" spans="1:15" x14ac:dyDescent="0.25">
      <c r="A2070" s="35" t="s">
        <v>2545</v>
      </c>
      <c r="B2070" s="28" t="str">
        <f t="shared" si="64"/>
        <v>Erie</v>
      </c>
      <c r="C2070" s="30">
        <v>77079</v>
      </c>
      <c r="D2070" s="30">
        <v>77063</v>
      </c>
      <c r="E2070" s="30">
        <v>76978</v>
      </c>
      <c r="F2070" s="30">
        <v>76687</v>
      </c>
      <c r="G2070" s="30">
        <v>76428</v>
      </c>
      <c r="H2070" s="30">
        <v>76053</v>
      </c>
      <c r="I2070" s="30">
        <v>75809</v>
      </c>
      <c r="J2070" s="30">
        <v>75360</v>
      </c>
      <c r="K2070" s="30">
        <v>74999</v>
      </c>
      <c r="L2070" s="30">
        <v>74760</v>
      </c>
      <c r="M2070" s="30">
        <v>74513</v>
      </c>
      <c r="N2070" s="30">
        <v>74266</v>
      </c>
      <c r="O2070" s="24" t="str">
        <f t="shared" si="65"/>
        <v>Erie County, Ohio</v>
      </c>
    </row>
    <row r="2071" spans="1:15" x14ac:dyDescent="0.25">
      <c r="A2071" s="35" t="s">
        <v>2546</v>
      </c>
      <c r="B2071" s="28" t="str">
        <f t="shared" si="64"/>
        <v>Fairfield</v>
      </c>
      <c r="C2071" s="30">
        <v>146156</v>
      </c>
      <c r="D2071" s="30">
        <v>146194</v>
      </c>
      <c r="E2071" s="30">
        <v>146417</v>
      </c>
      <c r="F2071" s="30">
        <v>147174</v>
      </c>
      <c r="G2071" s="30">
        <v>147301</v>
      </c>
      <c r="H2071" s="30">
        <v>148796</v>
      </c>
      <c r="I2071" s="30">
        <v>150360</v>
      </c>
      <c r="J2071" s="30">
        <v>151254</v>
      </c>
      <c r="K2071" s="30">
        <v>152789</v>
      </c>
      <c r="L2071" s="30">
        <v>154686</v>
      </c>
      <c r="M2071" s="30">
        <v>155982</v>
      </c>
      <c r="N2071" s="30">
        <v>157574</v>
      </c>
      <c r="O2071" s="24" t="str">
        <f t="shared" si="65"/>
        <v>Fairfield County, Ohio</v>
      </c>
    </row>
    <row r="2072" spans="1:15" x14ac:dyDescent="0.25">
      <c r="A2072" s="35" t="s">
        <v>2547</v>
      </c>
      <c r="B2072" s="28" t="str">
        <f t="shared" si="64"/>
        <v>Fayette</v>
      </c>
      <c r="C2072" s="30">
        <v>29030</v>
      </c>
      <c r="D2072" s="30">
        <v>29034</v>
      </c>
      <c r="E2072" s="30">
        <v>29014</v>
      </c>
      <c r="F2072" s="30">
        <v>28867</v>
      </c>
      <c r="G2072" s="30">
        <v>28767</v>
      </c>
      <c r="H2072" s="30">
        <v>28686</v>
      </c>
      <c r="I2072" s="30">
        <v>28650</v>
      </c>
      <c r="J2072" s="30">
        <v>28611</v>
      </c>
      <c r="K2072" s="30">
        <v>28670</v>
      </c>
      <c r="L2072" s="30">
        <v>28639</v>
      </c>
      <c r="M2072" s="30">
        <v>28653</v>
      </c>
      <c r="N2072" s="30">
        <v>28525</v>
      </c>
      <c r="O2072" s="24" t="str">
        <f t="shared" si="65"/>
        <v>Fayette County, Ohio</v>
      </c>
    </row>
    <row r="2073" spans="1:15" x14ac:dyDescent="0.25">
      <c r="A2073" s="35" t="s">
        <v>2548</v>
      </c>
      <c r="B2073" s="28" t="str">
        <f t="shared" si="64"/>
        <v>Franklin</v>
      </c>
      <c r="C2073" s="30">
        <v>1163414</v>
      </c>
      <c r="D2073" s="30">
        <v>1163476</v>
      </c>
      <c r="E2073" s="30">
        <v>1166202</v>
      </c>
      <c r="F2073" s="30">
        <v>1180800</v>
      </c>
      <c r="G2073" s="30">
        <v>1199045</v>
      </c>
      <c r="H2073" s="30">
        <v>1218878</v>
      </c>
      <c r="I2073" s="30">
        <v>1238362</v>
      </c>
      <c r="J2073" s="30">
        <v>1257386</v>
      </c>
      <c r="K2073" s="30">
        <v>1274450</v>
      </c>
      <c r="L2073" s="30">
        <v>1295510</v>
      </c>
      <c r="M2073" s="30">
        <v>1307698</v>
      </c>
      <c r="N2073" s="30">
        <v>1316756</v>
      </c>
      <c r="O2073" s="24" t="str">
        <f t="shared" si="65"/>
        <v>Franklin County, Ohio</v>
      </c>
    </row>
    <row r="2074" spans="1:15" x14ac:dyDescent="0.25">
      <c r="A2074" s="35" t="s">
        <v>2549</v>
      </c>
      <c r="B2074" s="28" t="str">
        <f t="shared" si="64"/>
        <v>Fulton</v>
      </c>
      <c r="C2074" s="30">
        <v>42698</v>
      </c>
      <c r="D2074" s="30">
        <v>42698</v>
      </c>
      <c r="E2074" s="30">
        <v>42629</v>
      </c>
      <c r="F2074" s="30">
        <v>42363</v>
      </c>
      <c r="G2074" s="30">
        <v>42330</v>
      </c>
      <c r="H2074" s="30">
        <v>42199</v>
      </c>
      <c r="I2074" s="30">
        <v>42403</v>
      </c>
      <c r="J2074" s="30">
        <v>42301</v>
      </c>
      <c r="K2074" s="30">
        <v>42306</v>
      </c>
      <c r="L2074" s="30">
        <v>42265</v>
      </c>
      <c r="M2074" s="30">
        <v>42267</v>
      </c>
      <c r="N2074" s="30">
        <v>42126</v>
      </c>
      <c r="O2074" s="24" t="str">
        <f t="shared" si="65"/>
        <v>Fulton County, Ohio</v>
      </c>
    </row>
    <row r="2075" spans="1:15" x14ac:dyDescent="0.25">
      <c r="A2075" s="35" t="s">
        <v>2550</v>
      </c>
      <c r="B2075" s="28" t="str">
        <f t="shared" si="64"/>
        <v>Gallia</v>
      </c>
      <c r="C2075" s="30">
        <v>30934</v>
      </c>
      <c r="D2075" s="30">
        <v>30942</v>
      </c>
      <c r="E2075" s="30">
        <v>31072</v>
      </c>
      <c r="F2075" s="30">
        <v>31031</v>
      </c>
      <c r="G2075" s="30">
        <v>30886</v>
      </c>
      <c r="H2075" s="30">
        <v>30685</v>
      </c>
      <c r="I2075" s="30">
        <v>30463</v>
      </c>
      <c r="J2075" s="30">
        <v>30249</v>
      </c>
      <c r="K2075" s="30">
        <v>30186</v>
      </c>
      <c r="L2075" s="30">
        <v>30162</v>
      </c>
      <c r="M2075" s="30">
        <v>29945</v>
      </c>
      <c r="N2075" s="30">
        <v>29898</v>
      </c>
      <c r="O2075" s="24" t="str">
        <f t="shared" si="65"/>
        <v>Gallia County, Ohio</v>
      </c>
    </row>
    <row r="2076" spans="1:15" x14ac:dyDescent="0.25">
      <c r="A2076" s="35" t="s">
        <v>2551</v>
      </c>
      <c r="B2076" s="28" t="str">
        <f t="shared" si="64"/>
        <v>Geauga</v>
      </c>
      <c r="C2076" s="30">
        <v>93389</v>
      </c>
      <c r="D2076" s="30">
        <v>93405</v>
      </c>
      <c r="E2076" s="30">
        <v>93389</v>
      </c>
      <c r="F2076" s="30">
        <v>93292</v>
      </c>
      <c r="G2076" s="30">
        <v>93771</v>
      </c>
      <c r="H2076" s="30">
        <v>93846</v>
      </c>
      <c r="I2076" s="30">
        <v>93979</v>
      </c>
      <c r="J2076" s="30">
        <v>93894</v>
      </c>
      <c r="K2076" s="30">
        <v>93845</v>
      </c>
      <c r="L2076" s="30">
        <v>93881</v>
      </c>
      <c r="M2076" s="30">
        <v>93945</v>
      </c>
      <c r="N2076" s="30">
        <v>93649</v>
      </c>
      <c r="O2076" s="24" t="str">
        <f t="shared" si="65"/>
        <v>Geauga County, Ohio</v>
      </c>
    </row>
    <row r="2077" spans="1:15" x14ac:dyDescent="0.25">
      <c r="A2077" s="35" t="s">
        <v>2552</v>
      </c>
      <c r="B2077" s="28" t="str">
        <f t="shared" si="64"/>
        <v>Greene</v>
      </c>
      <c r="C2077" s="30">
        <v>161573</v>
      </c>
      <c r="D2077" s="30">
        <v>161577</v>
      </c>
      <c r="E2077" s="30">
        <v>161588</v>
      </c>
      <c r="F2077" s="30">
        <v>163566</v>
      </c>
      <c r="G2077" s="30">
        <v>164335</v>
      </c>
      <c r="H2077" s="30">
        <v>163907</v>
      </c>
      <c r="I2077" s="30">
        <v>164673</v>
      </c>
      <c r="J2077" s="30">
        <v>164272</v>
      </c>
      <c r="K2077" s="30">
        <v>165290</v>
      </c>
      <c r="L2077" s="30">
        <v>166566</v>
      </c>
      <c r="M2077" s="30">
        <v>167446</v>
      </c>
      <c r="N2077" s="30">
        <v>168937</v>
      </c>
      <c r="O2077" s="24" t="str">
        <f t="shared" si="65"/>
        <v>Greene County, Ohio</v>
      </c>
    </row>
    <row r="2078" spans="1:15" x14ac:dyDescent="0.25">
      <c r="A2078" s="35" t="s">
        <v>2553</v>
      </c>
      <c r="B2078" s="28" t="str">
        <f t="shared" si="64"/>
        <v>Guernsey</v>
      </c>
      <c r="C2078" s="30">
        <v>40087</v>
      </c>
      <c r="D2078" s="30">
        <v>40092</v>
      </c>
      <c r="E2078" s="30">
        <v>40155</v>
      </c>
      <c r="F2078" s="30">
        <v>39910</v>
      </c>
      <c r="G2078" s="30">
        <v>39876</v>
      </c>
      <c r="H2078" s="30">
        <v>39706</v>
      </c>
      <c r="I2078" s="30">
        <v>39690</v>
      </c>
      <c r="J2078" s="30">
        <v>39392</v>
      </c>
      <c r="K2078" s="30">
        <v>39211</v>
      </c>
      <c r="L2078" s="30">
        <v>39066</v>
      </c>
      <c r="M2078" s="30">
        <v>39011</v>
      </c>
      <c r="N2078" s="30">
        <v>38875</v>
      </c>
      <c r="O2078" s="24" t="str">
        <f t="shared" si="65"/>
        <v>Guernsey County, Ohio</v>
      </c>
    </row>
    <row r="2079" spans="1:15" x14ac:dyDescent="0.25">
      <c r="A2079" s="35" t="s">
        <v>2554</v>
      </c>
      <c r="B2079" s="28" t="str">
        <f t="shared" si="64"/>
        <v>Hamilton</v>
      </c>
      <c r="C2079" s="30">
        <v>802374</v>
      </c>
      <c r="D2079" s="30">
        <v>802371</v>
      </c>
      <c r="E2079" s="30">
        <v>802278</v>
      </c>
      <c r="F2079" s="30">
        <v>800658</v>
      </c>
      <c r="G2079" s="30">
        <v>802409</v>
      </c>
      <c r="H2079" s="30">
        <v>805182</v>
      </c>
      <c r="I2079" s="30">
        <v>807617</v>
      </c>
      <c r="J2079" s="30">
        <v>809527</v>
      </c>
      <c r="K2079" s="30">
        <v>811332</v>
      </c>
      <c r="L2079" s="30">
        <v>814170</v>
      </c>
      <c r="M2079" s="30">
        <v>815445</v>
      </c>
      <c r="N2079" s="30">
        <v>817473</v>
      </c>
      <c r="O2079" s="24" t="str">
        <f t="shared" si="65"/>
        <v>Hamilton County, Ohio</v>
      </c>
    </row>
    <row r="2080" spans="1:15" x14ac:dyDescent="0.25">
      <c r="A2080" s="35" t="s">
        <v>2555</v>
      </c>
      <c r="B2080" s="28" t="str">
        <f t="shared" si="64"/>
        <v>Hancock</v>
      </c>
      <c r="C2080" s="30">
        <v>74782</v>
      </c>
      <c r="D2080" s="30">
        <v>74789</v>
      </c>
      <c r="E2080" s="30">
        <v>74689</v>
      </c>
      <c r="F2080" s="30">
        <v>74912</v>
      </c>
      <c r="G2080" s="30">
        <v>75459</v>
      </c>
      <c r="H2080" s="30">
        <v>75581</v>
      </c>
      <c r="I2080" s="30">
        <v>75281</v>
      </c>
      <c r="J2080" s="30">
        <v>75678</v>
      </c>
      <c r="K2080" s="30">
        <v>75831</v>
      </c>
      <c r="L2080" s="30">
        <v>75973</v>
      </c>
      <c r="M2080" s="30">
        <v>75920</v>
      </c>
      <c r="N2080" s="30">
        <v>75783</v>
      </c>
      <c r="O2080" s="24" t="str">
        <f t="shared" si="65"/>
        <v>Hancock County, Ohio</v>
      </c>
    </row>
    <row r="2081" spans="1:15" x14ac:dyDescent="0.25">
      <c r="A2081" s="35" t="s">
        <v>2556</v>
      </c>
      <c r="B2081" s="28" t="str">
        <f t="shared" si="64"/>
        <v>Hardin</v>
      </c>
      <c r="C2081" s="30">
        <v>32058</v>
      </c>
      <c r="D2081" s="30">
        <v>32063</v>
      </c>
      <c r="E2081" s="30">
        <v>32127</v>
      </c>
      <c r="F2081" s="30">
        <v>31806</v>
      </c>
      <c r="G2081" s="30">
        <v>31632</v>
      </c>
      <c r="H2081" s="30">
        <v>31747</v>
      </c>
      <c r="I2081" s="30">
        <v>31784</v>
      </c>
      <c r="J2081" s="30">
        <v>31616</v>
      </c>
      <c r="K2081" s="30">
        <v>31398</v>
      </c>
      <c r="L2081" s="30">
        <v>31329</v>
      </c>
      <c r="M2081" s="30">
        <v>31418</v>
      </c>
      <c r="N2081" s="30">
        <v>31365</v>
      </c>
      <c r="O2081" s="24" t="str">
        <f t="shared" si="65"/>
        <v>Hardin County, Ohio</v>
      </c>
    </row>
    <row r="2082" spans="1:15" x14ac:dyDescent="0.25">
      <c r="A2082" s="35" t="s">
        <v>2557</v>
      </c>
      <c r="B2082" s="28" t="str">
        <f t="shared" si="64"/>
        <v>Harrison</v>
      </c>
      <c r="C2082" s="30">
        <v>15864</v>
      </c>
      <c r="D2082" s="30">
        <v>15860</v>
      </c>
      <c r="E2082" s="30">
        <v>15825</v>
      </c>
      <c r="F2082" s="30">
        <v>15790</v>
      </c>
      <c r="G2082" s="30">
        <v>15684</v>
      </c>
      <c r="H2082" s="30">
        <v>15602</v>
      </c>
      <c r="I2082" s="30">
        <v>15519</v>
      </c>
      <c r="J2082" s="30">
        <v>15395</v>
      </c>
      <c r="K2082" s="30">
        <v>15252</v>
      </c>
      <c r="L2082" s="30">
        <v>15202</v>
      </c>
      <c r="M2082" s="30">
        <v>15167</v>
      </c>
      <c r="N2082" s="30">
        <v>15040</v>
      </c>
      <c r="O2082" s="24" t="str">
        <f t="shared" si="65"/>
        <v>Harrison County, Ohio</v>
      </c>
    </row>
    <row r="2083" spans="1:15" x14ac:dyDescent="0.25">
      <c r="A2083" s="35" t="s">
        <v>2558</v>
      </c>
      <c r="B2083" s="28" t="str">
        <f t="shared" si="64"/>
        <v>Henry</v>
      </c>
      <c r="C2083" s="30">
        <v>28215</v>
      </c>
      <c r="D2083" s="30">
        <v>28215</v>
      </c>
      <c r="E2083" s="30">
        <v>28171</v>
      </c>
      <c r="F2083" s="30">
        <v>28002</v>
      </c>
      <c r="G2083" s="30">
        <v>27824</v>
      </c>
      <c r="H2083" s="30">
        <v>27824</v>
      </c>
      <c r="I2083" s="30">
        <v>27597</v>
      </c>
      <c r="J2083" s="30">
        <v>27481</v>
      </c>
      <c r="K2083" s="30">
        <v>27282</v>
      </c>
      <c r="L2083" s="30">
        <v>27179</v>
      </c>
      <c r="M2083" s="30">
        <v>27091</v>
      </c>
      <c r="N2083" s="30">
        <v>27006</v>
      </c>
      <c r="O2083" s="24" t="str">
        <f t="shared" si="65"/>
        <v>Henry County, Ohio</v>
      </c>
    </row>
    <row r="2084" spans="1:15" x14ac:dyDescent="0.25">
      <c r="A2084" s="35" t="s">
        <v>2559</v>
      </c>
      <c r="B2084" s="28" t="str">
        <f t="shared" si="64"/>
        <v>Highland</v>
      </c>
      <c r="C2084" s="30">
        <v>43589</v>
      </c>
      <c r="D2084" s="30">
        <v>43606</v>
      </c>
      <c r="E2084" s="30">
        <v>43621</v>
      </c>
      <c r="F2084" s="30">
        <v>43378</v>
      </c>
      <c r="G2084" s="30">
        <v>42964</v>
      </c>
      <c r="H2084" s="30">
        <v>43195</v>
      </c>
      <c r="I2084" s="30">
        <v>43093</v>
      </c>
      <c r="J2084" s="30">
        <v>42960</v>
      </c>
      <c r="K2084" s="30">
        <v>43006</v>
      </c>
      <c r="L2084" s="30">
        <v>42903</v>
      </c>
      <c r="M2084" s="30">
        <v>43052</v>
      </c>
      <c r="N2084" s="30">
        <v>43161</v>
      </c>
      <c r="O2084" s="24" t="str">
        <f t="shared" si="65"/>
        <v>Highland County, Ohio</v>
      </c>
    </row>
    <row r="2085" spans="1:15" x14ac:dyDescent="0.25">
      <c r="A2085" s="35" t="s">
        <v>2560</v>
      </c>
      <c r="B2085" s="28" t="str">
        <f t="shared" si="64"/>
        <v>Hocking</v>
      </c>
      <c r="C2085" s="30">
        <v>29380</v>
      </c>
      <c r="D2085" s="30">
        <v>29369</v>
      </c>
      <c r="E2085" s="30">
        <v>29478</v>
      </c>
      <c r="F2085" s="30">
        <v>29466</v>
      </c>
      <c r="G2085" s="30">
        <v>29304</v>
      </c>
      <c r="H2085" s="30">
        <v>28653</v>
      </c>
      <c r="I2085" s="30">
        <v>28743</v>
      </c>
      <c r="J2085" s="30">
        <v>28500</v>
      </c>
      <c r="K2085" s="30">
        <v>28393</v>
      </c>
      <c r="L2085" s="30">
        <v>28436</v>
      </c>
      <c r="M2085" s="30">
        <v>28357</v>
      </c>
      <c r="N2085" s="30">
        <v>28264</v>
      </c>
      <c r="O2085" s="24" t="str">
        <f t="shared" si="65"/>
        <v>Hocking County, Ohio</v>
      </c>
    </row>
    <row r="2086" spans="1:15" x14ac:dyDescent="0.25">
      <c r="A2086" s="35" t="s">
        <v>2561</v>
      </c>
      <c r="B2086" s="28" t="str">
        <f t="shared" si="64"/>
        <v>Holmes</v>
      </c>
      <c r="C2086" s="30">
        <v>42366</v>
      </c>
      <c r="D2086" s="30">
        <v>42363</v>
      </c>
      <c r="E2086" s="30">
        <v>42473</v>
      </c>
      <c r="F2086" s="30">
        <v>42793</v>
      </c>
      <c r="G2086" s="30">
        <v>43128</v>
      </c>
      <c r="H2086" s="30">
        <v>43604</v>
      </c>
      <c r="I2086" s="30">
        <v>43788</v>
      </c>
      <c r="J2086" s="30">
        <v>43882</v>
      </c>
      <c r="K2086" s="30">
        <v>43847</v>
      </c>
      <c r="L2086" s="30">
        <v>43895</v>
      </c>
      <c r="M2086" s="30">
        <v>43919</v>
      </c>
      <c r="N2086" s="30">
        <v>43960</v>
      </c>
      <c r="O2086" s="24" t="str">
        <f t="shared" si="65"/>
        <v>Holmes County, Ohio</v>
      </c>
    </row>
    <row r="2087" spans="1:15" x14ac:dyDescent="0.25">
      <c r="A2087" s="35" t="s">
        <v>2562</v>
      </c>
      <c r="B2087" s="28" t="str">
        <f t="shared" si="64"/>
        <v>Huron</v>
      </c>
      <c r="C2087" s="30">
        <v>59626</v>
      </c>
      <c r="D2087" s="30">
        <v>59623</v>
      </c>
      <c r="E2087" s="30">
        <v>59560</v>
      </c>
      <c r="F2087" s="30">
        <v>59416</v>
      </c>
      <c r="G2087" s="30">
        <v>59204</v>
      </c>
      <c r="H2087" s="30">
        <v>58825</v>
      </c>
      <c r="I2087" s="30">
        <v>58610</v>
      </c>
      <c r="J2087" s="30">
        <v>58307</v>
      </c>
      <c r="K2087" s="30">
        <v>58367</v>
      </c>
      <c r="L2087" s="30">
        <v>58393</v>
      </c>
      <c r="M2087" s="30">
        <v>58364</v>
      </c>
      <c r="N2087" s="30">
        <v>58266</v>
      </c>
      <c r="O2087" s="24" t="str">
        <f t="shared" si="65"/>
        <v>Huron County, Ohio</v>
      </c>
    </row>
    <row r="2088" spans="1:15" x14ac:dyDescent="0.25">
      <c r="A2088" s="35" t="s">
        <v>2563</v>
      </c>
      <c r="B2088" s="28" t="str">
        <f t="shared" si="64"/>
        <v>Jackson</v>
      </c>
      <c r="C2088" s="30">
        <v>33225</v>
      </c>
      <c r="D2088" s="30">
        <v>33219</v>
      </c>
      <c r="E2088" s="30">
        <v>33248</v>
      </c>
      <c r="F2088" s="30">
        <v>33124</v>
      </c>
      <c r="G2088" s="30">
        <v>32869</v>
      </c>
      <c r="H2088" s="30">
        <v>32801</v>
      </c>
      <c r="I2088" s="30">
        <v>32761</v>
      </c>
      <c r="J2088" s="30">
        <v>32559</v>
      </c>
      <c r="K2088" s="30">
        <v>32528</v>
      </c>
      <c r="L2088" s="30">
        <v>32386</v>
      </c>
      <c r="M2088" s="30">
        <v>32366</v>
      </c>
      <c r="N2088" s="30">
        <v>32413</v>
      </c>
      <c r="O2088" s="24" t="str">
        <f t="shared" si="65"/>
        <v>Jackson County, Ohio</v>
      </c>
    </row>
    <row r="2089" spans="1:15" x14ac:dyDescent="0.25">
      <c r="A2089" s="35" t="s">
        <v>2564</v>
      </c>
      <c r="B2089" s="28" t="str">
        <f t="shared" si="64"/>
        <v>Jefferson</v>
      </c>
      <c r="C2089" s="30">
        <v>69709</v>
      </c>
      <c r="D2089" s="30">
        <v>69716</v>
      </c>
      <c r="E2089" s="30">
        <v>69670</v>
      </c>
      <c r="F2089" s="30">
        <v>69035</v>
      </c>
      <c r="G2089" s="30">
        <v>68538</v>
      </c>
      <c r="H2089" s="30">
        <v>68168</v>
      </c>
      <c r="I2089" s="30">
        <v>67876</v>
      </c>
      <c r="J2089" s="30">
        <v>67495</v>
      </c>
      <c r="K2089" s="30">
        <v>66944</v>
      </c>
      <c r="L2089" s="30">
        <v>66318</v>
      </c>
      <c r="M2089" s="30">
        <v>65774</v>
      </c>
      <c r="N2089" s="30">
        <v>65325</v>
      </c>
      <c r="O2089" s="24" t="str">
        <f t="shared" si="65"/>
        <v>Jefferson County, Ohio</v>
      </c>
    </row>
    <row r="2090" spans="1:15" x14ac:dyDescent="0.25">
      <c r="A2090" s="35" t="s">
        <v>2565</v>
      </c>
      <c r="B2090" s="28" t="str">
        <f t="shared" si="64"/>
        <v>Knox</v>
      </c>
      <c r="C2090" s="30">
        <v>60921</v>
      </c>
      <c r="D2090" s="30">
        <v>60928</v>
      </c>
      <c r="E2090" s="30">
        <v>61090</v>
      </c>
      <c r="F2090" s="30">
        <v>61283</v>
      </c>
      <c r="G2090" s="30">
        <v>60764</v>
      </c>
      <c r="H2090" s="30">
        <v>60858</v>
      </c>
      <c r="I2090" s="30">
        <v>61000</v>
      </c>
      <c r="J2090" s="30">
        <v>61001</v>
      </c>
      <c r="K2090" s="30">
        <v>60909</v>
      </c>
      <c r="L2090" s="30">
        <v>61271</v>
      </c>
      <c r="M2090" s="30">
        <v>61900</v>
      </c>
      <c r="N2090" s="30">
        <v>62322</v>
      </c>
      <c r="O2090" s="24" t="str">
        <f t="shared" si="65"/>
        <v>Knox County, Ohio</v>
      </c>
    </row>
    <row r="2091" spans="1:15" x14ac:dyDescent="0.25">
      <c r="A2091" s="35" t="s">
        <v>2566</v>
      </c>
      <c r="B2091" s="28" t="str">
        <f t="shared" si="64"/>
        <v>Lake</v>
      </c>
      <c r="C2091" s="30">
        <v>230041</v>
      </c>
      <c r="D2091" s="30">
        <v>230051</v>
      </c>
      <c r="E2091" s="30">
        <v>230014</v>
      </c>
      <c r="F2091" s="30">
        <v>229988</v>
      </c>
      <c r="G2091" s="30">
        <v>229564</v>
      </c>
      <c r="H2091" s="30">
        <v>230075</v>
      </c>
      <c r="I2091" s="30">
        <v>229857</v>
      </c>
      <c r="J2091" s="30">
        <v>229836</v>
      </c>
      <c r="K2091" s="30">
        <v>229525</v>
      </c>
      <c r="L2091" s="30">
        <v>230159</v>
      </c>
      <c r="M2091" s="30">
        <v>230102</v>
      </c>
      <c r="N2091" s="30">
        <v>230149</v>
      </c>
      <c r="O2091" s="24" t="str">
        <f t="shared" si="65"/>
        <v>Lake County, Ohio</v>
      </c>
    </row>
    <row r="2092" spans="1:15" x14ac:dyDescent="0.25">
      <c r="A2092" s="35" t="s">
        <v>2567</v>
      </c>
      <c r="B2092" s="28" t="str">
        <f t="shared" si="64"/>
        <v>Lawrence</v>
      </c>
      <c r="C2092" s="30">
        <v>62450</v>
      </c>
      <c r="D2092" s="30">
        <v>62448</v>
      </c>
      <c r="E2092" s="30">
        <v>62424</v>
      </c>
      <c r="F2092" s="30">
        <v>62415</v>
      </c>
      <c r="G2092" s="30">
        <v>62146</v>
      </c>
      <c r="H2092" s="30">
        <v>61858</v>
      </c>
      <c r="I2092" s="30">
        <v>61539</v>
      </c>
      <c r="J2092" s="30">
        <v>60923</v>
      </c>
      <c r="K2092" s="30">
        <v>60691</v>
      </c>
      <c r="L2092" s="30">
        <v>60075</v>
      </c>
      <c r="M2092" s="30">
        <v>59767</v>
      </c>
      <c r="N2092" s="30">
        <v>59463</v>
      </c>
      <c r="O2092" s="24" t="str">
        <f t="shared" si="65"/>
        <v>Lawrence County, Ohio</v>
      </c>
    </row>
    <row r="2093" spans="1:15" x14ac:dyDescent="0.25">
      <c r="A2093" s="35" t="s">
        <v>2568</v>
      </c>
      <c r="B2093" s="28" t="str">
        <f t="shared" si="64"/>
        <v>Licking</v>
      </c>
      <c r="C2093" s="30">
        <v>166492</v>
      </c>
      <c r="D2093" s="30">
        <v>166482</v>
      </c>
      <c r="E2093" s="30">
        <v>166705</v>
      </c>
      <c r="F2093" s="30">
        <v>167164</v>
      </c>
      <c r="G2093" s="30">
        <v>167589</v>
      </c>
      <c r="H2093" s="30">
        <v>168461</v>
      </c>
      <c r="I2093" s="30">
        <v>169410</v>
      </c>
      <c r="J2093" s="30">
        <v>170611</v>
      </c>
      <c r="K2093" s="30">
        <v>171993</v>
      </c>
      <c r="L2093" s="30">
        <v>173617</v>
      </c>
      <c r="M2093" s="30">
        <v>175666</v>
      </c>
      <c r="N2093" s="30">
        <v>176862</v>
      </c>
      <c r="O2093" s="24" t="str">
        <f t="shared" si="65"/>
        <v>Licking County, Ohio</v>
      </c>
    </row>
    <row r="2094" spans="1:15" x14ac:dyDescent="0.25">
      <c r="A2094" s="35" t="s">
        <v>2569</v>
      </c>
      <c r="B2094" s="28" t="str">
        <f t="shared" si="64"/>
        <v>Logan</v>
      </c>
      <c r="C2094" s="30">
        <v>45858</v>
      </c>
      <c r="D2094" s="30">
        <v>45848</v>
      </c>
      <c r="E2094" s="30">
        <v>45743</v>
      </c>
      <c r="F2094" s="30">
        <v>45623</v>
      </c>
      <c r="G2094" s="30">
        <v>45410</v>
      </c>
      <c r="H2094" s="30">
        <v>45393</v>
      </c>
      <c r="I2094" s="30">
        <v>45473</v>
      </c>
      <c r="J2094" s="30">
        <v>45250</v>
      </c>
      <c r="K2094" s="30">
        <v>45128</v>
      </c>
      <c r="L2094" s="30">
        <v>45198</v>
      </c>
      <c r="M2094" s="30">
        <v>45332</v>
      </c>
      <c r="N2094" s="30">
        <v>45672</v>
      </c>
      <c r="O2094" s="24" t="str">
        <f t="shared" si="65"/>
        <v>Logan County, Ohio</v>
      </c>
    </row>
    <row r="2095" spans="1:15" x14ac:dyDescent="0.25">
      <c r="A2095" s="35" t="s">
        <v>2570</v>
      </c>
      <c r="B2095" s="28" t="str">
        <f t="shared" si="64"/>
        <v>Lorain</v>
      </c>
      <c r="C2095" s="30">
        <v>301356</v>
      </c>
      <c r="D2095" s="30">
        <v>301374</v>
      </c>
      <c r="E2095" s="30">
        <v>301478</v>
      </c>
      <c r="F2095" s="30">
        <v>301874</v>
      </c>
      <c r="G2095" s="30">
        <v>301712</v>
      </c>
      <c r="H2095" s="30">
        <v>303098</v>
      </c>
      <c r="I2095" s="30">
        <v>304464</v>
      </c>
      <c r="J2095" s="30">
        <v>305417</v>
      </c>
      <c r="K2095" s="30">
        <v>306607</v>
      </c>
      <c r="L2095" s="30">
        <v>307441</v>
      </c>
      <c r="M2095" s="30">
        <v>309052</v>
      </c>
      <c r="N2095" s="30">
        <v>309833</v>
      </c>
      <c r="O2095" s="24" t="str">
        <f t="shared" si="65"/>
        <v>Lorain County, Ohio</v>
      </c>
    </row>
    <row r="2096" spans="1:15" x14ac:dyDescent="0.25">
      <c r="A2096" s="35" t="s">
        <v>2571</v>
      </c>
      <c r="B2096" s="28" t="str">
        <f t="shared" si="64"/>
        <v>Lucas</v>
      </c>
      <c r="C2096" s="30">
        <v>441815</v>
      </c>
      <c r="D2096" s="30">
        <v>441815</v>
      </c>
      <c r="E2096" s="30">
        <v>441434</v>
      </c>
      <c r="F2096" s="30">
        <v>439359</v>
      </c>
      <c r="G2096" s="30">
        <v>436753</v>
      </c>
      <c r="H2096" s="30">
        <v>436156</v>
      </c>
      <c r="I2096" s="30">
        <v>434585</v>
      </c>
      <c r="J2096" s="30">
        <v>433633</v>
      </c>
      <c r="K2096" s="30">
        <v>432879</v>
      </c>
      <c r="L2096" s="30">
        <v>431039</v>
      </c>
      <c r="M2096" s="30">
        <v>429612</v>
      </c>
      <c r="N2096" s="30">
        <v>428348</v>
      </c>
      <c r="O2096" s="24" t="str">
        <f t="shared" si="65"/>
        <v>Lucas County, Ohio</v>
      </c>
    </row>
    <row r="2097" spans="1:15" x14ac:dyDescent="0.25">
      <c r="A2097" s="35" t="s">
        <v>2572</v>
      </c>
      <c r="B2097" s="28" t="str">
        <f t="shared" si="64"/>
        <v>Madison</v>
      </c>
      <c r="C2097" s="30">
        <v>43435</v>
      </c>
      <c r="D2097" s="30">
        <v>43438</v>
      </c>
      <c r="E2097" s="30">
        <v>43434</v>
      </c>
      <c r="F2097" s="30">
        <v>43114</v>
      </c>
      <c r="G2097" s="30">
        <v>42991</v>
      </c>
      <c r="H2097" s="30">
        <v>43256</v>
      </c>
      <c r="I2097" s="30">
        <v>43980</v>
      </c>
      <c r="J2097" s="30">
        <v>44139</v>
      </c>
      <c r="K2097" s="30">
        <v>43377</v>
      </c>
      <c r="L2097" s="30">
        <v>44041</v>
      </c>
      <c r="M2097" s="30">
        <v>44389</v>
      </c>
      <c r="N2097" s="30">
        <v>44731</v>
      </c>
      <c r="O2097" s="24" t="str">
        <f t="shared" si="65"/>
        <v>Madison County, Ohio</v>
      </c>
    </row>
    <row r="2098" spans="1:15" x14ac:dyDescent="0.25">
      <c r="A2098" s="35" t="s">
        <v>2573</v>
      </c>
      <c r="B2098" s="28" t="str">
        <f t="shared" si="64"/>
        <v>Mahoning</v>
      </c>
      <c r="C2098" s="30">
        <v>238823</v>
      </c>
      <c r="D2098" s="30">
        <v>238787</v>
      </c>
      <c r="E2098" s="30">
        <v>238381</v>
      </c>
      <c r="F2098" s="30">
        <v>237363</v>
      </c>
      <c r="G2098" s="30">
        <v>235702</v>
      </c>
      <c r="H2098" s="30">
        <v>234393</v>
      </c>
      <c r="I2098" s="30">
        <v>233391</v>
      </c>
      <c r="J2098" s="30">
        <v>231846</v>
      </c>
      <c r="K2098" s="30">
        <v>230269</v>
      </c>
      <c r="L2098" s="30">
        <v>229791</v>
      </c>
      <c r="M2098" s="30">
        <v>229216</v>
      </c>
      <c r="N2098" s="30">
        <v>228683</v>
      </c>
      <c r="O2098" s="24" t="str">
        <f t="shared" si="65"/>
        <v>Mahoning County, Ohio</v>
      </c>
    </row>
    <row r="2099" spans="1:15" x14ac:dyDescent="0.25">
      <c r="A2099" s="35" t="s">
        <v>2574</v>
      </c>
      <c r="B2099" s="28" t="str">
        <f t="shared" si="64"/>
        <v>Marion</v>
      </c>
      <c r="C2099" s="30">
        <v>66501</v>
      </c>
      <c r="D2099" s="30">
        <v>66505</v>
      </c>
      <c r="E2099" s="30">
        <v>66458</v>
      </c>
      <c r="F2099" s="30">
        <v>66599</v>
      </c>
      <c r="G2099" s="30">
        <v>66277</v>
      </c>
      <c r="H2099" s="30">
        <v>65964</v>
      </c>
      <c r="I2099" s="30">
        <v>65791</v>
      </c>
      <c r="J2099" s="30">
        <v>65431</v>
      </c>
      <c r="K2099" s="30">
        <v>65467</v>
      </c>
      <c r="L2099" s="30">
        <v>65076</v>
      </c>
      <c r="M2099" s="30">
        <v>65427</v>
      </c>
      <c r="N2099" s="30">
        <v>65093</v>
      </c>
      <c r="O2099" s="24" t="str">
        <f t="shared" si="65"/>
        <v>Marion County, Ohio</v>
      </c>
    </row>
    <row r="2100" spans="1:15" x14ac:dyDescent="0.25">
      <c r="A2100" s="35" t="s">
        <v>2575</v>
      </c>
      <c r="B2100" s="28" t="str">
        <f t="shared" si="64"/>
        <v>Medina</v>
      </c>
      <c r="C2100" s="30">
        <v>172332</v>
      </c>
      <c r="D2100" s="30">
        <v>172333</v>
      </c>
      <c r="E2100" s="30">
        <v>172509</v>
      </c>
      <c r="F2100" s="30">
        <v>173504</v>
      </c>
      <c r="G2100" s="30">
        <v>173623</v>
      </c>
      <c r="H2100" s="30">
        <v>174639</v>
      </c>
      <c r="I2100" s="30">
        <v>175855</v>
      </c>
      <c r="J2100" s="30">
        <v>176126</v>
      </c>
      <c r="K2100" s="30">
        <v>176876</v>
      </c>
      <c r="L2100" s="30">
        <v>178176</v>
      </c>
      <c r="M2100" s="30">
        <v>178978</v>
      </c>
      <c r="N2100" s="30">
        <v>179746</v>
      </c>
      <c r="O2100" s="24" t="str">
        <f t="shared" si="65"/>
        <v>Medina County, Ohio</v>
      </c>
    </row>
    <row r="2101" spans="1:15" x14ac:dyDescent="0.25">
      <c r="A2101" s="35" t="s">
        <v>2576</v>
      </c>
      <c r="B2101" s="28" t="str">
        <f t="shared" si="64"/>
        <v>Meigs</v>
      </c>
      <c r="C2101" s="30">
        <v>23770</v>
      </c>
      <c r="D2101" s="30">
        <v>23767</v>
      </c>
      <c r="E2101" s="30">
        <v>23731</v>
      </c>
      <c r="F2101" s="30">
        <v>23648</v>
      </c>
      <c r="G2101" s="30">
        <v>23572</v>
      </c>
      <c r="H2101" s="30">
        <v>23443</v>
      </c>
      <c r="I2101" s="30">
        <v>23277</v>
      </c>
      <c r="J2101" s="30">
        <v>23180</v>
      </c>
      <c r="K2101" s="30">
        <v>23166</v>
      </c>
      <c r="L2101" s="30">
        <v>23071</v>
      </c>
      <c r="M2101" s="30">
        <v>23064</v>
      </c>
      <c r="N2101" s="30">
        <v>22907</v>
      </c>
      <c r="O2101" s="24" t="str">
        <f t="shared" si="65"/>
        <v>Meigs County, Ohio</v>
      </c>
    </row>
    <row r="2102" spans="1:15" x14ac:dyDescent="0.25">
      <c r="A2102" s="35" t="s">
        <v>2577</v>
      </c>
      <c r="B2102" s="28" t="str">
        <f t="shared" si="64"/>
        <v>Mercer</v>
      </c>
      <c r="C2102" s="30">
        <v>40814</v>
      </c>
      <c r="D2102" s="30">
        <v>40816</v>
      </c>
      <c r="E2102" s="30">
        <v>40788</v>
      </c>
      <c r="F2102" s="30">
        <v>40715</v>
      </c>
      <c r="G2102" s="30">
        <v>40705</v>
      </c>
      <c r="H2102" s="30">
        <v>40615</v>
      </c>
      <c r="I2102" s="30">
        <v>40730</v>
      </c>
      <c r="J2102" s="30">
        <v>40723</v>
      </c>
      <c r="K2102" s="30">
        <v>40715</v>
      </c>
      <c r="L2102" s="30">
        <v>40858</v>
      </c>
      <c r="M2102" s="30">
        <v>40952</v>
      </c>
      <c r="N2102" s="30">
        <v>41172</v>
      </c>
      <c r="O2102" s="24" t="str">
        <f t="shared" si="65"/>
        <v>Mercer County, Ohio</v>
      </c>
    </row>
    <row r="2103" spans="1:15" x14ac:dyDescent="0.25">
      <c r="A2103" s="35" t="s">
        <v>2578</v>
      </c>
      <c r="B2103" s="28" t="str">
        <f t="shared" si="64"/>
        <v>Miami</v>
      </c>
      <c r="C2103" s="30">
        <v>102506</v>
      </c>
      <c r="D2103" s="30">
        <v>102503</v>
      </c>
      <c r="E2103" s="30">
        <v>102487</v>
      </c>
      <c r="F2103" s="30">
        <v>102734</v>
      </c>
      <c r="G2103" s="30">
        <v>102934</v>
      </c>
      <c r="H2103" s="30">
        <v>103213</v>
      </c>
      <c r="I2103" s="30">
        <v>103856</v>
      </c>
      <c r="J2103" s="30">
        <v>104075</v>
      </c>
      <c r="K2103" s="30">
        <v>104553</v>
      </c>
      <c r="L2103" s="30">
        <v>105200</v>
      </c>
      <c r="M2103" s="30">
        <v>106042</v>
      </c>
      <c r="N2103" s="30">
        <v>106987</v>
      </c>
      <c r="O2103" s="24" t="str">
        <f t="shared" si="65"/>
        <v>Miami County, Ohio</v>
      </c>
    </row>
    <row r="2104" spans="1:15" x14ac:dyDescent="0.25">
      <c r="A2104" s="35" t="s">
        <v>2579</v>
      </c>
      <c r="B2104" s="28" t="str">
        <f t="shared" si="64"/>
        <v>Monroe</v>
      </c>
      <c r="C2104" s="30">
        <v>14642</v>
      </c>
      <c r="D2104" s="30">
        <v>14631</v>
      </c>
      <c r="E2104" s="30">
        <v>14609</v>
      </c>
      <c r="F2104" s="30">
        <v>14613</v>
      </c>
      <c r="G2104" s="30">
        <v>14502</v>
      </c>
      <c r="H2104" s="30">
        <v>14503</v>
      </c>
      <c r="I2104" s="30">
        <v>14357</v>
      </c>
      <c r="J2104" s="30">
        <v>14253</v>
      </c>
      <c r="K2104" s="30">
        <v>14083</v>
      </c>
      <c r="L2104" s="30">
        <v>13931</v>
      </c>
      <c r="M2104" s="30">
        <v>13787</v>
      </c>
      <c r="N2104" s="30">
        <v>13654</v>
      </c>
      <c r="O2104" s="24" t="str">
        <f t="shared" si="65"/>
        <v>Monroe County, Ohio</v>
      </c>
    </row>
    <row r="2105" spans="1:15" x14ac:dyDescent="0.25">
      <c r="A2105" s="35" t="s">
        <v>2580</v>
      </c>
      <c r="B2105" s="28" t="str">
        <f t="shared" si="64"/>
        <v>Montgomery</v>
      </c>
      <c r="C2105" s="30">
        <v>535153</v>
      </c>
      <c r="D2105" s="30">
        <v>535200</v>
      </c>
      <c r="E2105" s="30">
        <v>535597</v>
      </c>
      <c r="F2105" s="30">
        <v>534558</v>
      </c>
      <c r="G2105" s="30">
        <v>534334</v>
      </c>
      <c r="H2105" s="30">
        <v>534270</v>
      </c>
      <c r="I2105" s="30">
        <v>532488</v>
      </c>
      <c r="J2105" s="30">
        <v>531777</v>
      </c>
      <c r="K2105" s="30">
        <v>531818</v>
      </c>
      <c r="L2105" s="30">
        <v>531467</v>
      </c>
      <c r="M2105" s="30">
        <v>531600</v>
      </c>
      <c r="N2105" s="30">
        <v>531687</v>
      </c>
      <c r="O2105" s="24" t="str">
        <f t="shared" si="65"/>
        <v>Montgomery County, Ohio</v>
      </c>
    </row>
    <row r="2106" spans="1:15" x14ac:dyDescent="0.25">
      <c r="A2106" s="35" t="s">
        <v>2581</v>
      </c>
      <c r="B2106" s="28" t="str">
        <f t="shared" si="64"/>
        <v>Morgan</v>
      </c>
      <c r="C2106" s="30">
        <v>15054</v>
      </c>
      <c r="D2106" s="30">
        <v>15044</v>
      </c>
      <c r="E2106" s="30">
        <v>15034</v>
      </c>
      <c r="F2106" s="30">
        <v>15036</v>
      </c>
      <c r="G2106" s="30">
        <v>14930</v>
      </c>
      <c r="H2106" s="30">
        <v>14894</v>
      </c>
      <c r="I2106" s="30">
        <v>14730</v>
      </c>
      <c r="J2106" s="30">
        <v>14735</v>
      </c>
      <c r="K2106" s="30">
        <v>14733</v>
      </c>
      <c r="L2106" s="30">
        <v>14644</v>
      </c>
      <c r="M2106" s="30">
        <v>14581</v>
      </c>
      <c r="N2106" s="30">
        <v>14508</v>
      </c>
      <c r="O2106" s="24" t="str">
        <f t="shared" si="65"/>
        <v>Morgan County, Ohio</v>
      </c>
    </row>
    <row r="2107" spans="1:15" x14ac:dyDescent="0.25">
      <c r="A2107" s="35" t="s">
        <v>2582</v>
      </c>
      <c r="B2107" s="28" t="str">
        <f t="shared" si="64"/>
        <v>Morrow</v>
      </c>
      <c r="C2107" s="30">
        <v>34827</v>
      </c>
      <c r="D2107" s="30">
        <v>34825</v>
      </c>
      <c r="E2107" s="30">
        <v>34790</v>
      </c>
      <c r="F2107" s="30">
        <v>34810</v>
      </c>
      <c r="G2107" s="30">
        <v>34834</v>
      </c>
      <c r="H2107" s="30">
        <v>34846</v>
      </c>
      <c r="I2107" s="30">
        <v>34937</v>
      </c>
      <c r="J2107" s="30">
        <v>34943</v>
      </c>
      <c r="K2107" s="30">
        <v>34922</v>
      </c>
      <c r="L2107" s="30">
        <v>34911</v>
      </c>
      <c r="M2107" s="30">
        <v>35113</v>
      </c>
      <c r="N2107" s="30">
        <v>35328</v>
      </c>
      <c r="O2107" s="24" t="str">
        <f t="shared" si="65"/>
        <v>Morrow County, Ohio</v>
      </c>
    </row>
    <row r="2108" spans="1:15" x14ac:dyDescent="0.25">
      <c r="A2108" s="35" t="s">
        <v>2583</v>
      </c>
      <c r="B2108" s="28" t="str">
        <f t="shared" si="64"/>
        <v>Muskingum</v>
      </c>
      <c r="C2108" s="30">
        <v>86074</v>
      </c>
      <c r="D2108" s="30">
        <v>86086</v>
      </c>
      <c r="E2108" s="30">
        <v>86214</v>
      </c>
      <c r="F2108" s="30">
        <v>86243</v>
      </c>
      <c r="G2108" s="30">
        <v>85794</v>
      </c>
      <c r="H2108" s="30">
        <v>85649</v>
      </c>
      <c r="I2108" s="30">
        <v>85905</v>
      </c>
      <c r="J2108" s="30">
        <v>86194</v>
      </c>
      <c r="K2108" s="30">
        <v>85993</v>
      </c>
      <c r="L2108" s="30">
        <v>86123</v>
      </c>
      <c r="M2108" s="30">
        <v>86131</v>
      </c>
      <c r="N2108" s="30">
        <v>86215</v>
      </c>
      <c r="O2108" s="24" t="str">
        <f t="shared" si="65"/>
        <v>Muskingum County, Ohio</v>
      </c>
    </row>
    <row r="2109" spans="1:15" x14ac:dyDescent="0.25">
      <c r="A2109" s="35" t="s">
        <v>2584</v>
      </c>
      <c r="B2109" s="28" t="str">
        <f t="shared" si="64"/>
        <v>Noble</v>
      </c>
      <c r="C2109" s="30">
        <v>14645</v>
      </c>
      <c r="D2109" s="30">
        <v>14655</v>
      </c>
      <c r="E2109" s="30">
        <v>14660</v>
      </c>
      <c r="F2109" s="30">
        <v>14752</v>
      </c>
      <c r="G2109" s="30">
        <v>14677</v>
      </c>
      <c r="H2109" s="30">
        <v>14678</v>
      </c>
      <c r="I2109" s="30">
        <v>14532</v>
      </c>
      <c r="J2109" s="30">
        <v>14467</v>
      </c>
      <c r="K2109" s="30">
        <v>14441</v>
      </c>
      <c r="L2109" s="30">
        <v>14400</v>
      </c>
      <c r="M2109" s="30">
        <v>14347</v>
      </c>
      <c r="N2109" s="30">
        <v>14424</v>
      </c>
      <c r="O2109" s="24" t="str">
        <f t="shared" si="65"/>
        <v>Noble County, Ohio</v>
      </c>
    </row>
    <row r="2110" spans="1:15" x14ac:dyDescent="0.25">
      <c r="A2110" s="35" t="s">
        <v>2585</v>
      </c>
      <c r="B2110" s="28" t="str">
        <f t="shared" si="64"/>
        <v>Ottawa</v>
      </c>
      <c r="C2110" s="30">
        <v>41428</v>
      </c>
      <c r="D2110" s="30">
        <v>41433</v>
      </c>
      <c r="E2110" s="30">
        <v>41359</v>
      </c>
      <c r="F2110" s="30">
        <v>41320</v>
      </c>
      <c r="G2110" s="30">
        <v>41242</v>
      </c>
      <c r="H2110" s="30">
        <v>41035</v>
      </c>
      <c r="I2110" s="30">
        <v>40903</v>
      </c>
      <c r="J2110" s="30">
        <v>40754</v>
      </c>
      <c r="K2110" s="30">
        <v>40488</v>
      </c>
      <c r="L2110" s="30">
        <v>40623</v>
      </c>
      <c r="M2110" s="30">
        <v>40769</v>
      </c>
      <c r="N2110" s="30">
        <v>40525</v>
      </c>
      <c r="O2110" s="24" t="str">
        <f t="shared" si="65"/>
        <v>Ottawa County, Ohio</v>
      </c>
    </row>
    <row r="2111" spans="1:15" x14ac:dyDescent="0.25">
      <c r="A2111" s="35" t="s">
        <v>2586</v>
      </c>
      <c r="B2111" s="28" t="str">
        <f t="shared" si="64"/>
        <v>Paulding</v>
      </c>
      <c r="C2111" s="30">
        <v>19614</v>
      </c>
      <c r="D2111" s="30">
        <v>19610</v>
      </c>
      <c r="E2111" s="30">
        <v>19557</v>
      </c>
      <c r="F2111" s="30">
        <v>19369</v>
      </c>
      <c r="G2111" s="30">
        <v>19248</v>
      </c>
      <c r="H2111" s="30">
        <v>19143</v>
      </c>
      <c r="I2111" s="30">
        <v>18975</v>
      </c>
      <c r="J2111" s="30">
        <v>18959</v>
      </c>
      <c r="K2111" s="30">
        <v>18839</v>
      </c>
      <c r="L2111" s="30">
        <v>18831</v>
      </c>
      <c r="M2111" s="30">
        <v>18742</v>
      </c>
      <c r="N2111" s="30">
        <v>18672</v>
      </c>
      <c r="O2111" s="24" t="str">
        <f t="shared" si="65"/>
        <v>Paulding County, Ohio</v>
      </c>
    </row>
    <row r="2112" spans="1:15" x14ac:dyDescent="0.25">
      <c r="A2112" s="35" t="s">
        <v>2587</v>
      </c>
      <c r="B2112" s="28" t="str">
        <f t="shared" si="64"/>
        <v>Perry</v>
      </c>
      <c r="C2112" s="30">
        <v>36058</v>
      </c>
      <c r="D2112" s="30">
        <v>36037</v>
      </c>
      <c r="E2112" s="30">
        <v>36037</v>
      </c>
      <c r="F2112" s="30">
        <v>36232</v>
      </c>
      <c r="G2112" s="30">
        <v>35984</v>
      </c>
      <c r="H2112" s="30">
        <v>36000</v>
      </c>
      <c r="I2112" s="30">
        <v>35926</v>
      </c>
      <c r="J2112" s="30">
        <v>35967</v>
      </c>
      <c r="K2112" s="30">
        <v>35998</v>
      </c>
      <c r="L2112" s="30">
        <v>35972</v>
      </c>
      <c r="M2112" s="30">
        <v>36039</v>
      </c>
      <c r="N2112" s="30">
        <v>36134</v>
      </c>
      <c r="O2112" s="24" t="str">
        <f t="shared" si="65"/>
        <v>Perry County, Ohio</v>
      </c>
    </row>
    <row r="2113" spans="1:15" x14ac:dyDescent="0.25">
      <c r="A2113" s="35" t="s">
        <v>2588</v>
      </c>
      <c r="B2113" s="28" t="str">
        <f t="shared" si="64"/>
        <v>Pickaway</v>
      </c>
      <c r="C2113" s="30">
        <v>55698</v>
      </c>
      <c r="D2113" s="30">
        <v>55684</v>
      </c>
      <c r="E2113" s="30">
        <v>55740</v>
      </c>
      <c r="F2113" s="30">
        <v>55948</v>
      </c>
      <c r="G2113" s="30">
        <v>56237</v>
      </c>
      <c r="H2113" s="30">
        <v>56355</v>
      </c>
      <c r="I2113" s="30">
        <v>56704</v>
      </c>
      <c r="J2113" s="30">
        <v>56989</v>
      </c>
      <c r="K2113" s="30">
        <v>57545</v>
      </c>
      <c r="L2113" s="30">
        <v>57740</v>
      </c>
      <c r="M2113" s="30">
        <v>58077</v>
      </c>
      <c r="N2113" s="30">
        <v>58457</v>
      </c>
      <c r="O2113" s="24" t="str">
        <f t="shared" si="65"/>
        <v>Pickaway County, Ohio</v>
      </c>
    </row>
    <row r="2114" spans="1:15" x14ac:dyDescent="0.25">
      <c r="A2114" s="35" t="s">
        <v>2589</v>
      </c>
      <c r="B2114" s="28" t="str">
        <f t="shared" si="64"/>
        <v>Pike</v>
      </c>
      <c r="C2114" s="30">
        <v>28709</v>
      </c>
      <c r="D2114" s="30">
        <v>28571</v>
      </c>
      <c r="E2114" s="30">
        <v>28612</v>
      </c>
      <c r="F2114" s="30">
        <v>28479</v>
      </c>
      <c r="G2114" s="30">
        <v>28371</v>
      </c>
      <c r="H2114" s="30">
        <v>28272</v>
      </c>
      <c r="I2114" s="30">
        <v>28181</v>
      </c>
      <c r="J2114" s="30">
        <v>28117</v>
      </c>
      <c r="K2114" s="30">
        <v>28093</v>
      </c>
      <c r="L2114" s="30">
        <v>28088</v>
      </c>
      <c r="M2114" s="30">
        <v>27932</v>
      </c>
      <c r="N2114" s="30">
        <v>27772</v>
      </c>
      <c r="O2114" s="24" t="str">
        <f t="shared" si="65"/>
        <v>Pike County, Ohio</v>
      </c>
    </row>
    <row r="2115" spans="1:15" x14ac:dyDescent="0.25">
      <c r="A2115" s="35" t="s">
        <v>2590</v>
      </c>
      <c r="B2115" s="28" t="str">
        <f t="shared" si="64"/>
        <v>Portage</v>
      </c>
      <c r="C2115" s="30">
        <v>161419</v>
      </c>
      <c r="D2115" s="30">
        <v>161424</v>
      </c>
      <c r="E2115" s="30">
        <v>161386</v>
      </c>
      <c r="F2115" s="30">
        <v>161875</v>
      </c>
      <c r="G2115" s="30">
        <v>161383</v>
      </c>
      <c r="H2115" s="30">
        <v>161695</v>
      </c>
      <c r="I2115" s="30">
        <v>162463</v>
      </c>
      <c r="J2115" s="30">
        <v>162594</v>
      </c>
      <c r="K2115" s="30">
        <v>162521</v>
      </c>
      <c r="L2115" s="30">
        <v>162473</v>
      </c>
      <c r="M2115" s="30">
        <v>162502</v>
      </c>
      <c r="N2115" s="30">
        <v>162466</v>
      </c>
      <c r="O2115" s="24" t="str">
        <f t="shared" si="65"/>
        <v>Portage County, Ohio</v>
      </c>
    </row>
    <row r="2116" spans="1:15" x14ac:dyDescent="0.25">
      <c r="A2116" s="35" t="s">
        <v>2591</v>
      </c>
      <c r="B2116" s="28" t="str">
        <f t="shared" si="64"/>
        <v>Preble</v>
      </c>
      <c r="C2116" s="30">
        <v>42270</v>
      </c>
      <c r="D2116" s="30">
        <v>42254</v>
      </c>
      <c r="E2116" s="30">
        <v>42170</v>
      </c>
      <c r="F2116" s="30">
        <v>41986</v>
      </c>
      <c r="G2116" s="30">
        <v>41812</v>
      </c>
      <c r="H2116" s="30">
        <v>41671</v>
      </c>
      <c r="I2116" s="30">
        <v>41495</v>
      </c>
      <c r="J2116" s="30">
        <v>41297</v>
      </c>
      <c r="K2116" s="30">
        <v>41157</v>
      </c>
      <c r="L2116" s="30">
        <v>41116</v>
      </c>
      <c r="M2116" s="30">
        <v>41011</v>
      </c>
      <c r="N2116" s="30">
        <v>40882</v>
      </c>
      <c r="O2116" s="24" t="str">
        <f t="shared" si="65"/>
        <v>Preble County, Ohio</v>
      </c>
    </row>
    <row r="2117" spans="1:15" x14ac:dyDescent="0.25">
      <c r="A2117" s="35" t="s">
        <v>2592</v>
      </c>
      <c r="B2117" s="28" t="str">
        <f t="shared" si="64"/>
        <v>Putnam</v>
      </c>
      <c r="C2117" s="30">
        <v>34499</v>
      </c>
      <c r="D2117" s="30">
        <v>34496</v>
      </c>
      <c r="E2117" s="30">
        <v>34476</v>
      </c>
      <c r="F2117" s="30">
        <v>34385</v>
      </c>
      <c r="G2117" s="30">
        <v>34207</v>
      </c>
      <c r="H2117" s="30">
        <v>34123</v>
      </c>
      <c r="I2117" s="30">
        <v>34198</v>
      </c>
      <c r="J2117" s="30">
        <v>34026</v>
      </c>
      <c r="K2117" s="30">
        <v>34007</v>
      </c>
      <c r="L2117" s="30">
        <v>33860</v>
      </c>
      <c r="M2117" s="30">
        <v>33802</v>
      </c>
      <c r="N2117" s="30">
        <v>33861</v>
      </c>
      <c r="O2117" s="24" t="str">
        <f t="shared" si="65"/>
        <v>Putnam County, Ohio</v>
      </c>
    </row>
    <row r="2118" spans="1:15" x14ac:dyDescent="0.25">
      <c r="A2118" s="35" t="s">
        <v>2593</v>
      </c>
      <c r="B2118" s="28" t="str">
        <f t="shared" si="64"/>
        <v>Richland</v>
      </c>
      <c r="C2118" s="30">
        <v>124475</v>
      </c>
      <c r="D2118" s="30">
        <v>124474</v>
      </c>
      <c r="E2118" s="30">
        <v>124162</v>
      </c>
      <c r="F2118" s="30">
        <v>123144</v>
      </c>
      <c r="G2118" s="30">
        <v>122633</v>
      </c>
      <c r="H2118" s="30">
        <v>122314</v>
      </c>
      <c r="I2118" s="30">
        <v>121999</v>
      </c>
      <c r="J2118" s="30">
        <v>121688</v>
      </c>
      <c r="K2118" s="30">
        <v>121242</v>
      </c>
      <c r="L2118" s="30">
        <v>120430</v>
      </c>
      <c r="M2118" s="30">
        <v>120987</v>
      </c>
      <c r="N2118" s="30">
        <v>121154</v>
      </c>
      <c r="O2118" s="24" t="str">
        <f t="shared" si="65"/>
        <v>Richland County, Ohio</v>
      </c>
    </row>
    <row r="2119" spans="1:15" x14ac:dyDescent="0.25">
      <c r="A2119" s="35" t="s">
        <v>2594</v>
      </c>
      <c r="B2119" s="28" t="str">
        <f t="shared" ref="B2119:B2182" si="66">LEFT(A2119,FIND("County",A2119,1)-2)</f>
        <v>Ross</v>
      </c>
      <c r="C2119" s="30">
        <v>78064</v>
      </c>
      <c r="D2119" s="30">
        <v>78076</v>
      </c>
      <c r="E2119" s="30">
        <v>78098</v>
      </c>
      <c r="F2119" s="30">
        <v>77581</v>
      </c>
      <c r="G2119" s="30">
        <v>77341</v>
      </c>
      <c r="H2119" s="30">
        <v>77283</v>
      </c>
      <c r="I2119" s="30">
        <v>77095</v>
      </c>
      <c r="J2119" s="30">
        <v>77049</v>
      </c>
      <c r="K2119" s="30">
        <v>76848</v>
      </c>
      <c r="L2119" s="30">
        <v>77295</v>
      </c>
      <c r="M2119" s="30">
        <v>76884</v>
      </c>
      <c r="N2119" s="30">
        <v>76666</v>
      </c>
      <c r="O2119" s="24" t="str">
        <f t="shared" ref="O2119:O2182" si="67">A2119</f>
        <v>Ross County, Ohio</v>
      </c>
    </row>
    <row r="2120" spans="1:15" x14ac:dyDescent="0.25">
      <c r="A2120" s="35" t="s">
        <v>2595</v>
      </c>
      <c r="B2120" s="28" t="str">
        <f t="shared" si="66"/>
        <v>Sandusky</v>
      </c>
      <c r="C2120" s="30">
        <v>60944</v>
      </c>
      <c r="D2120" s="30">
        <v>60946</v>
      </c>
      <c r="E2120" s="30">
        <v>60885</v>
      </c>
      <c r="F2120" s="30">
        <v>60609</v>
      </c>
      <c r="G2120" s="30">
        <v>60467</v>
      </c>
      <c r="H2120" s="30">
        <v>60049</v>
      </c>
      <c r="I2120" s="30">
        <v>59827</v>
      </c>
      <c r="J2120" s="30">
        <v>59475</v>
      </c>
      <c r="K2120" s="30">
        <v>59317</v>
      </c>
      <c r="L2120" s="30">
        <v>59093</v>
      </c>
      <c r="M2120" s="30">
        <v>58740</v>
      </c>
      <c r="N2120" s="30">
        <v>58518</v>
      </c>
      <c r="O2120" s="24" t="str">
        <f t="shared" si="67"/>
        <v>Sandusky County, Ohio</v>
      </c>
    </row>
    <row r="2121" spans="1:15" x14ac:dyDescent="0.25">
      <c r="A2121" s="35" t="s">
        <v>2596</v>
      </c>
      <c r="B2121" s="28" t="str">
        <f t="shared" si="66"/>
        <v>Scioto</v>
      </c>
      <c r="C2121" s="30">
        <v>79499</v>
      </c>
      <c r="D2121" s="30">
        <v>79650</v>
      </c>
      <c r="E2121" s="30">
        <v>79664</v>
      </c>
      <c r="F2121" s="30">
        <v>79408</v>
      </c>
      <c r="G2121" s="30">
        <v>78783</v>
      </c>
      <c r="H2121" s="30">
        <v>78304</v>
      </c>
      <c r="I2121" s="30">
        <v>77476</v>
      </c>
      <c r="J2121" s="30">
        <v>76992</v>
      </c>
      <c r="K2121" s="30">
        <v>76436</v>
      </c>
      <c r="L2121" s="30">
        <v>75976</v>
      </c>
      <c r="M2121" s="30">
        <v>75480</v>
      </c>
      <c r="N2121" s="30">
        <v>75314</v>
      </c>
      <c r="O2121" s="24" t="str">
        <f t="shared" si="67"/>
        <v>Scioto County, Ohio</v>
      </c>
    </row>
    <row r="2122" spans="1:15" x14ac:dyDescent="0.25">
      <c r="A2122" s="35" t="s">
        <v>2597</v>
      </c>
      <c r="B2122" s="28" t="str">
        <f t="shared" si="66"/>
        <v>Seneca</v>
      </c>
      <c r="C2122" s="30">
        <v>56745</v>
      </c>
      <c r="D2122" s="30">
        <v>56742</v>
      </c>
      <c r="E2122" s="30">
        <v>56618</v>
      </c>
      <c r="F2122" s="30">
        <v>56522</v>
      </c>
      <c r="G2122" s="30">
        <v>56106</v>
      </c>
      <c r="H2122" s="30">
        <v>55847</v>
      </c>
      <c r="I2122" s="30">
        <v>55803</v>
      </c>
      <c r="J2122" s="30">
        <v>55650</v>
      </c>
      <c r="K2122" s="30">
        <v>55467</v>
      </c>
      <c r="L2122" s="30">
        <v>55267</v>
      </c>
      <c r="M2122" s="30">
        <v>55194</v>
      </c>
      <c r="N2122" s="30">
        <v>55178</v>
      </c>
      <c r="O2122" s="24" t="str">
        <f t="shared" si="67"/>
        <v>Seneca County, Ohio</v>
      </c>
    </row>
    <row r="2123" spans="1:15" x14ac:dyDescent="0.25">
      <c r="A2123" s="35" t="s">
        <v>2598</v>
      </c>
      <c r="B2123" s="28" t="str">
        <f t="shared" si="66"/>
        <v>Shelby</v>
      </c>
      <c r="C2123" s="30">
        <v>49423</v>
      </c>
      <c r="D2123" s="30">
        <v>49455</v>
      </c>
      <c r="E2123" s="30">
        <v>49349</v>
      </c>
      <c r="F2123" s="30">
        <v>49259</v>
      </c>
      <c r="G2123" s="30">
        <v>49159</v>
      </c>
      <c r="H2123" s="30">
        <v>49203</v>
      </c>
      <c r="I2123" s="30">
        <v>48995</v>
      </c>
      <c r="J2123" s="30">
        <v>49030</v>
      </c>
      <c r="K2123" s="30">
        <v>48765</v>
      </c>
      <c r="L2123" s="30">
        <v>48738</v>
      </c>
      <c r="M2123" s="30">
        <v>48622</v>
      </c>
      <c r="N2123" s="30">
        <v>48590</v>
      </c>
      <c r="O2123" s="24" t="str">
        <f t="shared" si="67"/>
        <v>Shelby County, Ohio</v>
      </c>
    </row>
    <row r="2124" spans="1:15" x14ac:dyDescent="0.25">
      <c r="A2124" s="35" t="s">
        <v>2599</v>
      </c>
      <c r="B2124" s="28" t="str">
        <f t="shared" si="66"/>
        <v>Stark</v>
      </c>
      <c r="C2124" s="30">
        <v>375586</v>
      </c>
      <c r="D2124" s="30">
        <v>375591</v>
      </c>
      <c r="E2124" s="30">
        <v>375372</v>
      </c>
      <c r="F2124" s="30">
        <v>374511</v>
      </c>
      <c r="G2124" s="30">
        <v>374891</v>
      </c>
      <c r="H2124" s="30">
        <v>375108</v>
      </c>
      <c r="I2124" s="30">
        <v>375546</v>
      </c>
      <c r="J2124" s="30">
        <v>374715</v>
      </c>
      <c r="K2124" s="30">
        <v>373447</v>
      </c>
      <c r="L2124" s="30">
        <v>372003</v>
      </c>
      <c r="M2124" s="30">
        <v>371248</v>
      </c>
      <c r="N2124" s="30">
        <v>370606</v>
      </c>
      <c r="O2124" s="24" t="str">
        <f t="shared" si="67"/>
        <v>Stark County, Ohio</v>
      </c>
    </row>
    <row r="2125" spans="1:15" x14ac:dyDescent="0.25">
      <c r="A2125" s="35" t="s">
        <v>2600</v>
      </c>
      <c r="B2125" s="28" t="str">
        <f t="shared" si="66"/>
        <v>Summit</v>
      </c>
      <c r="C2125" s="30">
        <v>541781</v>
      </c>
      <c r="D2125" s="30">
        <v>541772</v>
      </c>
      <c r="E2125" s="30">
        <v>541645</v>
      </c>
      <c r="F2125" s="30">
        <v>541325</v>
      </c>
      <c r="G2125" s="30">
        <v>540726</v>
      </c>
      <c r="H2125" s="30">
        <v>541926</v>
      </c>
      <c r="I2125" s="30">
        <v>542445</v>
      </c>
      <c r="J2125" s="30">
        <v>541788</v>
      </c>
      <c r="K2125" s="30">
        <v>541003</v>
      </c>
      <c r="L2125" s="30">
        <v>541514</v>
      </c>
      <c r="M2125" s="30">
        <v>541353</v>
      </c>
      <c r="N2125" s="30">
        <v>541013</v>
      </c>
      <c r="O2125" s="24" t="str">
        <f t="shared" si="67"/>
        <v>Summit County, Ohio</v>
      </c>
    </row>
    <row r="2126" spans="1:15" x14ac:dyDescent="0.25">
      <c r="A2126" s="35" t="s">
        <v>2601</v>
      </c>
      <c r="B2126" s="28" t="str">
        <f t="shared" si="66"/>
        <v>Trumbull</v>
      </c>
      <c r="C2126" s="30">
        <v>210312</v>
      </c>
      <c r="D2126" s="30">
        <v>210332</v>
      </c>
      <c r="E2126" s="30">
        <v>209840</v>
      </c>
      <c r="F2126" s="30">
        <v>208834</v>
      </c>
      <c r="G2126" s="30">
        <v>207191</v>
      </c>
      <c r="H2126" s="30">
        <v>206328</v>
      </c>
      <c r="I2126" s="30">
        <v>204973</v>
      </c>
      <c r="J2126" s="30">
        <v>203328</v>
      </c>
      <c r="K2126" s="30">
        <v>201715</v>
      </c>
      <c r="L2126" s="30">
        <v>200281</v>
      </c>
      <c r="M2126" s="30">
        <v>198539</v>
      </c>
      <c r="N2126" s="30">
        <v>197974</v>
      </c>
      <c r="O2126" s="24" t="str">
        <f t="shared" si="67"/>
        <v>Trumbull County, Ohio</v>
      </c>
    </row>
    <row r="2127" spans="1:15" x14ac:dyDescent="0.25">
      <c r="A2127" s="35" t="s">
        <v>2602</v>
      </c>
      <c r="B2127" s="28" t="str">
        <f t="shared" si="66"/>
        <v>Tuscarawas</v>
      </c>
      <c r="C2127" s="30">
        <v>92582</v>
      </c>
      <c r="D2127" s="30">
        <v>92585</v>
      </c>
      <c r="E2127" s="30">
        <v>92543</v>
      </c>
      <c r="F2127" s="30">
        <v>92483</v>
      </c>
      <c r="G2127" s="30">
        <v>92413</v>
      </c>
      <c r="H2127" s="30">
        <v>92602</v>
      </c>
      <c r="I2127" s="30">
        <v>92652</v>
      </c>
      <c r="J2127" s="30">
        <v>92739</v>
      </c>
      <c r="K2127" s="30">
        <v>92560</v>
      </c>
      <c r="L2127" s="30">
        <v>92308</v>
      </c>
      <c r="M2127" s="30">
        <v>92079</v>
      </c>
      <c r="N2127" s="30">
        <v>91987</v>
      </c>
      <c r="O2127" s="24" t="str">
        <f t="shared" si="67"/>
        <v>Tuscarawas County, Ohio</v>
      </c>
    </row>
    <row r="2128" spans="1:15" x14ac:dyDescent="0.25">
      <c r="A2128" s="35" t="s">
        <v>2603</v>
      </c>
      <c r="B2128" s="28" t="str">
        <f t="shared" si="66"/>
        <v>Union</v>
      </c>
      <c r="C2128" s="30">
        <v>52300</v>
      </c>
      <c r="D2128" s="30">
        <v>52331</v>
      </c>
      <c r="E2128" s="30">
        <v>52464</v>
      </c>
      <c r="F2128" s="30">
        <v>53095</v>
      </c>
      <c r="G2128" s="30">
        <v>52796</v>
      </c>
      <c r="H2128" s="30">
        <v>53436</v>
      </c>
      <c r="I2128" s="30">
        <v>53773</v>
      </c>
      <c r="J2128" s="30">
        <v>54388</v>
      </c>
      <c r="K2128" s="30">
        <v>55581</v>
      </c>
      <c r="L2128" s="30">
        <v>56798</v>
      </c>
      <c r="M2128" s="30">
        <v>57782</v>
      </c>
      <c r="N2128" s="30">
        <v>58988</v>
      </c>
      <c r="O2128" s="24" t="str">
        <f t="shared" si="67"/>
        <v>Union County, Ohio</v>
      </c>
    </row>
    <row r="2129" spans="1:15" x14ac:dyDescent="0.25">
      <c r="A2129" s="35" t="s">
        <v>2604</v>
      </c>
      <c r="B2129" s="28" t="str">
        <f t="shared" si="66"/>
        <v>Van Wert</v>
      </c>
      <c r="C2129" s="30">
        <v>28744</v>
      </c>
      <c r="D2129" s="30">
        <v>28759</v>
      </c>
      <c r="E2129" s="30">
        <v>28678</v>
      </c>
      <c r="F2129" s="30">
        <v>28625</v>
      </c>
      <c r="G2129" s="30">
        <v>28636</v>
      </c>
      <c r="H2129" s="30">
        <v>28347</v>
      </c>
      <c r="I2129" s="30">
        <v>28334</v>
      </c>
      <c r="J2129" s="30">
        <v>28319</v>
      </c>
      <c r="K2129" s="30">
        <v>28177</v>
      </c>
      <c r="L2129" s="30">
        <v>28283</v>
      </c>
      <c r="M2129" s="30">
        <v>28253</v>
      </c>
      <c r="N2129" s="30">
        <v>28275</v>
      </c>
      <c r="O2129" s="24" t="str">
        <f t="shared" si="67"/>
        <v>Van Wert County, Ohio</v>
      </c>
    </row>
    <row r="2130" spans="1:15" x14ac:dyDescent="0.25">
      <c r="A2130" s="35" t="s">
        <v>2605</v>
      </c>
      <c r="B2130" s="28" t="str">
        <f t="shared" si="66"/>
        <v>Vinton</v>
      </c>
      <c r="C2130" s="30">
        <v>13435</v>
      </c>
      <c r="D2130" s="30">
        <v>13430</v>
      </c>
      <c r="E2130" s="30">
        <v>13405</v>
      </c>
      <c r="F2130" s="30">
        <v>13380</v>
      </c>
      <c r="G2130" s="30">
        <v>13221</v>
      </c>
      <c r="H2130" s="30">
        <v>13303</v>
      </c>
      <c r="I2130" s="30">
        <v>13210</v>
      </c>
      <c r="J2130" s="30">
        <v>13082</v>
      </c>
      <c r="K2130" s="30">
        <v>13022</v>
      </c>
      <c r="L2130" s="30">
        <v>13082</v>
      </c>
      <c r="M2130" s="30">
        <v>13145</v>
      </c>
      <c r="N2130" s="30">
        <v>13085</v>
      </c>
      <c r="O2130" s="24" t="str">
        <f t="shared" si="67"/>
        <v>Vinton County, Ohio</v>
      </c>
    </row>
    <row r="2131" spans="1:15" x14ac:dyDescent="0.25">
      <c r="A2131" s="35" t="s">
        <v>2606</v>
      </c>
      <c r="B2131" s="28" t="str">
        <f t="shared" si="66"/>
        <v>Warren</v>
      </c>
      <c r="C2131" s="30">
        <v>212693</v>
      </c>
      <c r="D2131" s="30">
        <v>212798</v>
      </c>
      <c r="E2131" s="30">
        <v>213429</v>
      </c>
      <c r="F2131" s="30">
        <v>215332</v>
      </c>
      <c r="G2131" s="30">
        <v>217212</v>
      </c>
      <c r="H2131" s="30">
        <v>219216</v>
      </c>
      <c r="I2131" s="30">
        <v>221267</v>
      </c>
      <c r="J2131" s="30">
        <v>223864</v>
      </c>
      <c r="K2131" s="30">
        <v>226539</v>
      </c>
      <c r="L2131" s="30">
        <v>228709</v>
      </c>
      <c r="M2131" s="30">
        <v>231945</v>
      </c>
      <c r="N2131" s="30">
        <v>234602</v>
      </c>
      <c r="O2131" s="24" t="str">
        <f t="shared" si="67"/>
        <v>Warren County, Ohio</v>
      </c>
    </row>
    <row r="2132" spans="1:15" x14ac:dyDescent="0.25">
      <c r="A2132" s="35" t="s">
        <v>2607</v>
      </c>
      <c r="B2132" s="28" t="str">
        <f t="shared" si="66"/>
        <v>Washington</v>
      </c>
      <c r="C2132" s="30">
        <v>61778</v>
      </c>
      <c r="D2132" s="30">
        <v>61787</v>
      </c>
      <c r="E2132" s="30">
        <v>61713</v>
      </c>
      <c r="F2132" s="30">
        <v>61607</v>
      </c>
      <c r="G2132" s="30">
        <v>61447</v>
      </c>
      <c r="H2132" s="30">
        <v>61364</v>
      </c>
      <c r="I2132" s="30">
        <v>61160</v>
      </c>
      <c r="J2132" s="30">
        <v>61020</v>
      </c>
      <c r="K2132" s="30">
        <v>60598</v>
      </c>
      <c r="L2132" s="30">
        <v>60491</v>
      </c>
      <c r="M2132" s="30">
        <v>60111</v>
      </c>
      <c r="N2132" s="30">
        <v>59911</v>
      </c>
      <c r="O2132" s="24" t="str">
        <f t="shared" si="67"/>
        <v>Washington County, Ohio</v>
      </c>
    </row>
    <row r="2133" spans="1:15" x14ac:dyDescent="0.25">
      <c r="A2133" s="35" t="s">
        <v>2608</v>
      </c>
      <c r="B2133" s="28" t="str">
        <f t="shared" si="66"/>
        <v>Wayne</v>
      </c>
      <c r="C2133" s="30">
        <v>114520</v>
      </c>
      <c r="D2133" s="30">
        <v>114516</v>
      </c>
      <c r="E2133" s="30">
        <v>114394</v>
      </c>
      <c r="F2133" s="30">
        <v>114649</v>
      </c>
      <c r="G2133" s="30">
        <v>115029</v>
      </c>
      <c r="H2133" s="30">
        <v>115400</v>
      </c>
      <c r="I2133" s="30">
        <v>115912</v>
      </c>
      <c r="J2133" s="30">
        <v>116214</v>
      </c>
      <c r="K2133" s="30">
        <v>116613</v>
      </c>
      <c r="L2133" s="30">
        <v>116168</v>
      </c>
      <c r="M2133" s="30">
        <v>115790</v>
      </c>
      <c r="N2133" s="30">
        <v>115710</v>
      </c>
      <c r="O2133" s="24" t="str">
        <f t="shared" si="67"/>
        <v>Wayne County, Ohio</v>
      </c>
    </row>
    <row r="2134" spans="1:15" x14ac:dyDescent="0.25">
      <c r="A2134" s="35" t="s">
        <v>2609</v>
      </c>
      <c r="B2134" s="28" t="str">
        <f t="shared" si="66"/>
        <v>Williams</v>
      </c>
      <c r="C2134" s="30">
        <v>37642</v>
      </c>
      <c r="D2134" s="30">
        <v>37652</v>
      </c>
      <c r="E2134" s="30">
        <v>37512</v>
      </c>
      <c r="F2134" s="30">
        <v>37584</v>
      </c>
      <c r="G2134" s="30">
        <v>37521</v>
      </c>
      <c r="H2134" s="30">
        <v>37426</v>
      </c>
      <c r="I2134" s="30">
        <v>37195</v>
      </c>
      <c r="J2134" s="30">
        <v>37007</v>
      </c>
      <c r="K2134" s="30">
        <v>36937</v>
      </c>
      <c r="L2134" s="30">
        <v>36707</v>
      </c>
      <c r="M2134" s="30">
        <v>36739</v>
      </c>
      <c r="N2134" s="30">
        <v>36692</v>
      </c>
      <c r="O2134" s="24" t="str">
        <f t="shared" si="67"/>
        <v>Williams County, Ohio</v>
      </c>
    </row>
    <row r="2135" spans="1:15" x14ac:dyDescent="0.25">
      <c r="A2135" s="35" t="s">
        <v>2610</v>
      </c>
      <c r="B2135" s="28" t="str">
        <f t="shared" si="66"/>
        <v>Wood</v>
      </c>
      <c r="C2135" s="30">
        <v>125488</v>
      </c>
      <c r="D2135" s="30">
        <v>125489</v>
      </c>
      <c r="E2135" s="30">
        <v>125950</v>
      </c>
      <c r="F2135" s="30">
        <v>127124</v>
      </c>
      <c r="G2135" s="30">
        <v>128425</v>
      </c>
      <c r="H2135" s="30">
        <v>129013</v>
      </c>
      <c r="I2135" s="30">
        <v>129337</v>
      </c>
      <c r="J2135" s="30">
        <v>129285</v>
      </c>
      <c r="K2135" s="30">
        <v>129768</v>
      </c>
      <c r="L2135" s="30">
        <v>130437</v>
      </c>
      <c r="M2135" s="30">
        <v>130441</v>
      </c>
      <c r="N2135" s="30">
        <v>130817</v>
      </c>
      <c r="O2135" s="24" t="str">
        <f t="shared" si="67"/>
        <v>Wood County, Ohio</v>
      </c>
    </row>
    <row r="2136" spans="1:15" x14ac:dyDescent="0.25">
      <c r="A2136" s="35" t="s">
        <v>2611</v>
      </c>
      <c r="B2136" s="28" t="str">
        <f t="shared" si="66"/>
        <v>Wyandot</v>
      </c>
      <c r="C2136" s="30">
        <v>22615</v>
      </c>
      <c r="D2136" s="30">
        <v>22617</v>
      </c>
      <c r="E2136" s="30">
        <v>22588</v>
      </c>
      <c r="F2136" s="30">
        <v>22643</v>
      </c>
      <c r="G2136" s="30">
        <v>22545</v>
      </c>
      <c r="H2136" s="30">
        <v>22460</v>
      </c>
      <c r="I2136" s="30">
        <v>22283</v>
      </c>
      <c r="J2136" s="30">
        <v>22176</v>
      </c>
      <c r="K2136" s="30">
        <v>22071</v>
      </c>
      <c r="L2136" s="30">
        <v>22063</v>
      </c>
      <c r="M2136" s="30">
        <v>21918</v>
      </c>
      <c r="N2136" s="30">
        <v>21772</v>
      </c>
      <c r="O2136" s="24" t="str">
        <f t="shared" si="67"/>
        <v>Wyandot County, Ohio</v>
      </c>
    </row>
    <row r="2137" spans="1:15" x14ac:dyDescent="0.25">
      <c r="A2137" s="35" t="s">
        <v>2612</v>
      </c>
      <c r="B2137" s="28" t="str">
        <f t="shared" si="66"/>
        <v>Adair</v>
      </c>
      <c r="C2137" s="30">
        <v>22683</v>
      </c>
      <c r="D2137" s="30">
        <v>22668</v>
      </c>
      <c r="E2137" s="30">
        <v>22756</v>
      </c>
      <c r="F2137" s="30">
        <v>22667</v>
      </c>
      <c r="G2137" s="30">
        <v>22468</v>
      </c>
      <c r="H2137" s="30">
        <v>22460</v>
      </c>
      <c r="I2137" s="30">
        <v>22384</v>
      </c>
      <c r="J2137" s="30">
        <v>22259</v>
      </c>
      <c r="K2137" s="30">
        <v>22305</v>
      </c>
      <c r="L2137" s="30">
        <v>22119</v>
      </c>
      <c r="M2137" s="30">
        <v>22224</v>
      </c>
      <c r="N2137" s="30">
        <v>22194</v>
      </c>
      <c r="O2137" s="24" t="str">
        <f t="shared" si="67"/>
        <v>Adair County, Oklahoma</v>
      </c>
    </row>
    <row r="2138" spans="1:15" x14ac:dyDescent="0.25">
      <c r="A2138" s="35" t="s">
        <v>2613</v>
      </c>
      <c r="B2138" s="28" t="str">
        <f t="shared" si="66"/>
        <v>Alfalfa</v>
      </c>
      <c r="C2138" s="30">
        <v>5642</v>
      </c>
      <c r="D2138" s="30">
        <v>5639</v>
      </c>
      <c r="E2138" s="30">
        <v>5629</v>
      </c>
      <c r="F2138" s="30">
        <v>5648</v>
      </c>
      <c r="G2138" s="30">
        <v>5668</v>
      </c>
      <c r="H2138" s="30">
        <v>5856</v>
      </c>
      <c r="I2138" s="30">
        <v>5821</v>
      </c>
      <c r="J2138" s="30">
        <v>5917</v>
      </c>
      <c r="K2138" s="30">
        <v>5936</v>
      </c>
      <c r="L2138" s="30">
        <v>5913</v>
      </c>
      <c r="M2138" s="30">
        <v>5765</v>
      </c>
      <c r="N2138" s="30">
        <v>5702</v>
      </c>
      <c r="O2138" s="24" t="str">
        <f t="shared" si="67"/>
        <v>Alfalfa County, Oklahoma</v>
      </c>
    </row>
    <row r="2139" spans="1:15" x14ac:dyDescent="0.25">
      <c r="A2139" s="35" t="s">
        <v>2614</v>
      </c>
      <c r="B2139" s="28" t="str">
        <f t="shared" si="66"/>
        <v>Atoka</v>
      </c>
      <c r="C2139" s="30">
        <v>14182</v>
      </c>
      <c r="D2139" s="30">
        <v>14165</v>
      </c>
      <c r="E2139" s="30">
        <v>14214</v>
      </c>
      <c r="F2139" s="30">
        <v>14169</v>
      </c>
      <c r="G2139" s="30">
        <v>14030</v>
      </c>
      <c r="H2139" s="30">
        <v>13901</v>
      </c>
      <c r="I2139" s="30">
        <v>13924</v>
      </c>
      <c r="J2139" s="30">
        <v>13889</v>
      </c>
      <c r="K2139" s="30">
        <v>13894</v>
      </c>
      <c r="L2139" s="30">
        <v>13779</v>
      </c>
      <c r="M2139" s="30">
        <v>13795</v>
      </c>
      <c r="N2139" s="30">
        <v>13758</v>
      </c>
      <c r="O2139" s="24" t="str">
        <f t="shared" si="67"/>
        <v>Atoka County, Oklahoma</v>
      </c>
    </row>
    <row r="2140" spans="1:15" x14ac:dyDescent="0.25">
      <c r="A2140" s="35" t="s">
        <v>2615</v>
      </c>
      <c r="B2140" s="28" t="str">
        <f t="shared" si="66"/>
        <v>Beaver</v>
      </c>
      <c r="C2140" s="30">
        <v>5636</v>
      </c>
      <c r="D2140" s="30">
        <v>5636</v>
      </c>
      <c r="E2140" s="30">
        <v>5631</v>
      </c>
      <c r="F2140" s="30">
        <v>5634</v>
      </c>
      <c r="G2140" s="30">
        <v>5590</v>
      </c>
      <c r="H2140" s="30">
        <v>5563</v>
      </c>
      <c r="I2140" s="30">
        <v>5532</v>
      </c>
      <c r="J2140" s="30">
        <v>5455</v>
      </c>
      <c r="K2140" s="30">
        <v>5435</v>
      </c>
      <c r="L2140" s="30">
        <v>5364</v>
      </c>
      <c r="M2140" s="30">
        <v>5318</v>
      </c>
      <c r="N2140" s="30">
        <v>5311</v>
      </c>
      <c r="O2140" s="24" t="str">
        <f t="shared" si="67"/>
        <v>Beaver County, Oklahoma</v>
      </c>
    </row>
    <row r="2141" spans="1:15" x14ac:dyDescent="0.25">
      <c r="A2141" s="35" t="s">
        <v>2616</v>
      </c>
      <c r="B2141" s="28" t="str">
        <f t="shared" si="66"/>
        <v>Beckham</v>
      </c>
      <c r="C2141" s="30">
        <v>22119</v>
      </c>
      <c r="D2141" s="30">
        <v>22119</v>
      </c>
      <c r="E2141" s="30">
        <v>22061</v>
      </c>
      <c r="F2141" s="30">
        <v>22308</v>
      </c>
      <c r="G2141" s="30">
        <v>23070</v>
      </c>
      <c r="H2141" s="30">
        <v>23468</v>
      </c>
      <c r="I2141" s="30">
        <v>23596</v>
      </c>
      <c r="J2141" s="30">
        <v>23554</v>
      </c>
      <c r="K2141" s="30">
        <v>22427</v>
      </c>
      <c r="L2141" s="30">
        <v>21779</v>
      </c>
      <c r="M2141" s="30">
        <v>21720</v>
      </c>
      <c r="N2141" s="30">
        <v>21859</v>
      </c>
      <c r="O2141" s="24" t="str">
        <f t="shared" si="67"/>
        <v>Beckham County, Oklahoma</v>
      </c>
    </row>
    <row r="2142" spans="1:15" x14ac:dyDescent="0.25">
      <c r="A2142" s="35" t="s">
        <v>2617</v>
      </c>
      <c r="B2142" s="28" t="str">
        <f t="shared" si="66"/>
        <v>Blaine</v>
      </c>
      <c r="C2142" s="30">
        <v>11943</v>
      </c>
      <c r="D2142" s="30">
        <v>11943</v>
      </c>
      <c r="E2142" s="30">
        <v>9910</v>
      </c>
      <c r="F2142" s="30">
        <v>9685</v>
      </c>
      <c r="G2142" s="30">
        <v>9806</v>
      </c>
      <c r="H2142" s="30">
        <v>9785</v>
      </c>
      <c r="I2142" s="30">
        <v>9839</v>
      </c>
      <c r="J2142" s="30">
        <v>9762</v>
      </c>
      <c r="K2142" s="30">
        <v>9625</v>
      </c>
      <c r="L2142" s="30">
        <v>9512</v>
      </c>
      <c r="M2142" s="30">
        <v>9454</v>
      </c>
      <c r="N2142" s="30">
        <v>9429</v>
      </c>
      <c r="O2142" s="24" t="str">
        <f t="shared" si="67"/>
        <v>Blaine County, Oklahoma</v>
      </c>
    </row>
    <row r="2143" spans="1:15" x14ac:dyDescent="0.25">
      <c r="A2143" s="35" t="s">
        <v>2618</v>
      </c>
      <c r="B2143" s="28" t="str">
        <f t="shared" si="66"/>
        <v>Bryan</v>
      </c>
      <c r="C2143" s="30">
        <v>42416</v>
      </c>
      <c r="D2143" s="30">
        <v>42416</v>
      </c>
      <c r="E2143" s="30">
        <v>42580</v>
      </c>
      <c r="F2143" s="30">
        <v>43120</v>
      </c>
      <c r="G2143" s="30">
        <v>43453</v>
      </c>
      <c r="H2143" s="30">
        <v>44118</v>
      </c>
      <c r="I2143" s="30">
        <v>44483</v>
      </c>
      <c r="J2143" s="30">
        <v>45021</v>
      </c>
      <c r="K2143" s="30">
        <v>45599</v>
      </c>
      <c r="L2143" s="30">
        <v>46481</v>
      </c>
      <c r="M2143" s="30">
        <v>47191</v>
      </c>
      <c r="N2143" s="30">
        <v>47995</v>
      </c>
      <c r="O2143" s="24" t="str">
        <f t="shared" si="67"/>
        <v>Bryan County, Oklahoma</v>
      </c>
    </row>
    <row r="2144" spans="1:15" x14ac:dyDescent="0.25">
      <c r="A2144" s="35" t="s">
        <v>2619</v>
      </c>
      <c r="B2144" s="28" t="str">
        <f t="shared" si="66"/>
        <v>Caddo</v>
      </c>
      <c r="C2144" s="30">
        <v>29600</v>
      </c>
      <c r="D2144" s="30">
        <v>29598</v>
      </c>
      <c r="E2144" s="30">
        <v>29703</v>
      </c>
      <c r="F2144" s="30">
        <v>29602</v>
      </c>
      <c r="G2144" s="30">
        <v>29728</v>
      </c>
      <c r="H2144" s="30">
        <v>29580</v>
      </c>
      <c r="I2144" s="30">
        <v>29440</v>
      </c>
      <c r="J2144" s="30">
        <v>29433</v>
      </c>
      <c r="K2144" s="30">
        <v>29630</v>
      </c>
      <c r="L2144" s="30">
        <v>29356</v>
      </c>
      <c r="M2144" s="30">
        <v>29028</v>
      </c>
      <c r="N2144" s="30">
        <v>28762</v>
      </c>
      <c r="O2144" s="24" t="str">
        <f t="shared" si="67"/>
        <v>Caddo County, Oklahoma</v>
      </c>
    </row>
    <row r="2145" spans="1:15" x14ac:dyDescent="0.25">
      <c r="A2145" s="35" t="s">
        <v>2620</v>
      </c>
      <c r="B2145" s="28" t="str">
        <f t="shared" si="66"/>
        <v>Canadian</v>
      </c>
      <c r="C2145" s="30">
        <v>115541</v>
      </c>
      <c r="D2145" s="30">
        <v>115566</v>
      </c>
      <c r="E2145" s="30">
        <v>116361</v>
      </c>
      <c r="F2145" s="30">
        <v>119397</v>
      </c>
      <c r="G2145" s="30">
        <v>122500</v>
      </c>
      <c r="H2145" s="30">
        <v>125943</v>
      </c>
      <c r="I2145" s="30">
        <v>129321</v>
      </c>
      <c r="J2145" s="30">
        <v>133158</v>
      </c>
      <c r="K2145" s="30">
        <v>136386</v>
      </c>
      <c r="L2145" s="30">
        <v>140001</v>
      </c>
      <c r="M2145" s="30">
        <v>144426</v>
      </c>
      <c r="N2145" s="30">
        <v>148306</v>
      </c>
      <c r="O2145" s="24" t="str">
        <f t="shared" si="67"/>
        <v>Canadian County, Oklahoma</v>
      </c>
    </row>
    <row r="2146" spans="1:15" x14ac:dyDescent="0.25">
      <c r="A2146" s="35" t="s">
        <v>2621</v>
      </c>
      <c r="B2146" s="28" t="str">
        <f t="shared" si="66"/>
        <v>Carter</v>
      </c>
      <c r="C2146" s="30">
        <v>47557</v>
      </c>
      <c r="D2146" s="30">
        <v>47729</v>
      </c>
      <c r="E2146" s="30">
        <v>47813</v>
      </c>
      <c r="F2146" s="30">
        <v>48067</v>
      </c>
      <c r="G2146" s="30">
        <v>48023</v>
      </c>
      <c r="H2146" s="30">
        <v>48465</v>
      </c>
      <c r="I2146" s="30">
        <v>48582</v>
      </c>
      <c r="J2146" s="30">
        <v>48568</v>
      </c>
      <c r="K2146" s="30">
        <v>48431</v>
      </c>
      <c r="L2146" s="30">
        <v>48273</v>
      </c>
      <c r="M2146" s="30">
        <v>48213</v>
      </c>
      <c r="N2146" s="30">
        <v>48111</v>
      </c>
      <c r="O2146" s="24" t="str">
        <f t="shared" si="67"/>
        <v>Carter County, Oklahoma</v>
      </c>
    </row>
    <row r="2147" spans="1:15" x14ac:dyDescent="0.25">
      <c r="A2147" s="35" t="s">
        <v>2622</v>
      </c>
      <c r="B2147" s="28" t="str">
        <f t="shared" si="66"/>
        <v>Cherokee</v>
      </c>
      <c r="C2147" s="30">
        <v>46987</v>
      </c>
      <c r="D2147" s="30">
        <v>46992</v>
      </c>
      <c r="E2147" s="30">
        <v>47126</v>
      </c>
      <c r="F2147" s="30">
        <v>47702</v>
      </c>
      <c r="G2147" s="30">
        <v>47989</v>
      </c>
      <c r="H2147" s="30">
        <v>47870</v>
      </c>
      <c r="I2147" s="30">
        <v>48240</v>
      </c>
      <c r="J2147" s="30">
        <v>48376</v>
      </c>
      <c r="K2147" s="30">
        <v>48791</v>
      </c>
      <c r="L2147" s="30">
        <v>48891</v>
      </c>
      <c r="M2147" s="30">
        <v>48607</v>
      </c>
      <c r="N2147" s="30">
        <v>48657</v>
      </c>
      <c r="O2147" s="24" t="str">
        <f t="shared" si="67"/>
        <v>Cherokee County, Oklahoma</v>
      </c>
    </row>
    <row r="2148" spans="1:15" x14ac:dyDescent="0.25">
      <c r="A2148" s="35" t="s">
        <v>2623</v>
      </c>
      <c r="B2148" s="28" t="str">
        <f t="shared" si="66"/>
        <v>Choctaw</v>
      </c>
      <c r="C2148" s="30">
        <v>15205</v>
      </c>
      <c r="D2148" s="30">
        <v>15199</v>
      </c>
      <c r="E2148" s="30">
        <v>15236</v>
      </c>
      <c r="F2148" s="30">
        <v>15281</v>
      </c>
      <c r="G2148" s="30">
        <v>15177</v>
      </c>
      <c r="H2148" s="30">
        <v>15053</v>
      </c>
      <c r="I2148" s="30">
        <v>15110</v>
      </c>
      <c r="J2148" s="30">
        <v>14984</v>
      </c>
      <c r="K2148" s="30">
        <v>14877</v>
      </c>
      <c r="L2148" s="30">
        <v>14804</v>
      </c>
      <c r="M2148" s="30">
        <v>14698</v>
      </c>
      <c r="N2148" s="30">
        <v>14672</v>
      </c>
      <c r="O2148" s="24" t="str">
        <f t="shared" si="67"/>
        <v>Choctaw County, Oklahoma</v>
      </c>
    </row>
    <row r="2149" spans="1:15" x14ac:dyDescent="0.25">
      <c r="A2149" s="35" t="s">
        <v>2624</v>
      </c>
      <c r="B2149" s="28" t="str">
        <f t="shared" si="66"/>
        <v>Cimarron</v>
      </c>
      <c r="C2149" s="30">
        <v>2475</v>
      </c>
      <c r="D2149" s="30">
        <v>2475</v>
      </c>
      <c r="E2149" s="30">
        <v>2471</v>
      </c>
      <c r="F2149" s="30">
        <v>2476</v>
      </c>
      <c r="G2149" s="30">
        <v>2398</v>
      </c>
      <c r="H2149" s="30">
        <v>2328</v>
      </c>
      <c r="I2149" s="30">
        <v>2294</v>
      </c>
      <c r="J2149" s="30">
        <v>2225</v>
      </c>
      <c r="K2149" s="30">
        <v>2189</v>
      </c>
      <c r="L2149" s="30">
        <v>2152</v>
      </c>
      <c r="M2149" s="30">
        <v>2165</v>
      </c>
      <c r="N2149" s="30">
        <v>2137</v>
      </c>
      <c r="O2149" s="24" t="str">
        <f t="shared" si="67"/>
        <v>Cimarron County, Oklahoma</v>
      </c>
    </row>
    <row r="2150" spans="1:15" x14ac:dyDescent="0.25">
      <c r="A2150" s="35" t="s">
        <v>2625</v>
      </c>
      <c r="B2150" s="28" t="str">
        <f t="shared" si="66"/>
        <v>Cleveland</v>
      </c>
      <c r="C2150" s="30">
        <v>255755</v>
      </c>
      <c r="D2150" s="30">
        <v>255990</v>
      </c>
      <c r="E2150" s="30">
        <v>257085</v>
      </c>
      <c r="F2150" s="30">
        <v>262064</v>
      </c>
      <c r="G2150" s="30">
        <v>266150</v>
      </c>
      <c r="H2150" s="30">
        <v>269860</v>
      </c>
      <c r="I2150" s="30">
        <v>269724</v>
      </c>
      <c r="J2150" s="30">
        <v>273841</v>
      </c>
      <c r="K2150" s="30">
        <v>277809</v>
      </c>
      <c r="L2150" s="30">
        <v>279542</v>
      </c>
      <c r="M2150" s="30">
        <v>281166</v>
      </c>
      <c r="N2150" s="30">
        <v>284014</v>
      </c>
      <c r="O2150" s="24" t="str">
        <f t="shared" si="67"/>
        <v>Cleveland County, Oklahoma</v>
      </c>
    </row>
    <row r="2151" spans="1:15" x14ac:dyDescent="0.25">
      <c r="A2151" s="35" t="s">
        <v>2626</v>
      </c>
      <c r="B2151" s="28" t="str">
        <f t="shared" si="66"/>
        <v>Coal</v>
      </c>
      <c r="C2151" s="30">
        <v>5925</v>
      </c>
      <c r="D2151" s="30">
        <v>5927</v>
      </c>
      <c r="E2151" s="30">
        <v>5911</v>
      </c>
      <c r="F2151" s="30">
        <v>5927</v>
      </c>
      <c r="G2151" s="30">
        <v>5902</v>
      </c>
      <c r="H2151" s="30">
        <v>5763</v>
      </c>
      <c r="I2151" s="30">
        <v>5727</v>
      </c>
      <c r="J2151" s="30">
        <v>5608</v>
      </c>
      <c r="K2151" s="30">
        <v>5652</v>
      </c>
      <c r="L2151" s="30">
        <v>5630</v>
      </c>
      <c r="M2151" s="30">
        <v>5520</v>
      </c>
      <c r="N2151" s="30">
        <v>5495</v>
      </c>
      <c r="O2151" s="24" t="str">
        <f t="shared" si="67"/>
        <v>Coal County, Oklahoma</v>
      </c>
    </row>
    <row r="2152" spans="1:15" x14ac:dyDescent="0.25">
      <c r="A2152" s="35" t="s">
        <v>2627</v>
      </c>
      <c r="B2152" s="28" t="str">
        <f t="shared" si="66"/>
        <v>Comanche</v>
      </c>
      <c r="C2152" s="30">
        <v>124098</v>
      </c>
      <c r="D2152" s="30">
        <v>124098</v>
      </c>
      <c r="E2152" s="30">
        <v>125397</v>
      </c>
      <c r="F2152" s="30">
        <v>126075</v>
      </c>
      <c r="G2152" s="30">
        <v>126536</v>
      </c>
      <c r="H2152" s="30">
        <v>124949</v>
      </c>
      <c r="I2152" s="30">
        <v>124778</v>
      </c>
      <c r="J2152" s="30">
        <v>124005</v>
      </c>
      <c r="K2152" s="30">
        <v>121743</v>
      </c>
      <c r="L2152" s="30">
        <v>121786</v>
      </c>
      <c r="M2152" s="30">
        <v>120528</v>
      </c>
      <c r="N2152" s="30">
        <v>120749</v>
      </c>
      <c r="O2152" s="24" t="str">
        <f t="shared" si="67"/>
        <v>Comanche County, Oklahoma</v>
      </c>
    </row>
    <row r="2153" spans="1:15" x14ac:dyDescent="0.25">
      <c r="A2153" s="35" t="s">
        <v>2628</v>
      </c>
      <c r="B2153" s="28" t="str">
        <f t="shared" si="66"/>
        <v>Cotton</v>
      </c>
      <c r="C2153" s="30">
        <v>6193</v>
      </c>
      <c r="D2153" s="30">
        <v>6190</v>
      </c>
      <c r="E2153" s="30">
        <v>6172</v>
      </c>
      <c r="F2153" s="30">
        <v>6180</v>
      </c>
      <c r="G2153" s="30">
        <v>6160</v>
      </c>
      <c r="H2153" s="30">
        <v>6164</v>
      </c>
      <c r="I2153" s="30">
        <v>6131</v>
      </c>
      <c r="J2153" s="30">
        <v>6006</v>
      </c>
      <c r="K2153" s="30">
        <v>5933</v>
      </c>
      <c r="L2153" s="30">
        <v>5863</v>
      </c>
      <c r="M2153" s="30">
        <v>5820</v>
      </c>
      <c r="N2153" s="30">
        <v>5666</v>
      </c>
      <c r="O2153" s="24" t="str">
        <f t="shared" si="67"/>
        <v>Cotton County, Oklahoma</v>
      </c>
    </row>
    <row r="2154" spans="1:15" x14ac:dyDescent="0.25">
      <c r="A2154" s="35" t="s">
        <v>2629</v>
      </c>
      <c r="B2154" s="28" t="str">
        <f t="shared" si="66"/>
        <v>Craig</v>
      </c>
      <c r="C2154" s="30">
        <v>15029</v>
      </c>
      <c r="D2154" s="30">
        <v>15027</v>
      </c>
      <c r="E2154" s="30">
        <v>15060</v>
      </c>
      <c r="F2154" s="30">
        <v>14985</v>
      </c>
      <c r="G2154" s="30">
        <v>14763</v>
      </c>
      <c r="H2154" s="30">
        <v>14701</v>
      </c>
      <c r="I2154" s="30">
        <v>14639</v>
      </c>
      <c r="J2154" s="30">
        <v>14709</v>
      </c>
      <c r="K2154" s="30">
        <v>14465</v>
      </c>
      <c r="L2154" s="30">
        <v>14332</v>
      </c>
      <c r="M2154" s="30">
        <v>14300</v>
      </c>
      <c r="N2154" s="30">
        <v>14142</v>
      </c>
      <c r="O2154" s="24" t="str">
        <f t="shared" si="67"/>
        <v>Craig County, Oklahoma</v>
      </c>
    </row>
    <row r="2155" spans="1:15" x14ac:dyDescent="0.25">
      <c r="A2155" s="35" t="s">
        <v>2630</v>
      </c>
      <c r="B2155" s="28" t="str">
        <f t="shared" si="66"/>
        <v>Creek</v>
      </c>
      <c r="C2155" s="30">
        <v>69967</v>
      </c>
      <c r="D2155" s="30">
        <v>69992</v>
      </c>
      <c r="E2155" s="30">
        <v>70248</v>
      </c>
      <c r="F2155" s="30">
        <v>70651</v>
      </c>
      <c r="G2155" s="30">
        <v>70760</v>
      </c>
      <c r="H2155" s="30">
        <v>70575</v>
      </c>
      <c r="I2155" s="30">
        <v>70559</v>
      </c>
      <c r="J2155" s="30">
        <v>70801</v>
      </c>
      <c r="K2155" s="30">
        <v>71191</v>
      </c>
      <c r="L2155" s="30">
        <v>71890</v>
      </c>
      <c r="M2155" s="30">
        <v>71730</v>
      </c>
      <c r="N2155" s="30">
        <v>71522</v>
      </c>
      <c r="O2155" s="24" t="str">
        <f t="shared" si="67"/>
        <v>Creek County, Oklahoma</v>
      </c>
    </row>
    <row r="2156" spans="1:15" x14ac:dyDescent="0.25">
      <c r="A2156" s="35" t="s">
        <v>2631</v>
      </c>
      <c r="B2156" s="28" t="str">
        <f t="shared" si="66"/>
        <v>Custer</v>
      </c>
      <c r="C2156" s="30">
        <v>27469</v>
      </c>
      <c r="D2156" s="30">
        <v>27540</v>
      </c>
      <c r="E2156" s="30">
        <v>27580</v>
      </c>
      <c r="F2156" s="30">
        <v>27796</v>
      </c>
      <c r="G2156" s="30">
        <v>28590</v>
      </c>
      <c r="H2156" s="30">
        <v>29310</v>
      </c>
      <c r="I2156" s="30">
        <v>29509</v>
      </c>
      <c r="J2156" s="30">
        <v>29565</v>
      </c>
      <c r="K2156" s="30">
        <v>29222</v>
      </c>
      <c r="L2156" s="30">
        <v>28974</v>
      </c>
      <c r="M2156" s="30">
        <v>28995</v>
      </c>
      <c r="N2156" s="30">
        <v>29003</v>
      </c>
      <c r="O2156" s="24" t="str">
        <f t="shared" si="67"/>
        <v>Custer County, Oklahoma</v>
      </c>
    </row>
    <row r="2157" spans="1:15" x14ac:dyDescent="0.25">
      <c r="A2157" s="35" t="s">
        <v>2632</v>
      </c>
      <c r="B2157" s="28" t="str">
        <f t="shared" si="66"/>
        <v>Delaware</v>
      </c>
      <c r="C2157" s="30">
        <v>41487</v>
      </c>
      <c r="D2157" s="30">
        <v>41498</v>
      </c>
      <c r="E2157" s="30">
        <v>41562</v>
      </c>
      <c r="F2157" s="30">
        <v>41654</v>
      </c>
      <c r="G2157" s="30">
        <v>41716</v>
      </c>
      <c r="H2157" s="30">
        <v>41695</v>
      </c>
      <c r="I2157" s="30">
        <v>41763</v>
      </c>
      <c r="J2157" s="30">
        <v>41704</v>
      </c>
      <c r="K2157" s="30">
        <v>41965</v>
      </c>
      <c r="L2157" s="30">
        <v>42672</v>
      </c>
      <c r="M2157" s="30">
        <v>42814</v>
      </c>
      <c r="N2157" s="30">
        <v>43009</v>
      </c>
      <c r="O2157" s="24" t="str">
        <f t="shared" si="67"/>
        <v>Delaware County, Oklahoma</v>
      </c>
    </row>
    <row r="2158" spans="1:15" x14ac:dyDescent="0.25">
      <c r="A2158" s="35" t="s">
        <v>2633</v>
      </c>
      <c r="B2158" s="28" t="str">
        <f t="shared" si="66"/>
        <v>Dewey</v>
      </c>
      <c r="C2158" s="30">
        <v>4810</v>
      </c>
      <c r="D2158" s="30">
        <v>4810</v>
      </c>
      <c r="E2158" s="30">
        <v>4810</v>
      </c>
      <c r="F2158" s="30">
        <v>4785</v>
      </c>
      <c r="G2158" s="30">
        <v>4817</v>
      </c>
      <c r="H2158" s="30">
        <v>4857</v>
      </c>
      <c r="I2158" s="30">
        <v>4966</v>
      </c>
      <c r="J2158" s="30">
        <v>4984</v>
      </c>
      <c r="K2158" s="30">
        <v>4905</v>
      </c>
      <c r="L2158" s="30">
        <v>4899</v>
      </c>
      <c r="M2158" s="30">
        <v>4931</v>
      </c>
      <c r="N2158" s="30">
        <v>4891</v>
      </c>
      <c r="O2158" s="24" t="str">
        <f t="shared" si="67"/>
        <v>Dewey County, Oklahoma</v>
      </c>
    </row>
    <row r="2159" spans="1:15" x14ac:dyDescent="0.25">
      <c r="A2159" s="35" t="s">
        <v>2634</v>
      </c>
      <c r="B2159" s="28" t="str">
        <f t="shared" si="66"/>
        <v>Ellis</v>
      </c>
      <c r="C2159" s="30">
        <v>4151</v>
      </c>
      <c r="D2159" s="30">
        <v>4151</v>
      </c>
      <c r="E2159" s="30">
        <v>4158</v>
      </c>
      <c r="F2159" s="30">
        <v>4040</v>
      </c>
      <c r="G2159" s="30">
        <v>4080</v>
      </c>
      <c r="H2159" s="30">
        <v>4133</v>
      </c>
      <c r="I2159" s="30">
        <v>4118</v>
      </c>
      <c r="J2159" s="30">
        <v>4223</v>
      </c>
      <c r="K2159" s="30">
        <v>4085</v>
      </c>
      <c r="L2159" s="30">
        <v>3970</v>
      </c>
      <c r="M2159" s="30">
        <v>3939</v>
      </c>
      <c r="N2159" s="30">
        <v>3859</v>
      </c>
      <c r="O2159" s="24" t="str">
        <f t="shared" si="67"/>
        <v>Ellis County, Oklahoma</v>
      </c>
    </row>
    <row r="2160" spans="1:15" x14ac:dyDescent="0.25">
      <c r="A2160" s="35" t="s">
        <v>2635</v>
      </c>
      <c r="B2160" s="28" t="str">
        <f t="shared" si="66"/>
        <v>Garfield</v>
      </c>
      <c r="C2160" s="30">
        <v>60580</v>
      </c>
      <c r="D2160" s="30">
        <v>60580</v>
      </c>
      <c r="E2160" s="30">
        <v>60765</v>
      </c>
      <c r="F2160" s="30">
        <v>60763</v>
      </c>
      <c r="G2160" s="30">
        <v>61399</v>
      </c>
      <c r="H2160" s="30">
        <v>62370</v>
      </c>
      <c r="I2160" s="30">
        <v>62790</v>
      </c>
      <c r="J2160" s="30">
        <v>63248</v>
      </c>
      <c r="K2160" s="30">
        <v>62493</v>
      </c>
      <c r="L2160" s="30">
        <v>61600</v>
      </c>
      <c r="M2160" s="30">
        <v>61095</v>
      </c>
      <c r="N2160" s="30">
        <v>61056</v>
      </c>
      <c r="O2160" s="24" t="str">
        <f t="shared" si="67"/>
        <v>Garfield County, Oklahoma</v>
      </c>
    </row>
    <row r="2161" spans="1:15" x14ac:dyDescent="0.25">
      <c r="A2161" s="35" t="s">
        <v>2636</v>
      </c>
      <c r="B2161" s="28" t="str">
        <f t="shared" si="66"/>
        <v>Garvin</v>
      </c>
      <c r="C2161" s="30">
        <v>27576</v>
      </c>
      <c r="D2161" s="30">
        <v>27571</v>
      </c>
      <c r="E2161" s="30">
        <v>27577</v>
      </c>
      <c r="F2161" s="30">
        <v>27468</v>
      </c>
      <c r="G2161" s="30">
        <v>27345</v>
      </c>
      <c r="H2161" s="30">
        <v>27429</v>
      </c>
      <c r="I2161" s="30">
        <v>27620</v>
      </c>
      <c r="J2161" s="30">
        <v>27920</v>
      </c>
      <c r="K2161" s="30">
        <v>27940</v>
      </c>
      <c r="L2161" s="30">
        <v>27857</v>
      </c>
      <c r="M2161" s="30">
        <v>27746</v>
      </c>
      <c r="N2161" s="30">
        <v>27711</v>
      </c>
      <c r="O2161" s="24" t="str">
        <f t="shared" si="67"/>
        <v>Garvin County, Oklahoma</v>
      </c>
    </row>
    <row r="2162" spans="1:15" x14ac:dyDescent="0.25">
      <c r="A2162" s="35" t="s">
        <v>2637</v>
      </c>
      <c r="B2162" s="28" t="str">
        <f t="shared" si="66"/>
        <v>Grady</v>
      </c>
      <c r="C2162" s="30">
        <v>52431</v>
      </c>
      <c r="D2162" s="30">
        <v>52430</v>
      </c>
      <c r="E2162" s="30">
        <v>52440</v>
      </c>
      <c r="F2162" s="30">
        <v>52751</v>
      </c>
      <c r="G2162" s="30">
        <v>53026</v>
      </c>
      <c r="H2162" s="30">
        <v>53637</v>
      </c>
      <c r="I2162" s="30">
        <v>53878</v>
      </c>
      <c r="J2162" s="30">
        <v>54559</v>
      </c>
      <c r="K2162" s="30">
        <v>54683</v>
      </c>
      <c r="L2162" s="30">
        <v>54829</v>
      </c>
      <c r="M2162" s="30">
        <v>55448</v>
      </c>
      <c r="N2162" s="30">
        <v>55834</v>
      </c>
      <c r="O2162" s="24" t="str">
        <f t="shared" si="67"/>
        <v>Grady County, Oklahoma</v>
      </c>
    </row>
    <row r="2163" spans="1:15" x14ac:dyDescent="0.25">
      <c r="A2163" s="35" t="s">
        <v>2638</v>
      </c>
      <c r="B2163" s="28" t="str">
        <f t="shared" si="66"/>
        <v>Grant</v>
      </c>
      <c r="C2163" s="30">
        <v>4527</v>
      </c>
      <c r="D2163" s="30">
        <v>4532</v>
      </c>
      <c r="E2163" s="30">
        <v>4537</v>
      </c>
      <c r="F2163" s="30">
        <v>4563</v>
      </c>
      <c r="G2163" s="30">
        <v>4534</v>
      </c>
      <c r="H2163" s="30">
        <v>4521</v>
      </c>
      <c r="I2163" s="30">
        <v>4472</v>
      </c>
      <c r="J2163" s="30">
        <v>4500</v>
      </c>
      <c r="K2163" s="30">
        <v>4454</v>
      </c>
      <c r="L2163" s="30">
        <v>4379</v>
      </c>
      <c r="M2163" s="30">
        <v>4321</v>
      </c>
      <c r="N2163" s="30">
        <v>4333</v>
      </c>
      <c r="O2163" s="24" t="str">
        <f t="shared" si="67"/>
        <v>Grant County, Oklahoma</v>
      </c>
    </row>
    <row r="2164" spans="1:15" x14ac:dyDescent="0.25">
      <c r="A2164" s="35" t="s">
        <v>2639</v>
      </c>
      <c r="B2164" s="28" t="str">
        <f t="shared" si="66"/>
        <v>Greer</v>
      </c>
      <c r="C2164" s="30">
        <v>6239</v>
      </c>
      <c r="D2164" s="30">
        <v>6239</v>
      </c>
      <c r="E2164" s="30">
        <v>6210</v>
      </c>
      <c r="F2164" s="30">
        <v>6144</v>
      </c>
      <c r="G2164" s="30">
        <v>6055</v>
      </c>
      <c r="H2164" s="30">
        <v>6139</v>
      </c>
      <c r="I2164" s="30">
        <v>6123</v>
      </c>
      <c r="J2164" s="30">
        <v>6031</v>
      </c>
      <c r="K2164" s="30">
        <v>5954</v>
      </c>
      <c r="L2164" s="30">
        <v>5793</v>
      </c>
      <c r="M2164" s="30">
        <v>5814</v>
      </c>
      <c r="N2164" s="30">
        <v>5712</v>
      </c>
      <c r="O2164" s="24" t="str">
        <f t="shared" si="67"/>
        <v>Greer County, Oklahoma</v>
      </c>
    </row>
    <row r="2165" spans="1:15" x14ac:dyDescent="0.25">
      <c r="A2165" s="35" t="s">
        <v>2640</v>
      </c>
      <c r="B2165" s="28" t="str">
        <f t="shared" si="66"/>
        <v>Harmon</v>
      </c>
      <c r="C2165" s="30">
        <v>2922</v>
      </c>
      <c r="D2165" s="30">
        <v>2922</v>
      </c>
      <c r="E2165" s="30">
        <v>2921</v>
      </c>
      <c r="F2165" s="30">
        <v>2934</v>
      </c>
      <c r="G2165" s="30">
        <v>2914</v>
      </c>
      <c r="H2165" s="30">
        <v>2891</v>
      </c>
      <c r="I2165" s="30">
        <v>2801</v>
      </c>
      <c r="J2165" s="30">
        <v>2782</v>
      </c>
      <c r="K2165" s="30">
        <v>2712</v>
      </c>
      <c r="L2165" s="30">
        <v>2710</v>
      </c>
      <c r="M2165" s="30">
        <v>2691</v>
      </c>
      <c r="N2165" s="30">
        <v>2653</v>
      </c>
      <c r="O2165" s="24" t="str">
        <f t="shared" si="67"/>
        <v>Harmon County, Oklahoma</v>
      </c>
    </row>
    <row r="2166" spans="1:15" x14ac:dyDescent="0.25">
      <c r="A2166" s="35" t="s">
        <v>2641</v>
      </c>
      <c r="B2166" s="28" t="str">
        <f t="shared" si="66"/>
        <v>Harper</v>
      </c>
      <c r="C2166" s="30">
        <v>3685</v>
      </c>
      <c r="D2166" s="30">
        <v>3682</v>
      </c>
      <c r="E2166" s="30">
        <v>3694</v>
      </c>
      <c r="F2166" s="30">
        <v>3713</v>
      </c>
      <c r="G2166" s="30">
        <v>3711</v>
      </c>
      <c r="H2166" s="30">
        <v>3871</v>
      </c>
      <c r="I2166" s="30">
        <v>3894</v>
      </c>
      <c r="J2166" s="30">
        <v>3826</v>
      </c>
      <c r="K2166" s="30">
        <v>3776</v>
      </c>
      <c r="L2166" s="30">
        <v>3784</v>
      </c>
      <c r="M2166" s="30">
        <v>3727</v>
      </c>
      <c r="N2166" s="30">
        <v>3688</v>
      </c>
      <c r="O2166" s="24" t="str">
        <f t="shared" si="67"/>
        <v>Harper County, Oklahoma</v>
      </c>
    </row>
    <row r="2167" spans="1:15" x14ac:dyDescent="0.25">
      <c r="A2167" s="35" t="s">
        <v>2642</v>
      </c>
      <c r="B2167" s="28" t="str">
        <f t="shared" si="66"/>
        <v>Haskell</v>
      </c>
      <c r="C2167" s="30">
        <v>12769</v>
      </c>
      <c r="D2167" s="30">
        <v>12775</v>
      </c>
      <c r="E2167" s="30">
        <v>12779</v>
      </c>
      <c r="F2167" s="30">
        <v>12759</v>
      </c>
      <c r="G2167" s="30">
        <v>12820</v>
      </c>
      <c r="H2167" s="30">
        <v>12917</v>
      </c>
      <c r="I2167" s="30">
        <v>12827</v>
      </c>
      <c r="J2167" s="30">
        <v>12750</v>
      </c>
      <c r="K2167" s="30">
        <v>12695</v>
      </c>
      <c r="L2167" s="30">
        <v>12726</v>
      </c>
      <c r="M2167" s="30">
        <v>12636</v>
      </c>
      <c r="N2167" s="30">
        <v>12627</v>
      </c>
      <c r="O2167" s="24" t="str">
        <f t="shared" si="67"/>
        <v>Haskell County, Oklahoma</v>
      </c>
    </row>
    <row r="2168" spans="1:15" x14ac:dyDescent="0.25">
      <c r="A2168" s="35" t="s">
        <v>2643</v>
      </c>
      <c r="B2168" s="28" t="str">
        <f t="shared" si="66"/>
        <v>Hughes</v>
      </c>
      <c r="C2168" s="30">
        <v>14003</v>
      </c>
      <c r="D2168" s="30">
        <v>14000</v>
      </c>
      <c r="E2168" s="30">
        <v>14030</v>
      </c>
      <c r="F2168" s="30">
        <v>13752</v>
      </c>
      <c r="G2168" s="30">
        <v>13661</v>
      </c>
      <c r="H2168" s="30">
        <v>13643</v>
      </c>
      <c r="I2168" s="30">
        <v>13684</v>
      </c>
      <c r="J2168" s="30">
        <v>13592</v>
      </c>
      <c r="K2168" s="30">
        <v>13417</v>
      </c>
      <c r="L2168" s="30">
        <v>13265</v>
      </c>
      <c r="M2168" s="30">
        <v>13305</v>
      </c>
      <c r="N2168" s="30">
        <v>13279</v>
      </c>
      <c r="O2168" s="24" t="str">
        <f t="shared" si="67"/>
        <v>Hughes County, Oklahoma</v>
      </c>
    </row>
    <row r="2169" spans="1:15" x14ac:dyDescent="0.25">
      <c r="A2169" s="35" t="s">
        <v>2644</v>
      </c>
      <c r="B2169" s="28" t="str">
        <f t="shared" si="66"/>
        <v>Jackson</v>
      </c>
      <c r="C2169" s="30">
        <v>26446</v>
      </c>
      <c r="D2169" s="30">
        <v>26446</v>
      </c>
      <c r="E2169" s="30">
        <v>26485</v>
      </c>
      <c r="F2169" s="30">
        <v>26422</v>
      </c>
      <c r="G2169" s="30">
        <v>26226</v>
      </c>
      <c r="H2169" s="30">
        <v>26109</v>
      </c>
      <c r="I2169" s="30">
        <v>25822</v>
      </c>
      <c r="J2169" s="30">
        <v>25459</v>
      </c>
      <c r="K2169" s="30">
        <v>25440</v>
      </c>
      <c r="L2169" s="30">
        <v>25112</v>
      </c>
      <c r="M2169" s="30">
        <v>24775</v>
      </c>
      <c r="N2169" s="30">
        <v>24530</v>
      </c>
      <c r="O2169" s="24" t="str">
        <f t="shared" si="67"/>
        <v>Jackson County, Oklahoma</v>
      </c>
    </row>
    <row r="2170" spans="1:15" x14ac:dyDescent="0.25">
      <c r="A2170" s="35" t="s">
        <v>2645</v>
      </c>
      <c r="B2170" s="28" t="str">
        <f t="shared" si="66"/>
        <v>Jefferson</v>
      </c>
      <c r="C2170" s="30">
        <v>6472</v>
      </c>
      <c r="D2170" s="30">
        <v>6472</v>
      </c>
      <c r="E2170" s="30">
        <v>6438</v>
      </c>
      <c r="F2170" s="30">
        <v>6452</v>
      </c>
      <c r="G2170" s="30">
        <v>6341</v>
      </c>
      <c r="H2170" s="30">
        <v>6357</v>
      </c>
      <c r="I2170" s="30">
        <v>6291</v>
      </c>
      <c r="J2170" s="30">
        <v>6266</v>
      </c>
      <c r="K2170" s="30">
        <v>6250</v>
      </c>
      <c r="L2170" s="30">
        <v>6164</v>
      </c>
      <c r="M2170" s="30">
        <v>6106</v>
      </c>
      <c r="N2170" s="30">
        <v>6002</v>
      </c>
      <c r="O2170" s="24" t="str">
        <f t="shared" si="67"/>
        <v>Jefferson County, Oklahoma</v>
      </c>
    </row>
    <row r="2171" spans="1:15" x14ac:dyDescent="0.25">
      <c r="A2171" s="35" t="s">
        <v>2646</v>
      </c>
      <c r="B2171" s="28" t="str">
        <f t="shared" si="66"/>
        <v>Johnston</v>
      </c>
      <c r="C2171" s="30">
        <v>10957</v>
      </c>
      <c r="D2171" s="30">
        <v>10957</v>
      </c>
      <c r="E2171" s="30">
        <v>11002</v>
      </c>
      <c r="F2171" s="30">
        <v>11072</v>
      </c>
      <c r="G2171" s="30">
        <v>10967</v>
      </c>
      <c r="H2171" s="30">
        <v>10986</v>
      </c>
      <c r="I2171" s="30">
        <v>11097</v>
      </c>
      <c r="J2171" s="30">
        <v>10967</v>
      </c>
      <c r="K2171" s="30">
        <v>11126</v>
      </c>
      <c r="L2171" s="30">
        <v>11121</v>
      </c>
      <c r="M2171" s="30">
        <v>11020</v>
      </c>
      <c r="N2171" s="30">
        <v>11085</v>
      </c>
      <c r="O2171" s="24" t="str">
        <f t="shared" si="67"/>
        <v>Johnston County, Oklahoma</v>
      </c>
    </row>
    <row r="2172" spans="1:15" x14ac:dyDescent="0.25">
      <c r="A2172" s="35" t="s">
        <v>2647</v>
      </c>
      <c r="B2172" s="28" t="str">
        <f t="shared" si="66"/>
        <v>Kay</v>
      </c>
      <c r="C2172" s="30">
        <v>46562</v>
      </c>
      <c r="D2172" s="30">
        <v>46562</v>
      </c>
      <c r="E2172" s="30">
        <v>46430</v>
      </c>
      <c r="F2172" s="30">
        <v>45847</v>
      </c>
      <c r="G2172" s="30">
        <v>45684</v>
      </c>
      <c r="H2172" s="30">
        <v>45541</v>
      </c>
      <c r="I2172" s="30">
        <v>45451</v>
      </c>
      <c r="J2172" s="30">
        <v>45226</v>
      </c>
      <c r="K2172" s="30">
        <v>44901</v>
      </c>
      <c r="L2172" s="30">
        <v>44403</v>
      </c>
      <c r="M2172" s="30">
        <v>43944</v>
      </c>
      <c r="N2172" s="30">
        <v>43538</v>
      </c>
      <c r="O2172" s="24" t="str">
        <f t="shared" si="67"/>
        <v>Kay County, Oklahoma</v>
      </c>
    </row>
    <row r="2173" spans="1:15" x14ac:dyDescent="0.25">
      <c r="A2173" s="35" t="s">
        <v>2648</v>
      </c>
      <c r="B2173" s="28" t="str">
        <f t="shared" si="66"/>
        <v>Kingfisher</v>
      </c>
      <c r="C2173" s="30">
        <v>15034</v>
      </c>
      <c r="D2173" s="30">
        <v>15025</v>
      </c>
      <c r="E2173" s="30">
        <v>15065</v>
      </c>
      <c r="F2173" s="30">
        <v>15160</v>
      </c>
      <c r="G2173" s="30">
        <v>15022</v>
      </c>
      <c r="H2173" s="30">
        <v>15300</v>
      </c>
      <c r="I2173" s="30">
        <v>15504</v>
      </c>
      <c r="J2173" s="30">
        <v>15588</v>
      </c>
      <c r="K2173" s="30">
        <v>15613</v>
      </c>
      <c r="L2173" s="30">
        <v>15688</v>
      </c>
      <c r="M2173" s="30">
        <v>15814</v>
      </c>
      <c r="N2173" s="30">
        <v>15765</v>
      </c>
      <c r="O2173" s="24" t="str">
        <f t="shared" si="67"/>
        <v>Kingfisher County, Oklahoma</v>
      </c>
    </row>
    <row r="2174" spans="1:15" x14ac:dyDescent="0.25">
      <c r="A2174" s="35" t="s">
        <v>2649</v>
      </c>
      <c r="B2174" s="28" t="str">
        <f t="shared" si="66"/>
        <v>Kiowa</v>
      </c>
      <c r="C2174" s="30">
        <v>9446</v>
      </c>
      <c r="D2174" s="30">
        <v>9446</v>
      </c>
      <c r="E2174" s="30">
        <v>9442</v>
      </c>
      <c r="F2174" s="30">
        <v>9425</v>
      </c>
      <c r="G2174" s="30">
        <v>9360</v>
      </c>
      <c r="H2174" s="30">
        <v>9344</v>
      </c>
      <c r="I2174" s="30">
        <v>9282</v>
      </c>
      <c r="J2174" s="30">
        <v>9116</v>
      </c>
      <c r="K2174" s="30">
        <v>9025</v>
      </c>
      <c r="L2174" s="30">
        <v>8849</v>
      </c>
      <c r="M2174" s="30">
        <v>8732</v>
      </c>
      <c r="N2174" s="30">
        <v>8708</v>
      </c>
      <c r="O2174" s="24" t="str">
        <f t="shared" si="67"/>
        <v>Kiowa County, Oklahoma</v>
      </c>
    </row>
    <row r="2175" spans="1:15" x14ac:dyDescent="0.25">
      <c r="A2175" s="35" t="s">
        <v>2650</v>
      </c>
      <c r="B2175" s="28" t="str">
        <f t="shared" si="66"/>
        <v>Latimer</v>
      </c>
      <c r="C2175" s="30">
        <v>11154</v>
      </c>
      <c r="D2175" s="30">
        <v>11156</v>
      </c>
      <c r="E2175" s="30">
        <v>11157</v>
      </c>
      <c r="F2175" s="30">
        <v>11182</v>
      </c>
      <c r="G2175" s="30">
        <v>11009</v>
      </c>
      <c r="H2175" s="30">
        <v>10794</v>
      </c>
      <c r="I2175" s="30">
        <v>10779</v>
      </c>
      <c r="J2175" s="30">
        <v>10624</v>
      </c>
      <c r="K2175" s="30">
        <v>10550</v>
      </c>
      <c r="L2175" s="30">
        <v>10318</v>
      </c>
      <c r="M2175" s="30">
        <v>10175</v>
      </c>
      <c r="N2175" s="30">
        <v>10073</v>
      </c>
      <c r="O2175" s="24" t="str">
        <f t="shared" si="67"/>
        <v>Latimer County, Oklahoma</v>
      </c>
    </row>
    <row r="2176" spans="1:15" x14ac:dyDescent="0.25">
      <c r="A2176" s="35" t="s">
        <v>2651</v>
      </c>
      <c r="B2176" s="28" t="str">
        <f t="shared" si="66"/>
        <v>Le Flore</v>
      </c>
      <c r="C2176" s="30">
        <v>50384</v>
      </c>
      <c r="D2176" s="30">
        <v>50382</v>
      </c>
      <c r="E2176" s="30">
        <v>50525</v>
      </c>
      <c r="F2176" s="30">
        <v>50504</v>
      </c>
      <c r="G2176" s="30">
        <v>50343</v>
      </c>
      <c r="H2176" s="30">
        <v>50301</v>
      </c>
      <c r="I2176" s="30">
        <v>50211</v>
      </c>
      <c r="J2176" s="30">
        <v>50018</v>
      </c>
      <c r="K2176" s="30">
        <v>50144</v>
      </c>
      <c r="L2176" s="30">
        <v>50020</v>
      </c>
      <c r="M2176" s="30">
        <v>50093</v>
      </c>
      <c r="N2176" s="30">
        <v>49853</v>
      </c>
      <c r="O2176" s="24" t="str">
        <f t="shared" si="67"/>
        <v>Le Flore County, Oklahoma</v>
      </c>
    </row>
    <row r="2177" spans="1:15" x14ac:dyDescent="0.25">
      <c r="A2177" s="35" t="s">
        <v>2652</v>
      </c>
      <c r="B2177" s="28" t="str">
        <f t="shared" si="66"/>
        <v>Lincoln</v>
      </c>
      <c r="C2177" s="30">
        <v>34273</v>
      </c>
      <c r="D2177" s="30">
        <v>34274</v>
      </c>
      <c r="E2177" s="30">
        <v>34356</v>
      </c>
      <c r="F2177" s="30">
        <v>34254</v>
      </c>
      <c r="G2177" s="30">
        <v>34156</v>
      </c>
      <c r="H2177" s="30">
        <v>34235</v>
      </c>
      <c r="I2177" s="30">
        <v>34527</v>
      </c>
      <c r="J2177" s="30">
        <v>34928</v>
      </c>
      <c r="K2177" s="30">
        <v>34872</v>
      </c>
      <c r="L2177" s="30">
        <v>34961</v>
      </c>
      <c r="M2177" s="30">
        <v>34837</v>
      </c>
      <c r="N2177" s="30">
        <v>34877</v>
      </c>
      <c r="O2177" s="24" t="str">
        <f t="shared" si="67"/>
        <v>Lincoln County, Oklahoma</v>
      </c>
    </row>
    <row r="2178" spans="1:15" x14ac:dyDescent="0.25">
      <c r="A2178" s="35" t="s">
        <v>2653</v>
      </c>
      <c r="B2178" s="28" t="str">
        <f t="shared" si="66"/>
        <v>Logan</v>
      </c>
      <c r="C2178" s="30">
        <v>41848</v>
      </c>
      <c r="D2178" s="30">
        <v>41854</v>
      </c>
      <c r="E2178" s="30">
        <v>42056</v>
      </c>
      <c r="F2178" s="30">
        <v>42575</v>
      </c>
      <c r="G2178" s="30">
        <v>43042</v>
      </c>
      <c r="H2178" s="30">
        <v>43829</v>
      </c>
      <c r="I2178" s="30">
        <v>44680</v>
      </c>
      <c r="J2178" s="30">
        <v>45346</v>
      </c>
      <c r="K2178" s="30">
        <v>46027</v>
      </c>
      <c r="L2178" s="30">
        <v>46785</v>
      </c>
      <c r="M2178" s="30">
        <v>47248</v>
      </c>
      <c r="N2178" s="30">
        <v>48011</v>
      </c>
      <c r="O2178" s="24" t="str">
        <f t="shared" si="67"/>
        <v>Logan County, Oklahoma</v>
      </c>
    </row>
    <row r="2179" spans="1:15" x14ac:dyDescent="0.25">
      <c r="A2179" s="35" t="s">
        <v>2654</v>
      </c>
      <c r="B2179" s="28" t="str">
        <f t="shared" si="66"/>
        <v>Love</v>
      </c>
      <c r="C2179" s="30">
        <v>9423</v>
      </c>
      <c r="D2179" s="30">
        <v>9416</v>
      </c>
      <c r="E2179" s="30">
        <v>9412</v>
      </c>
      <c r="F2179" s="30">
        <v>9387</v>
      </c>
      <c r="G2179" s="30">
        <v>9572</v>
      </c>
      <c r="H2179" s="30">
        <v>9700</v>
      </c>
      <c r="I2179" s="30">
        <v>9741</v>
      </c>
      <c r="J2179" s="30">
        <v>9815</v>
      </c>
      <c r="K2179" s="30">
        <v>10016</v>
      </c>
      <c r="L2179" s="30">
        <v>10076</v>
      </c>
      <c r="M2179" s="30">
        <v>10156</v>
      </c>
      <c r="N2179" s="30">
        <v>10253</v>
      </c>
      <c r="O2179" s="24" t="str">
        <f t="shared" si="67"/>
        <v>Love County, Oklahoma</v>
      </c>
    </row>
    <row r="2180" spans="1:15" x14ac:dyDescent="0.25">
      <c r="A2180" s="35" t="s">
        <v>2655</v>
      </c>
      <c r="B2180" s="28" t="str">
        <f t="shared" si="66"/>
        <v>McClain</v>
      </c>
      <c r="C2180" s="30">
        <v>34506</v>
      </c>
      <c r="D2180" s="30">
        <v>34503</v>
      </c>
      <c r="E2180" s="30">
        <v>34733</v>
      </c>
      <c r="F2180" s="30">
        <v>35196</v>
      </c>
      <c r="G2180" s="30">
        <v>35580</v>
      </c>
      <c r="H2180" s="30">
        <v>36457</v>
      </c>
      <c r="I2180" s="30">
        <v>37244</v>
      </c>
      <c r="J2180" s="30">
        <v>37973</v>
      </c>
      <c r="K2180" s="30">
        <v>38597</v>
      </c>
      <c r="L2180" s="30">
        <v>39306</v>
      </c>
      <c r="M2180" s="30">
        <v>39887</v>
      </c>
      <c r="N2180" s="30">
        <v>40474</v>
      </c>
      <c r="O2180" s="24" t="str">
        <f t="shared" si="67"/>
        <v>McClain County, Oklahoma</v>
      </c>
    </row>
    <row r="2181" spans="1:15" x14ac:dyDescent="0.25">
      <c r="A2181" s="35" t="s">
        <v>2656</v>
      </c>
      <c r="B2181" s="28" t="str">
        <f t="shared" si="66"/>
        <v>McCurtain</v>
      </c>
      <c r="C2181" s="30">
        <v>33151</v>
      </c>
      <c r="D2181" s="30">
        <v>33154</v>
      </c>
      <c r="E2181" s="30">
        <v>33204</v>
      </c>
      <c r="F2181" s="30">
        <v>33309</v>
      </c>
      <c r="G2181" s="30">
        <v>33345</v>
      </c>
      <c r="H2181" s="30">
        <v>33228</v>
      </c>
      <c r="I2181" s="30">
        <v>33192</v>
      </c>
      <c r="J2181" s="30">
        <v>33173</v>
      </c>
      <c r="K2181" s="30">
        <v>33078</v>
      </c>
      <c r="L2181" s="30">
        <v>33031</v>
      </c>
      <c r="M2181" s="30">
        <v>32967</v>
      </c>
      <c r="N2181" s="30">
        <v>32832</v>
      </c>
      <c r="O2181" s="24" t="str">
        <f t="shared" si="67"/>
        <v>McCurtain County, Oklahoma</v>
      </c>
    </row>
    <row r="2182" spans="1:15" x14ac:dyDescent="0.25">
      <c r="A2182" s="35" t="s">
        <v>2657</v>
      </c>
      <c r="B2182" s="28" t="str">
        <f t="shared" si="66"/>
        <v>McIntosh</v>
      </c>
      <c r="C2182" s="30">
        <v>20252</v>
      </c>
      <c r="D2182" s="30">
        <v>20247</v>
      </c>
      <c r="E2182" s="30">
        <v>20271</v>
      </c>
      <c r="F2182" s="30">
        <v>20267</v>
      </c>
      <c r="G2182" s="30">
        <v>20197</v>
      </c>
      <c r="H2182" s="30">
        <v>20110</v>
      </c>
      <c r="I2182" s="30">
        <v>19963</v>
      </c>
      <c r="J2182" s="30">
        <v>19817</v>
      </c>
      <c r="K2182" s="30">
        <v>19766</v>
      </c>
      <c r="L2182" s="30">
        <v>19701</v>
      </c>
      <c r="M2182" s="30">
        <v>19745</v>
      </c>
      <c r="N2182" s="30">
        <v>19596</v>
      </c>
      <c r="O2182" s="24" t="str">
        <f t="shared" si="67"/>
        <v>McIntosh County, Oklahoma</v>
      </c>
    </row>
    <row r="2183" spans="1:15" x14ac:dyDescent="0.25">
      <c r="A2183" s="35" t="s">
        <v>2658</v>
      </c>
      <c r="B2183" s="28" t="str">
        <f t="shared" ref="B2183:B2246" si="68">LEFT(A2183,FIND("County",A2183,1)-2)</f>
        <v>Major</v>
      </c>
      <c r="C2183" s="30">
        <v>7527</v>
      </c>
      <c r="D2183" s="30">
        <v>7526</v>
      </c>
      <c r="E2183" s="30">
        <v>7518</v>
      </c>
      <c r="F2183" s="30">
        <v>7639</v>
      </c>
      <c r="G2183" s="30">
        <v>7700</v>
      </c>
      <c r="H2183" s="30">
        <v>7710</v>
      </c>
      <c r="I2183" s="30">
        <v>7785</v>
      </c>
      <c r="J2183" s="30">
        <v>7771</v>
      </c>
      <c r="K2183" s="30">
        <v>7751</v>
      </c>
      <c r="L2183" s="30">
        <v>7684</v>
      </c>
      <c r="M2183" s="30">
        <v>7627</v>
      </c>
      <c r="N2183" s="30">
        <v>7629</v>
      </c>
      <c r="O2183" s="24" t="str">
        <f t="shared" ref="O2183:O2246" si="69">A2183</f>
        <v>Major County, Oklahoma</v>
      </c>
    </row>
    <row r="2184" spans="1:15" x14ac:dyDescent="0.25">
      <c r="A2184" s="35" t="s">
        <v>2659</v>
      </c>
      <c r="B2184" s="28" t="str">
        <f t="shared" si="68"/>
        <v>Marshall</v>
      </c>
      <c r="C2184" s="30">
        <v>15840</v>
      </c>
      <c r="D2184" s="30">
        <v>15838</v>
      </c>
      <c r="E2184" s="30">
        <v>15836</v>
      </c>
      <c r="F2184" s="30">
        <v>15949</v>
      </c>
      <c r="G2184" s="30">
        <v>16020</v>
      </c>
      <c r="H2184" s="30">
        <v>16065</v>
      </c>
      <c r="I2184" s="30">
        <v>16163</v>
      </c>
      <c r="J2184" s="30">
        <v>16266</v>
      </c>
      <c r="K2184" s="30">
        <v>16237</v>
      </c>
      <c r="L2184" s="30">
        <v>16364</v>
      </c>
      <c r="M2184" s="30">
        <v>16727</v>
      </c>
      <c r="N2184" s="30">
        <v>16931</v>
      </c>
      <c r="O2184" s="24" t="str">
        <f t="shared" si="69"/>
        <v>Marshall County, Oklahoma</v>
      </c>
    </row>
    <row r="2185" spans="1:15" x14ac:dyDescent="0.25">
      <c r="A2185" s="35" t="s">
        <v>2660</v>
      </c>
      <c r="B2185" s="28" t="str">
        <f t="shared" si="68"/>
        <v>Mayes</v>
      </c>
      <c r="C2185" s="30">
        <v>41259</v>
      </c>
      <c r="D2185" s="30">
        <v>41266</v>
      </c>
      <c r="E2185" s="30">
        <v>41314</v>
      </c>
      <c r="F2185" s="30">
        <v>41324</v>
      </c>
      <c r="G2185" s="30">
        <v>41151</v>
      </c>
      <c r="H2185" s="30">
        <v>40963</v>
      </c>
      <c r="I2185" s="30">
        <v>40918</v>
      </c>
      <c r="J2185" s="30">
        <v>40889</v>
      </c>
      <c r="K2185" s="30">
        <v>41035</v>
      </c>
      <c r="L2185" s="30">
        <v>40988</v>
      </c>
      <c r="M2185" s="30">
        <v>41210</v>
      </c>
      <c r="N2185" s="30">
        <v>41100</v>
      </c>
      <c r="O2185" s="24" t="str">
        <f t="shared" si="69"/>
        <v>Mayes County, Oklahoma</v>
      </c>
    </row>
    <row r="2186" spans="1:15" x14ac:dyDescent="0.25">
      <c r="A2186" s="35" t="s">
        <v>2661</v>
      </c>
      <c r="B2186" s="28" t="str">
        <f t="shared" si="68"/>
        <v>Murray</v>
      </c>
      <c r="C2186" s="30">
        <v>13488</v>
      </c>
      <c r="D2186" s="30">
        <v>13488</v>
      </c>
      <c r="E2186" s="30">
        <v>13527</v>
      </c>
      <c r="F2186" s="30">
        <v>13600</v>
      </c>
      <c r="G2186" s="30">
        <v>13620</v>
      </c>
      <c r="H2186" s="30">
        <v>13683</v>
      </c>
      <c r="I2186" s="30">
        <v>13765</v>
      </c>
      <c r="J2186" s="30">
        <v>13860</v>
      </c>
      <c r="K2186" s="30">
        <v>13909</v>
      </c>
      <c r="L2186" s="30">
        <v>13918</v>
      </c>
      <c r="M2186" s="30">
        <v>13968</v>
      </c>
      <c r="N2186" s="30">
        <v>14073</v>
      </c>
      <c r="O2186" s="24" t="str">
        <f t="shared" si="69"/>
        <v>Murray County, Oklahoma</v>
      </c>
    </row>
    <row r="2187" spans="1:15" x14ac:dyDescent="0.25">
      <c r="A2187" s="35" t="s">
        <v>2662</v>
      </c>
      <c r="B2187" s="28" t="str">
        <f t="shared" si="68"/>
        <v>Muskogee</v>
      </c>
      <c r="C2187" s="30">
        <v>70990</v>
      </c>
      <c r="D2187" s="30">
        <v>70997</v>
      </c>
      <c r="E2187" s="30">
        <v>71129</v>
      </c>
      <c r="F2187" s="30">
        <v>70763</v>
      </c>
      <c r="G2187" s="30">
        <v>70529</v>
      </c>
      <c r="H2187" s="30">
        <v>70172</v>
      </c>
      <c r="I2187" s="30">
        <v>69725</v>
      </c>
      <c r="J2187" s="30">
        <v>69319</v>
      </c>
      <c r="K2187" s="30">
        <v>69012</v>
      </c>
      <c r="L2187" s="30">
        <v>69027</v>
      </c>
      <c r="M2187" s="30">
        <v>68324</v>
      </c>
      <c r="N2187" s="30">
        <v>67997</v>
      </c>
      <c r="O2187" s="24" t="str">
        <f t="shared" si="69"/>
        <v>Muskogee County, Oklahoma</v>
      </c>
    </row>
    <row r="2188" spans="1:15" x14ac:dyDescent="0.25">
      <c r="A2188" s="35" t="s">
        <v>2663</v>
      </c>
      <c r="B2188" s="28" t="str">
        <f t="shared" si="68"/>
        <v>Noble</v>
      </c>
      <c r="C2188" s="30">
        <v>11561</v>
      </c>
      <c r="D2188" s="30">
        <v>11566</v>
      </c>
      <c r="E2188" s="30">
        <v>11563</v>
      </c>
      <c r="F2188" s="30">
        <v>11579</v>
      </c>
      <c r="G2188" s="30">
        <v>11531</v>
      </c>
      <c r="H2188" s="30">
        <v>11422</v>
      </c>
      <c r="I2188" s="30">
        <v>11547</v>
      </c>
      <c r="J2188" s="30">
        <v>11550</v>
      </c>
      <c r="K2188" s="30">
        <v>11410</v>
      </c>
      <c r="L2188" s="30">
        <v>11303</v>
      </c>
      <c r="M2188" s="30">
        <v>11279</v>
      </c>
      <c r="N2188" s="30">
        <v>11131</v>
      </c>
      <c r="O2188" s="24" t="str">
        <f t="shared" si="69"/>
        <v>Noble County, Oklahoma</v>
      </c>
    </row>
    <row r="2189" spans="1:15" x14ac:dyDescent="0.25">
      <c r="A2189" s="35" t="s">
        <v>2664</v>
      </c>
      <c r="B2189" s="28" t="str">
        <f t="shared" si="68"/>
        <v>Nowata</v>
      </c>
      <c r="C2189" s="30">
        <v>10536</v>
      </c>
      <c r="D2189" s="30">
        <v>10536</v>
      </c>
      <c r="E2189" s="30">
        <v>10524</v>
      </c>
      <c r="F2189" s="30">
        <v>10624</v>
      </c>
      <c r="G2189" s="30">
        <v>10610</v>
      </c>
      <c r="H2189" s="30">
        <v>10557</v>
      </c>
      <c r="I2189" s="30">
        <v>10505</v>
      </c>
      <c r="J2189" s="30">
        <v>10519</v>
      </c>
      <c r="K2189" s="30">
        <v>10415</v>
      </c>
      <c r="L2189" s="30">
        <v>10322</v>
      </c>
      <c r="M2189" s="30">
        <v>10278</v>
      </c>
      <c r="N2189" s="30">
        <v>10076</v>
      </c>
      <c r="O2189" s="24" t="str">
        <f t="shared" si="69"/>
        <v>Nowata County, Oklahoma</v>
      </c>
    </row>
    <row r="2190" spans="1:15" x14ac:dyDescent="0.25">
      <c r="A2190" s="35" t="s">
        <v>2665</v>
      </c>
      <c r="B2190" s="28" t="str">
        <f t="shared" si="68"/>
        <v>Okfuskee</v>
      </c>
      <c r="C2190" s="30">
        <v>12191</v>
      </c>
      <c r="D2190" s="30">
        <v>12191</v>
      </c>
      <c r="E2190" s="30">
        <v>12230</v>
      </c>
      <c r="F2190" s="30">
        <v>12333</v>
      </c>
      <c r="G2190" s="30">
        <v>12335</v>
      </c>
      <c r="H2190" s="30">
        <v>12298</v>
      </c>
      <c r="I2190" s="30">
        <v>12167</v>
      </c>
      <c r="J2190" s="30">
        <v>12107</v>
      </c>
      <c r="K2190" s="30">
        <v>12079</v>
      </c>
      <c r="L2190" s="30">
        <v>12076</v>
      </c>
      <c r="M2190" s="30">
        <v>12081</v>
      </c>
      <c r="N2190" s="30">
        <v>11993</v>
      </c>
      <c r="O2190" s="24" t="str">
        <f t="shared" si="69"/>
        <v>Okfuskee County, Oklahoma</v>
      </c>
    </row>
    <row r="2191" spans="1:15" x14ac:dyDescent="0.25">
      <c r="A2191" s="35" t="s">
        <v>2666</v>
      </c>
      <c r="B2191" s="28" t="str">
        <f t="shared" si="68"/>
        <v>Oklahoma</v>
      </c>
      <c r="C2191" s="30">
        <v>718633</v>
      </c>
      <c r="D2191" s="30">
        <v>718385</v>
      </c>
      <c r="E2191" s="30">
        <v>720762</v>
      </c>
      <c r="F2191" s="30">
        <v>730808</v>
      </c>
      <c r="G2191" s="30">
        <v>743403</v>
      </c>
      <c r="H2191" s="30">
        <v>756187</v>
      </c>
      <c r="I2191" s="30">
        <v>766882</v>
      </c>
      <c r="J2191" s="30">
        <v>777373</v>
      </c>
      <c r="K2191" s="30">
        <v>784611</v>
      </c>
      <c r="L2191" s="30">
        <v>786068</v>
      </c>
      <c r="M2191" s="30">
        <v>790593</v>
      </c>
      <c r="N2191" s="30">
        <v>797434</v>
      </c>
      <c r="O2191" s="24" t="str">
        <f t="shared" si="69"/>
        <v>Oklahoma County, Oklahoma</v>
      </c>
    </row>
    <row r="2192" spans="1:15" x14ac:dyDescent="0.25">
      <c r="A2192" s="35" t="s">
        <v>2667</v>
      </c>
      <c r="B2192" s="28" t="str">
        <f t="shared" si="68"/>
        <v>Okmulgee</v>
      </c>
      <c r="C2192" s="30">
        <v>40069</v>
      </c>
      <c r="D2192" s="30">
        <v>40062</v>
      </c>
      <c r="E2192" s="30">
        <v>40082</v>
      </c>
      <c r="F2192" s="30">
        <v>39783</v>
      </c>
      <c r="G2192" s="30">
        <v>39551</v>
      </c>
      <c r="H2192" s="30">
        <v>39396</v>
      </c>
      <c r="I2192" s="30">
        <v>39079</v>
      </c>
      <c r="J2192" s="30">
        <v>39065</v>
      </c>
      <c r="K2192" s="30">
        <v>39075</v>
      </c>
      <c r="L2192" s="30">
        <v>38819</v>
      </c>
      <c r="M2192" s="30">
        <v>38321</v>
      </c>
      <c r="N2192" s="30">
        <v>38465</v>
      </c>
      <c r="O2192" s="24" t="str">
        <f t="shared" si="69"/>
        <v>Okmulgee County, Oklahoma</v>
      </c>
    </row>
    <row r="2193" spans="1:15" x14ac:dyDescent="0.25">
      <c r="A2193" s="35" t="s">
        <v>2668</v>
      </c>
      <c r="B2193" s="28" t="str">
        <f t="shared" si="68"/>
        <v>Osage</v>
      </c>
      <c r="C2193" s="30">
        <v>47472</v>
      </c>
      <c r="D2193" s="30">
        <v>47473</v>
      </c>
      <c r="E2193" s="30">
        <v>47498</v>
      </c>
      <c r="F2193" s="30">
        <v>47784</v>
      </c>
      <c r="G2193" s="30">
        <v>47460</v>
      </c>
      <c r="H2193" s="30">
        <v>47391</v>
      </c>
      <c r="I2193" s="30">
        <v>47493</v>
      </c>
      <c r="J2193" s="30">
        <v>47338</v>
      </c>
      <c r="K2193" s="30">
        <v>47364</v>
      </c>
      <c r="L2193" s="30">
        <v>47346</v>
      </c>
      <c r="M2193" s="30">
        <v>47121</v>
      </c>
      <c r="N2193" s="30">
        <v>46963</v>
      </c>
      <c r="O2193" s="24" t="str">
        <f t="shared" si="69"/>
        <v>Osage County, Oklahoma</v>
      </c>
    </row>
    <row r="2194" spans="1:15" x14ac:dyDescent="0.25">
      <c r="A2194" s="35" t="s">
        <v>2669</v>
      </c>
      <c r="B2194" s="28" t="str">
        <f t="shared" si="68"/>
        <v>Ottawa</v>
      </c>
      <c r="C2194" s="30">
        <v>31848</v>
      </c>
      <c r="D2194" s="30">
        <v>31848</v>
      </c>
      <c r="E2194" s="30">
        <v>31859</v>
      </c>
      <c r="F2194" s="30">
        <v>31869</v>
      </c>
      <c r="G2194" s="30">
        <v>32181</v>
      </c>
      <c r="H2194" s="30">
        <v>32163</v>
      </c>
      <c r="I2194" s="30">
        <v>31929</v>
      </c>
      <c r="J2194" s="30">
        <v>31862</v>
      </c>
      <c r="K2194" s="30">
        <v>31592</v>
      </c>
      <c r="L2194" s="30">
        <v>31368</v>
      </c>
      <c r="M2194" s="30">
        <v>31319</v>
      </c>
      <c r="N2194" s="30">
        <v>31127</v>
      </c>
      <c r="O2194" s="24" t="str">
        <f t="shared" si="69"/>
        <v>Ottawa County, Oklahoma</v>
      </c>
    </row>
    <row r="2195" spans="1:15" x14ac:dyDescent="0.25">
      <c r="A2195" s="35" t="s">
        <v>2670</v>
      </c>
      <c r="B2195" s="28" t="str">
        <f t="shared" si="68"/>
        <v>Pawnee</v>
      </c>
      <c r="C2195" s="30">
        <v>16577</v>
      </c>
      <c r="D2195" s="30">
        <v>16570</v>
      </c>
      <c r="E2195" s="30">
        <v>16589</v>
      </c>
      <c r="F2195" s="30">
        <v>16731</v>
      </c>
      <c r="G2195" s="30">
        <v>16447</v>
      </c>
      <c r="H2195" s="30">
        <v>16456</v>
      </c>
      <c r="I2195" s="30">
        <v>16355</v>
      </c>
      <c r="J2195" s="30">
        <v>16439</v>
      </c>
      <c r="K2195" s="30">
        <v>16471</v>
      </c>
      <c r="L2195" s="30">
        <v>16419</v>
      </c>
      <c r="M2195" s="30">
        <v>16356</v>
      </c>
      <c r="N2195" s="30">
        <v>16376</v>
      </c>
      <c r="O2195" s="24" t="str">
        <f t="shared" si="69"/>
        <v>Pawnee County, Oklahoma</v>
      </c>
    </row>
    <row r="2196" spans="1:15" x14ac:dyDescent="0.25">
      <c r="A2196" s="35" t="s">
        <v>2671</v>
      </c>
      <c r="B2196" s="28" t="str">
        <f t="shared" si="68"/>
        <v>Payne</v>
      </c>
      <c r="C2196" s="30">
        <v>77350</v>
      </c>
      <c r="D2196" s="30">
        <v>77347</v>
      </c>
      <c r="E2196" s="30">
        <v>77416</v>
      </c>
      <c r="F2196" s="30">
        <v>78238</v>
      </c>
      <c r="G2196" s="30">
        <v>78725</v>
      </c>
      <c r="H2196" s="30">
        <v>79698</v>
      </c>
      <c r="I2196" s="30">
        <v>80520</v>
      </c>
      <c r="J2196" s="30">
        <v>81363</v>
      </c>
      <c r="K2196" s="30">
        <v>81850</v>
      </c>
      <c r="L2196" s="30">
        <v>81908</v>
      </c>
      <c r="M2196" s="30">
        <v>82172</v>
      </c>
      <c r="N2196" s="30">
        <v>81784</v>
      </c>
      <c r="O2196" s="24" t="str">
        <f t="shared" si="69"/>
        <v>Payne County, Oklahoma</v>
      </c>
    </row>
    <row r="2197" spans="1:15" x14ac:dyDescent="0.25">
      <c r="A2197" s="35" t="s">
        <v>2672</v>
      </c>
      <c r="B2197" s="28" t="str">
        <f t="shared" si="68"/>
        <v>Pittsburg</v>
      </c>
      <c r="C2197" s="30">
        <v>45837</v>
      </c>
      <c r="D2197" s="30">
        <v>45827</v>
      </c>
      <c r="E2197" s="30">
        <v>45795</v>
      </c>
      <c r="F2197" s="30">
        <v>45717</v>
      </c>
      <c r="G2197" s="30">
        <v>45544</v>
      </c>
      <c r="H2197" s="30">
        <v>45267</v>
      </c>
      <c r="I2197" s="30">
        <v>44847</v>
      </c>
      <c r="J2197" s="30">
        <v>44716</v>
      </c>
      <c r="K2197" s="30">
        <v>44335</v>
      </c>
      <c r="L2197" s="30">
        <v>44154</v>
      </c>
      <c r="M2197" s="30">
        <v>43870</v>
      </c>
      <c r="N2197" s="30">
        <v>43654</v>
      </c>
      <c r="O2197" s="24" t="str">
        <f t="shared" si="69"/>
        <v>Pittsburg County, Oklahoma</v>
      </c>
    </row>
    <row r="2198" spans="1:15" x14ac:dyDescent="0.25">
      <c r="A2198" s="35" t="s">
        <v>2673</v>
      </c>
      <c r="B2198" s="28" t="str">
        <f t="shared" si="68"/>
        <v>Pontotoc</v>
      </c>
      <c r="C2198" s="30">
        <v>37492</v>
      </c>
      <c r="D2198" s="30">
        <v>37488</v>
      </c>
      <c r="E2198" s="30">
        <v>37595</v>
      </c>
      <c r="F2198" s="30">
        <v>37749</v>
      </c>
      <c r="G2198" s="30">
        <v>38060</v>
      </c>
      <c r="H2198" s="30">
        <v>38159</v>
      </c>
      <c r="I2198" s="30">
        <v>38286</v>
      </c>
      <c r="J2198" s="30">
        <v>38336</v>
      </c>
      <c r="K2198" s="30">
        <v>38512</v>
      </c>
      <c r="L2198" s="30">
        <v>38371</v>
      </c>
      <c r="M2198" s="30">
        <v>38272</v>
      </c>
      <c r="N2198" s="30">
        <v>38284</v>
      </c>
      <c r="O2198" s="24" t="str">
        <f t="shared" si="69"/>
        <v>Pontotoc County, Oklahoma</v>
      </c>
    </row>
    <row r="2199" spans="1:15" x14ac:dyDescent="0.25">
      <c r="A2199" s="35" t="s">
        <v>2674</v>
      </c>
      <c r="B2199" s="28" t="str">
        <f t="shared" si="68"/>
        <v>Pottawatomie</v>
      </c>
      <c r="C2199" s="30">
        <v>69442</v>
      </c>
      <c r="D2199" s="30">
        <v>69443</v>
      </c>
      <c r="E2199" s="30">
        <v>69650</v>
      </c>
      <c r="F2199" s="30">
        <v>70059</v>
      </c>
      <c r="G2199" s="30">
        <v>70512</v>
      </c>
      <c r="H2199" s="30">
        <v>70906</v>
      </c>
      <c r="I2199" s="30">
        <v>71535</v>
      </c>
      <c r="J2199" s="30">
        <v>71479</v>
      </c>
      <c r="K2199" s="30">
        <v>72001</v>
      </c>
      <c r="L2199" s="30">
        <v>72185</v>
      </c>
      <c r="M2199" s="30">
        <v>72513</v>
      </c>
      <c r="N2199" s="30">
        <v>72592</v>
      </c>
      <c r="O2199" s="24" t="str">
        <f t="shared" si="69"/>
        <v>Pottawatomie County, Oklahoma</v>
      </c>
    </row>
    <row r="2200" spans="1:15" x14ac:dyDescent="0.25">
      <c r="A2200" s="35" t="s">
        <v>2675</v>
      </c>
      <c r="B2200" s="28" t="str">
        <f t="shared" si="68"/>
        <v>Pushmataha</v>
      </c>
      <c r="C2200" s="30">
        <v>11572</v>
      </c>
      <c r="D2200" s="30">
        <v>11578</v>
      </c>
      <c r="E2200" s="30">
        <v>11594</v>
      </c>
      <c r="F2200" s="30">
        <v>11416</v>
      </c>
      <c r="G2200" s="30">
        <v>11252</v>
      </c>
      <c r="H2200" s="30">
        <v>11206</v>
      </c>
      <c r="I2200" s="30">
        <v>11117</v>
      </c>
      <c r="J2200" s="30">
        <v>11162</v>
      </c>
      <c r="K2200" s="30">
        <v>11070</v>
      </c>
      <c r="L2200" s="30">
        <v>11118</v>
      </c>
      <c r="M2200" s="30">
        <v>11192</v>
      </c>
      <c r="N2200" s="30">
        <v>11096</v>
      </c>
      <c r="O2200" s="24" t="str">
        <f t="shared" si="69"/>
        <v>Pushmataha County, Oklahoma</v>
      </c>
    </row>
    <row r="2201" spans="1:15" x14ac:dyDescent="0.25">
      <c r="A2201" s="35" t="s">
        <v>2676</v>
      </c>
      <c r="B2201" s="28" t="str">
        <f t="shared" si="68"/>
        <v>Roger Mills</v>
      </c>
      <c r="C2201" s="30">
        <v>3647</v>
      </c>
      <c r="D2201" s="30">
        <v>3647</v>
      </c>
      <c r="E2201" s="30">
        <v>3648</v>
      </c>
      <c r="F2201" s="30">
        <v>3761</v>
      </c>
      <c r="G2201" s="30">
        <v>3767</v>
      </c>
      <c r="H2201" s="30">
        <v>3732</v>
      </c>
      <c r="I2201" s="30">
        <v>3761</v>
      </c>
      <c r="J2201" s="30">
        <v>3773</v>
      </c>
      <c r="K2201" s="30">
        <v>3671</v>
      </c>
      <c r="L2201" s="30">
        <v>3661</v>
      </c>
      <c r="M2201" s="30">
        <v>3646</v>
      </c>
      <c r="N2201" s="30">
        <v>3583</v>
      </c>
      <c r="O2201" s="24" t="str">
        <f t="shared" si="69"/>
        <v>Roger Mills County, Oklahoma</v>
      </c>
    </row>
    <row r="2202" spans="1:15" x14ac:dyDescent="0.25">
      <c r="A2202" s="35" t="s">
        <v>2677</v>
      </c>
      <c r="B2202" s="28" t="str">
        <f t="shared" si="68"/>
        <v>Rogers</v>
      </c>
      <c r="C2202" s="30">
        <v>86905</v>
      </c>
      <c r="D2202" s="30">
        <v>86914</v>
      </c>
      <c r="E2202" s="30">
        <v>87017</v>
      </c>
      <c r="F2202" s="30">
        <v>87562</v>
      </c>
      <c r="G2202" s="30">
        <v>88101</v>
      </c>
      <c r="H2202" s="30">
        <v>88727</v>
      </c>
      <c r="I2202" s="30">
        <v>89366</v>
      </c>
      <c r="J2202" s="30">
        <v>90080</v>
      </c>
      <c r="K2202" s="30">
        <v>90992</v>
      </c>
      <c r="L2202" s="30">
        <v>91435</v>
      </c>
      <c r="M2202" s="30">
        <v>91801</v>
      </c>
      <c r="N2202" s="30">
        <v>92459</v>
      </c>
      <c r="O2202" s="24" t="str">
        <f t="shared" si="69"/>
        <v>Rogers County, Oklahoma</v>
      </c>
    </row>
    <row r="2203" spans="1:15" x14ac:dyDescent="0.25">
      <c r="A2203" s="35" t="s">
        <v>2678</v>
      </c>
      <c r="B2203" s="28" t="str">
        <f t="shared" si="68"/>
        <v>Seminole</v>
      </c>
      <c r="C2203" s="30">
        <v>25482</v>
      </c>
      <c r="D2203" s="30">
        <v>25482</v>
      </c>
      <c r="E2203" s="30">
        <v>25486</v>
      </c>
      <c r="F2203" s="30">
        <v>25445</v>
      </c>
      <c r="G2203" s="30">
        <v>25384</v>
      </c>
      <c r="H2203" s="30">
        <v>25438</v>
      </c>
      <c r="I2203" s="30">
        <v>25354</v>
      </c>
      <c r="J2203" s="30">
        <v>25399</v>
      </c>
      <c r="K2203" s="30">
        <v>25137</v>
      </c>
      <c r="L2203" s="30">
        <v>24845</v>
      </c>
      <c r="M2203" s="30">
        <v>24520</v>
      </c>
      <c r="N2203" s="30">
        <v>24258</v>
      </c>
      <c r="O2203" s="24" t="str">
        <f t="shared" si="69"/>
        <v>Seminole County, Oklahoma</v>
      </c>
    </row>
    <row r="2204" spans="1:15" x14ac:dyDescent="0.25">
      <c r="A2204" s="35" t="s">
        <v>2679</v>
      </c>
      <c r="B2204" s="28" t="str">
        <f t="shared" si="68"/>
        <v>Sequoyah</v>
      </c>
      <c r="C2204" s="30">
        <v>42391</v>
      </c>
      <c r="D2204" s="30">
        <v>42428</v>
      </c>
      <c r="E2204" s="30">
        <v>42509</v>
      </c>
      <c r="F2204" s="30">
        <v>42421</v>
      </c>
      <c r="G2204" s="30">
        <v>42050</v>
      </c>
      <c r="H2204" s="30">
        <v>41814</v>
      </c>
      <c r="I2204" s="30">
        <v>41852</v>
      </c>
      <c r="J2204" s="30">
        <v>41782</v>
      </c>
      <c r="K2204" s="30">
        <v>41867</v>
      </c>
      <c r="L2204" s="30">
        <v>41742</v>
      </c>
      <c r="M2204" s="30">
        <v>41585</v>
      </c>
      <c r="N2204" s="30">
        <v>41569</v>
      </c>
      <c r="O2204" s="24" t="str">
        <f t="shared" si="69"/>
        <v>Sequoyah County, Oklahoma</v>
      </c>
    </row>
    <row r="2205" spans="1:15" x14ac:dyDescent="0.25">
      <c r="A2205" s="35" t="s">
        <v>2680</v>
      </c>
      <c r="B2205" s="28" t="str">
        <f t="shared" si="68"/>
        <v>Stephens</v>
      </c>
      <c r="C2205" s="30">
        <v>45048</v>
      </c>
      <c r="D2205" s="30">
        <v>45047</v>
      </c>
      <c r="E2205" s="30">
        <v>45100</v>
      </c>
      <c r="F2205" s="30">
        <v>45104</v>
      </c>
      <c r="G2205" s="30">
        <v>44881</v>
      </c>
      <c r="H2205" s="30">
        <v>44976</v>
      </c>
      <c r="I2205" s="30">
        <v>44563</v>
      </c>
      <c r="J2205" s="30">
        <v>44576</v>
      </c>
      <c r="K2205" s="30">
        <v>43998</v>
      </c>
      <c r="L2205" s="30">
        <v>43340</v>
      </c>
      <c r="M2205" s="30">
        <v>43179</v>
      </c>
      <c r="N2205" s="30">
        <v>43143</v>
      </c>
      <c r="O2205" s="24" t="str">
        <f t="shared" si="69"/>
        <v>Stephens County, Oklahoma</v>
      </c>
    </row>
    <row r="2206" spans="1:15" x14ac:dyDescent="0.25">
      <c r="A2206" s="35" t="s">
        <v>2681</v>
      </c>
      <c r="B2206" s="28" t="str">
        <f t="shared" si="68"/>
        <v>Texas</v>
      </c>
      <c r="C2206" s="30">
        <v>20640</v>
      </c>
      <c r="D2206" s="30">
        <v>20640</v>
      </c>
      <c r="E2206" s="30">
        <v>20802</v>
      </c>
      <c r="F2206" s="30">
        <v>21258</v>
      </c>
      <c r="G2206" s="30">
        <v>21594</v>
      </c>
      <c r="H2206" s="30">
        <v>22048</v>
      </c>
      <c r="I2206" s="30">
        <v>21738</v>
      </c>
      <c r="J2206" s="30">
        <v>21446</v>
      </c>
      <c r="K2206" s="30">
        <v>21183</v>
      </c>
      <c r="L2206" s="30">
        <v>20924</v>
      </c>
      <c r="M2206" s="30">
        <v>20491</v>
      </c>
      <c r="N2206" s="30">
        <v>19983</v>
      </c>
      <c r="O2206" s="24" t="str">
        <f t="shared" si="69"/>
        <v>Texas County, Oklahoma</v>
      </c>
    </row>
    <row r="2207" spans="1:15" x14ac:dyDescent="0.25">
      <c r="A2207" s="35" t="s">
        <v>2682</v>
      </c>
      <c r="B2207" s="28" t="str">
        <f t="shared" si="68"/>
        <v>Tillman</v>
      </c>
      <c r="C2207" s="30">
        <v>7992</v>
      </c>
      <c r="D2207" s="30">
        <v>7991</v>
      </c>
      <c r="E2207" s="30">
        <v>7986</v>
      </c>
      <c r="F2207" s="30">
        <v>8002</v>
      </c>
      <c r="G2207" s="30">
        <v>7828</v>
      </c>
      <c r="H2207" s="30">
        <v>7728</v>
      </c>
      <c r="I2207" s="30">
        <v>7670</v>
      </c>
      <c r="J2207" s="30">
        <v>7567</v>
      </c>
      <c r="K2207" s="30">
        <v>7525</v>
      </c>
      <c r="L2207" s="30">
        <v>7399</v>
      </c>
      <c r="M2207" s="30">
        <v>7323</v>
      </c>
      <c r="N2207" s="30">
        <v>7250</v>
      </c>
      <c r="O2207" s="24" t="str">
        <f t="shared" si="69"/>
        <v>Tillman County, Oklahoma</v>
      </c>
    </row>
    <row r="2208" spans="1:15" x14ac:dyDescent="0.25">
      <c r="A2208" s="35" t="s">
        <v>2683</v>
      </c>
      <c r="B2208" s="28" t="str">
        <f t="shared" si="68"/>
        <v>Tulsa</v>
      </c>
      <c r="C2208" s="30">
        <v>603403</v>
      </c>
      <c r="D2208" s="30">
        <v>603430</v>
      </c>
      <c r="E2208" s="30">
        <v>604973</v>
      </c>
      <c r="F2208" s="30">
        <v>609204</v>
      </c>
      <c r="G2208" s="30">
        <v>615181</v>
      </c>
      <c r="H2208" s="30">
        <v>623705</v>
      </c>
      <c r="I2208" s="30">
        <v>630918</v>
      </c>
      <c r="J2208" s="30">
        <v>640470</v>
      </c>
      <c r="K2208" s="30">
        <v>645951</v>
      </c>
      <c r="L2208" s="30">
        <v>646437</v>
      </c>
      <c r="M2208" s="30">
        <v>647683</v>
      </c>
      <c r="N2208" s="30">
        <v>651552</v>
      </c>
      <c r="O2208" s="24" t="str">
        <f t="shared" si="69"/>
        <v>Tulsa County, Oklahoma</v>
      </c>
    </row>
    <row r="2209" spans="1:15" x14ac:dyDescent="0.25">
      <c r="A2209" s="35" t="s">
        <v>2684</v>
      </c>
      <c r="B2209" s="28" t="str">
        <f t="shared" si="68"/>
        <v>Wagoner</v>
      </c>
      <c r="C2209" s="30">
        <v>73085</v>
      </c>
      <c r="D2209" s="30">
        <v>73082</v>
      </c>
      <c r="E2209" s="30">
        <v>73426</v>
      </c>
      <c r="F2209" s="30">
        <v>74035</v>
      </c>
      <c r="G2209" s="30">
        <v>74984</v>
      </c>
      <c r="H2209" s="30">
        <v>75654</v>
      </c>
      <c r="I2209" s="30">
        <v>75651</v>
      </c>
      <c r="J2209" s="30">
        <v>76733</v>
      </c>
      <c r="K2209" s="30">
        <v>77662</v>
      </c>
      <c r="L2209" s="30">
        <v>78984</v>
      </c>
      <c r="M2209" s="30">
        <v>80123</v>
      </c>
      <c r="N2209" s="30">
        <v>81289</v>
      </c>
      <c r="O2209" s="24" t="str">
        <f t="shared" si="69"/>
        <v>Wagoner County, Oklahoma</v>
      </c>
    </row>
    <row r="2210" spans="1:15" x14ac:dyDescent="0.25">
      <c r="A2210" s="35" t="s">
        <v>2685</v>
      </c>
      <c r="B2210" s="28" t="str">
        <f t="shared" si="68"/>
        <v>Washington</v>
      </c>
      <c r="C2210" s="30">
        <v>50976</v>
      </c>
      <c r="D2210" s="30">
        <v>50979</v>
      </c>
      <c r="E2210" s="30">
        <v>51069</v>
      </c>
      <c r="F2210" s="30">
        <v>51362</v>
      </c>
      <c r="G2210" s="30">
        <v>51627</v>
      </c>
      <c r="H2210" s="30">
        <v>51646</v>
      </c>
      <c r="I2210" s="30">
        <v>51997</v>
      </c>
      <c r="J2210" s="30">
        <v>52091</v>
      </c>
      <c r="K2210" s="30">
        <v>52027</v>
      </c>
      <c r="L2210" s="30">
        <v>51996</v>
      </c>
      <c r="M2210" s="30">
        <v>51791</v>
      </c>
      <c r="N2210" s="30">
        <v>51527</v>
      </c>
      <c r="O2210" s="24" t="str">
        <f t="shared" si="69"/>
        <v>Washington County, Oklahoma</v>
      </c>
    </row>
    <row r="2211" spans="1:15" x14ac:dyDescent="0.25">
      <c r="A2211" s="35" t="s">
        <v>2686</v>
      </c>
      <c r="B2211" s="28" t="str">
        <f t="shared" si="68"/>
        <v>Washita</v>
      </c>
      <c r="C2211" s="30">
        <v>11629</v>
      </c>
      <c r="D2211" s="30">
        <v>11558</v>
      </c>
      <c r="E2211" s="30">
        <v>11543</v>
      </c>
      <c r="F2211" s="30">
        <v>11546</v>
      </c>
      <c r="G2211" s="30">
        <v>11582</v>
      </c>
      <c r="H2211" s="30">
        <v>11701</v>
      </c>
      <c r="I2211" s="30">
        <v>11560</v>
      </c>
      <c r="J2211" s="30">
        <v>11687</v>
      </c>
      <c r="K2211" s="30">
        <v>11433</v>
      </c>
      <c r="L2211" s="30">
        <v>11055</v>
      </c>
      <c r="M2211" s="30">
        <v>11036</v>
      </c>
      <c r="N2211" s="30">
        <v>10916</v>
      </c>
      <c r="O2211" s="24" t="str">
        <f t="shared" si="69"/>
        <v>Washita County, Oklahoma</v>
      </c>
    </row>
    <row r="2212" spans="1:15" x14ac:dyDescent="0.25">
      <c r="A2212" s="35" t="s">
        <v>2687</v>
      </c>
      <c r="B2212" s="28" t="str">
        <f t="shared" si="68"/>
        <v>Woods</v>
      </c>
      <c r="C2212" s="30">
        <v>8878</v>
      </c>
      <c r="D2212" s="30">
        <v>8878</v>
      </c>
      <c r="E2212" s="30">
        <v>8903</v>
      </c>
      <c r="F2212" s="30">
        <v>8791</v>
      </c>
      <c r="G2212" s="30">
        <v>8851</v>
      </c>
      <c r="H2212" s="30">
        <v>9000</v>
      </c>
      <c r="I2212" s="30">
        <v>9250</v>
      </c>
      <c r="J2212" s="30">
        <v>9303</v>
      </c>
      <c r="K2212" s="30">
        <v>9157</v>
      </c>
      <c r="L2212" s="30">
        <v>9069</v>
      </c>
      <c r="M2212" s="30">
        <v>8893</v>
      </c>
      <c r="N2212" s="30">
        <v>8793</v>
      </c>
      <c r="O2212" s="24" t="str">
        <f t="shared" si="69"/>
        <v>Woods County, Oklahoma</v>
      </c>
    </row>
    <row r="2213" spans="1:15" x14ac:dyDescent="0.25">
      <c r="A2213" s="35" t="s">
        <v>2688</v>
      </c>
      <c r="B2213" s="28" t="str">
        <f t="shared" si="68"/>
        <v>Woodward</v>
      </c>
      <c r="C2213" s="30">
        <v>20081</v>
      </c>
      <c r="D2213" s="30">
        <v>20084</v>
      </c>
      <c r="E2213" s="30">
        <v>19998</v>
      </c>
      <c r="F2213" s="30">
        <v>20111</v>
      </c>
      <c r="G2213" s="30">
        <v>20670</v>
      </c>
      <c r="H2213" s="30">
        <v>21240</v>
      </c>
      <c r="I2213" s="30">
        <v>21536</v>
      </c>
      <c r="J2213" s="30">
        <v>21608</v>
      </c>
      <c r="K2213" s="30">
        <v>20975</v>
      </c>
      <c r="L2213" s="30">
        <v>20531</v>
      </c>
      <c r="M2213" s="30">
        <v>20312</v>
      </c>
      <c r="N2213" s="30">
        <v>20211</v>
      </c>
      <c r="O2213" s="24" t="str">
        <f t="shared" si="69"/>
        <v>Woodward County, Oklahoma</v>
      </c>
    </row>
    <row r="2214" spans="1:15" x14ac:dyDescent="0.25">
      <c r="A2214" s="35" t="s">
        <v>2689</v>
      </c>
      <c r="B2214" s="28" t="str">
        <f t="shared" si="68"/>
        <v>Baker</v>
      </c>
      <c r="C2214" s="30">
        <v>16134</v>
      </c>
      <c r="D2214" s="30">
        <v>16131</v>
      </c>
      <c r="E2214" s="30">
        <v>16109</v>
      </c>
      <c r="F2214" s="30">
        <v>16061</v>
      </c>
      <c r="G2214" s="30">
        <v>15993</v>
      </c>
      <c r="H2214" s="30">
        <v>16016</v>
      </c>
      <c r="I2214" s="30">
        <v>16015</v>
      </c>
      <c r="J2214" s="30">
        <v>15882</v>
      </c>
      <c r="K2214" s="30">
        <v>15971</v>
      </c>
      <c r="L2214" s="30">
        <v>16083</v>
      </c>
      <c r="M2214" s="30">
        <v>16034</v>
      </c>
      <c r="N2214" s="30">
        <v>16124</v>
      </c>
      <c r="O2214" s="24" t="str">
        <f t="shared" si="69"/>
        <v>Baker County, Oregon</v>
      </c>
    </row>
    <row r="2215" spans="1:15" x14ac:dyDescent="0.25">
      <c r="A2215" s="35" t="s">
        <v>2690</v>
      </c>
      <c r="B2215" s="28" t="str">
        <f t="shared" si="68"/>
        <v>Benton</v>
      </c>
      <c r="C2215" s="30">
        <v>85579</v>
      </c>
      <c r="D2215" s="30">
        <v>85581</v>
      </c>
      <c r="E2215" s="30">
        <v>85574</v>
      </c>
      <c r="F2215" s="30">
        <v>86266</v>
      </c>
      <c r="G2215" s="30">
        <v>86678</v>
      </c>
      <c r="H2215" s="30">
        <v>86167</v>
      </c>
      <c r="I2215" s="30">
        <v>87215</v>
      </c>
      <c r="J2215" s="30">
        <v>88333</v>
      </c>
      <c r="K2215" s="30">
        <v>89918</v>
      </c>
      <c r="L2215" s="30">
        <v>91790</v>
      </c>
      <c r="M2215" s="30">
        <v>92442</v>
      </c>
      <c r="N2215" s="30">
        <v>93053</v>
      </c>
      <c r="O2215" s="24" t="str">
        <f t="shared" si="69"/>
        <v>Benton County, Oregon</v>
      </c>
    </row>
    <row r="2216" spans="1:15" x14ac:dyDescent="0.25">
      <c r="A2216" s="35" t="s">
        <v>2691</v>
      </c>
      <c r="B2216" s="28" t="str">
        <f t="shared" si="68"/>
        <v>Clackamas</v>
      </c>
      <c r="C2216" s="30">
        <v>375992</v>
      </c>
      <c r="D2216" s="30">
        <v>375996</v>
      </c>
      <c r="E2216" s="30">
        <v>376788</v>
      </c>
      <c r="F2216" s="30">
        <v>379592</v>
      </c>
      <c r="G2216" s="30">
        <v>383074</v>
      </c>
      <c r="H2216" s="30">
        <v>387442</v>
      </c>
      <c r="I2216" s="30">
        <v>393378</v>
      </c>
      <c r="J2216" s="30">
        <v>399647</v>
      </c>
      <c r="K2216" s="30">
        <v>406625</v>
      </c>
      <c r="L2216" s="30">
        <v>412442</v>
      </c>
      <c r="M2216" s="30">
        <v>415416</v>
      </c>
      <c r="N2216" s="30">
        <v>418187</v>
      </c>
      <c r="O2216" s="24" t="str">
        <f t="shared" si="69"/>
        <v>Clackamas County, Oregon</v>
      </c>
    </row>
    <row r="2217" spans="1:15" x14ac:dyDescent="0.25">
      <c r="A2217" s="35" t="s">
        <v>2692</v>
      </c>
      <c r="B2217" s="28" t="str">
        <f t="shared" si="68"/>
        <v>Clatsop</v>
      </c>
      <c r="C2217" s="30">
        <v>37039</v>
      </c>
      <c r="D2217" s="30">
        <v>37026</v>
      </c>
      <c r="E2217" s="30">
        <v>37088</v>
      </c>
      <c r="F2217" s="30">
        <v>37228</v>
      </c>
      <c r="G2217" s="30">
        <v>37415</v>
      </c>
      <c r="H2217" s="30">
        <v>37113</v>
      </c>
      <c r="I2217" s="30">
        <v>37449</v>
      </c>
      <c r="J2217" s="30">
        <v>37797</v>
      </c>
      <c r="K2217" s="30">
        <v>38678</v>
      </c>
      <c r="L2217" s="30">
        <v>39101</v>
      </c>
      <c r="M2217" s="30">
        <v>39711</v>
      </c>
      <c r="N2217" s="30">
        <v>40224</v>
      </c>
      <c r="O2217" s="24" t="str">
        <f t="shared" si="69"/>
        <v>Clatsop County, Oregon</v>
      </c>
    </row>
    <row r="2218" spans="1:15" x14ac:dyDescent="0.25">
      <c r="A2218" s="35" t="s">
        <v>2693</v>
      </c>
      <c r="B2218" s="28" t="str">
        <f t="shared" si="68"/>
        <v>Columbia</v>
      </c>
      <c r="C2218" s="30">
        <v>49351</v>
      </c>
      <c r="D2218" s="30">
        <v>49353</v>
      </c>
      <c r="E2218" s="30">
        <v>49355</v>
      </c>
      <c r="F2218" s="30">
        <v>49406</v>
      </c>
      <c r="G2218" s="30">
        <v>49214</v>
      </c>
      <c r="H2218" s="30">
        <v>49259</v>
      </c>
      <c r="I2218" s="30">
        <v>49494</v>
      </c>
      <c r="J2218" s="30">
        <v>49646</v>
      </c>
      <c r="K2218" s="30">
        <v>50905</v>
      </c>
      <c r="L2218" s="30">
        <v>51724</v>
      </c>
      <c r="M2218" s="30">
        <v>52245</v>
      </c>
      <c r="N2218" s="30">
        <v>52354</v>
      </c>
      <c r="O2218" s="24" t="str">
        <f t="shared" si="69"/>
        <v>Columbia County, Oregon</v>
      </c>
    </row>
    <row r="2219" spans="1:15" x14ac:dyDescent="0.25">
      <c r="A2219" s="35" t="s">
        <v>2694</v>
      </c>
      <c r="B2219" s="28" t="str">
        <f t="shared" si="68"/>
        <v>Coos</v>
      </c>
      <c r="C2219" s="30">
        <v>63043</v>
      </c>
      <c r="D2219" s="30">
        <v>63055</v>
      </c>
      <c r="E2219" s="30">
        <v>63007</v>
      </c>
      <c r="F2219" s="30">
        <v>62775</v>
      </c>
      <c r="G2219" s="30">
        <v>62676</v>
      </c>
      <c r="H2219" s="30">
        <v>62376</v>
      </c>
      <c r="I2219" s="30">
        <v>62361</v>
      </c>
      <c r="J2219" s="30">
        <v>62643</v>
      </c>
      <c r="K2219" s="30">
        <v>63319</v>
      </c>
      <c r="L2219" s="30">
        <v>63708</v>
      </c>
      <c r="M2219" s="30">
        <v>64272</v>
      </c>
      <c r="N2219" s="30">
        <v>64487</v>
      </c>
      <c r="O2219" s="24" t="str">
        <f t="shared" si="69"/>
        <v>Coos County, Oregon</v>
      </c>
    </row>
    <row r="2220" spans="1:15" x14ac:dyDescent="0.25">
      <c r="A2220" s="35" t="s">
        <v>2695</v>
      </c>
      <c r="B2220" s="28" t="str">
        <f t="shared" si="68"/>
        <v>Crook</v>
      </c>
      <c r="C2220" s="30">
        <v>20978</v>
      </c>
      <c r="D2220" s="30">
        <v>20978</v>
      </c>
      <c r="E2220" s="30">
        <v>20884</v>
      </c>
      <c r="F2220" s="30">
        <v>20638</v>
      </c>
      <c r="G2220" s="30">
        <v>20607</v>
      </c>
      <c r="H2220" s="30">
        <v>20699</v>
      </c>
      <c r="I2220" s="30">
        <v>20956</v>
      </c>
      <c r="J2220" s="30">
        <v>21455</v>
      </c>
      <c r="K2220" s="30">
        <v>22306</v>
      </c>
      <c r="L2220" s="30">
        <v>23065</v>
      </c>
      <c r="M2220" s="30">
        <v>23825</v>
      </c>
      <c r="N2220" s="30">
        <v>24404</v>
      </c>
      <c r="O2220" s="24" t="str">
        <f t="shared" si="69"/>
        <v>Crook County, Oregon</v>
      </c>
    </row>
    <row r="2221" spans="1:15" x14ac:dyDescent="0.25">
      <c r="A2221" s="35" t="s">
        <v>2696</v>
      </c>
      <c r="B2221" s="28" t="str">
        <f t="shared" si="68"/>
        <v>Curry</v>
      </c>
      <c r="C2221" s="30">
        <v>22364</v>
      </c>
      <c r="D2221" s="30">
        <v>22364</v>
      </c>
      <c r="E2221" s="30">
        <v>22378</v>
      </c>
      <c r="F2221" s="30">
        <v>22488</v>
      </c>
      <c r="G2221" s="30">
        <v>22257</v>
      </c>
      <c r="H2221" s="30">
        <v>22226</v>
      </c>
      <c r="I2221" s="30">
        <v>22141</v>
      </c>
      <c r="J2221" s="30">
        <v>22293</v>
      </c>
      <c r="K2221" s="30">
        <v>22607</v>
      </c>
      <c r="L2221" s="30">
        <v>22630</v>
      </c>
      <c r="M2221" s="30">
        <v>22795</v>
      </c>
      <c r="N2221" s="30">
        <v>22925</v>
      </c>
      <c r="O2221" s="24" t="str">
        <f t="shared" si="69"/>
        <v>Curry County, Oregon</v>
      </c>
    </row>
    <row r="2222" spans="1:15" x14ac:dyDescent="0.25">
      <c r="A2222" s="35" t="s">
        <v>2697</v>
      </c>
      <c r="B2222" s="28" t="str">
        <f t="shared" si="68"/>
        <v>Deschutes</v>
      </c>
      <c r="C2222" s="30">
        <v>157733</v>
      </c>
      <c r="D2222" s="30">
        <v>157728</v>
      </c>
      <c r="E2222" s="30">
        <v>157742</v>
      </c>
      <c r="F2222" s="30">
        <v>159660</v>
      </c>
      <c r="G2222" s="30">
        <v>161359</v>
      </c>
      <c r="H2222" s="30">
        <v>165299</v>
      </c>
      <c r="I2222" s="30">
        <v>169512</v>
      </c>
      <c r="J2222" s="30">
        <v>174246</v>
      </c>
      <c r="K2222" s="30">
        <v>180666</v>
      </c>
      <c r="L2222" s="30">
        <v>186744</v>
      </c>
      <c r="M2222" s="30">
        <v>191905</v>
      </c>
      <c r="N2222" s="30">
        <v>197692</v>
      </c>
      <c r="O2222" s="24" t="str">
        <f t="shared" si="69"/>
        <v>Deschutes County, Oregon</v>
      </c>
    </row>
    <row r="2223" spans="1:15" x14ac:dyDescent="0.25">
      <c r="A2223" s="35" t="s">
        <v>2698</v>
      </c>
      <c r="B2223" s="28" t="str">
        <f t="shared" si="68"/>
        <v>Douglas</v>
      </c>
      <c r="C2223" s="30">
        <v>107667</v>
      </c>
      <c r="D2223" s="30">
        <v>107684</v>
      </c>
      <c r="E2223" s="30">
        <v>107631</v>
      </c>
      <c r="F2223" s="30">
        <v>107229</v>
      </c>
      <c r="G2223" s="30">
        <v>106922</v>
      </c>
      <c r="H2223" s="30">
        <v>106603</v>
      </c>
      <c r="I2223" s="30">
        <v>106693</v>
      </c>
      <c r="J2223" s="30">
        <v>107164</v>
      </c>
      <c r="K2223" s="30">
        <v>108116</v>
      </c>
      <c r="L2223" s="30">
        <v>109197</v>
      </c>
      <c r="M2223" s="30">
        <v>110114</v>
      </c>
      <c r="N2223" s="30">
        <v>110980</v>
      </c>
      <c r="O2223" s="24" t="str">
        <f t="shared" si="69"/>
        <v>Douglas County, Oregon</v>
      </c>
    </row>
    <row r="2224" spans="1:15" x14ac:dyDescent="0.25">
      <c r="A2224" s="35" t="s">
        <v>2699</v>
      </c>
      <c r="B2224" s="28" t="str">
        <f t="shared" si="68"/>
        <v>Gilliam</v>
      </c>
      <c r="C2224" s="30">
        <v>1871</v>
      </c>
      <c r="D2224" s="30">
        <v>1873</v>
      </c>
      <c r="E2224" s="30">
        <v>1882</v>
      </c>
      <c r="F2224" s="30">
        <v>1951</v>
      </c>
      <c r="G2224" s="30">
        <v>1952</v>
      </c>
      <c r="H2224" s="30">
        <v>1943</v>
      </c>
      <c r="I2224" s="30">
        <v>1930</v>
      </c>
      <c r="J2224" s="30">
        <v>1868</v>
      </c>
      <c r="K2224" s="30">
        <v>1857</v>
      </c>
      <c r="L2224" s="30">
        <v>1862</v>
      </c>
      <c r="M2224" s="30">
        <v>1893</v>
      </c>
      <c r="N2224" s="30">
        <v>1912</v>
      </c>
      <c r="O2224" s="24" t="str">
        <f t="shared" si="69"/>
        <v>Gilliam County, Oregon</v>
      </c>
    </row>
    <row r="2225" spans="1:15" x14ac:dyDescent="0.25">
      <c r="A2225" s="35" t="s">
        <v>2700</v>
      </c>
      <c r="B2225" s="28" t="str">
        <f t="shared" si="68"/>
        <v>Grant</v>
      </c>
      <c r="C2225" s="30">
        <v>7445</v>
      </c>
      <c r="D2225" s="30">
        <v>7444</v>
      </c>
      <c r="E2225" s="30">
        <v>7464</v>
      </c>
      <c r="F2225" s="30">
        <v>7410</v>
      </c>
      <c r="G2225" s="30">
        <v>7325</v>
      </c>
      <c r="H2225" s="30">
        <v>7270</v>
      </c>
      <c r="I2225" s="30">
        <v>7190</v>
      </c>
      <c r="J2225" s="30">
        <v>7207</v>
      </c>
      <c r="K2225" s="30">
        <v>7166</v>
      </c>
      <c r="L2225" s="30">
        <v>7188</v>
      </c>
      <c r="M2225" s="30">
        <v>7185</v>
      </c>
      <c r="N2225" s="30">
        <v>7199</v>
      </c>
      <c r="O2225" s="24" t="str">
        <f t="shared" si="69"/>
        <v>Grant County, Oregon</v>
      </c>
    </row>
    <row r="2226" spans="1:15" x14ac:dyDescent="0.25">
      <c r="A2226" s="35" t="s">
        <v>2701</v>
      </c>
      <c r="B2226" s="28" t="str">
        <f t="shared" si="68"/>
        <v>Harney</v>
      </c>
      <c r="C2226" s="30">
        <v>7422</v>
      </c>
      <c r="D2226" s="30">
        <v>7422</v>
      </c>
      <c r="E2226" s="30">
        <v>7400</v>
      </c>
      <c r="F2226" s="30">
        <v>7358</v>
      </c>
      <c r="G2226" s="30">
        <v>7247</v>
      </c>
      <c r="H2226" s="30">
        <v>7161</v>
      </c>
      <c r="I2226" s="30">
        <v>7127</v>
      </c>
      <c r="J2226" s="30">
        <v>7150</v>
      </c>
      <c r="K2226" s="30">
        <v>7243</v>
      </c>
      <c r="L2226" s="30">
        <v>7258</v>
      </c>
      <c r="M2226" s="30">
        <v>7292</v>
      </c>
      <c r="N2226" s="30">
        <v>7393</v>
      </c>
      <c r="O2226" s="24" t="str">
        <f t="shared" si="69"/>
        <v>Harney County, Oregon</v>
      </c>
    </row>
    <row r="2227" spans="1:15" x14ac:dyDescent="0.25">
      <c r="A2227" s="35" t="s">
        <v>2702</v>
      </c>
      <c r="B2227" s="28" t="str">
        <f t="shared" si="68"/>
        <v>Hood River</v>
      </c>
      <c r="C2227" s="30">
        <v>22346</v>
      </c>
      <c r="D2227" s="30">
        <v>22346</v>
      </c>
      <c r="E2227" s="30">
        <v>22445</v>
      </c>
      <c r="F2227" s="30">
        <v>22442</v>
      </c>
      <c r="G2227" s="30">
        <v>22548</v>
      </c>
      <c r="H2227" s="30">
        <v>22577</v>
      </c>
      <c r="I2227" s="30">
        <v>22675</v>
      </c>
      <c r="J2227" s="30">
        <v>22927</v>
      </c>
      <c r="K2227" s="30">
        <v>23070</v>
      </c>
      <c r="L2227" s="30">
        <v>23398</v>
      </c>
      <c r="M2227" s="30">
        <v>23267</v>
      </c>
      <c r="N2227" s="30">
        <v>23382</v>
      </c>
      <c r="O2227" s="24" t="str">
        <f t="shared" si="69"/>
        <v>Hood River County, Oregon</v>
      </c>
    </row>
    <row r="2228" spans="1:15" x14ac:dyDescent="0.25">
      <c r="A2228" s="35" t="s">
        <v>2703</v>
      </c>
      <c r="B2228" s="28" t="str">
        <f t="shared" si="68"/>
        <v>Jackson</v>
      </c>
      <c r="C2228" s="30">
        <v>203206</v>
      </c>
      <c r="D2228" s="30">
        <v>203204</v>
      </c>
      <c r="E2228" s="30">
        <v>203341</v>
      </c>
      <c r="F2228" s="30">
        <v>204747</v>
      </c>
      <c r="G2228" s="30">
        <v>205852</v>
      </c>
      <c r="H2228" s="30">
        <v>207179</v>
      </c>
      <c r="I2228" s="30">
        <v>209189</v>
      </c>
      <c r="J2228" s="30">
        <v>211403</v>
      </c>
      <c r="K2228" s="30">
        <v>214366</v>
      </c>
      <c r="L2228" s="30">
        <v>216746</v>
      </c>
      <c r="M2228" s="30">
        <v>219411</v>
      </c>
      <c r="N2228" s="30">
        <v>220944</v>
      </c>
      <c r="O2228" s="24" t="str">
        <f t="shared" si="69"/>
        <v>Jackson County, Oregon</v>
      </c>
    </row>
    <row r="2229" spans="1:15" x14ac:dyDescent="0.25">
      <c r="A2229" s="35" t="s">
        <v>2704</v>
      </c>
      <c r="B2229" s="28" t="str">
        <f t="shared" si="68"/>
        <v>Jefferson</v>
      </c>
      <c r="C2229" s="30">
        <v>21720</v>
      </c>
      <c r="D2229" s="30">
        <v>21725</v>
      </c>
      <c r="E2229" s="30">
        <v>21661</v>
      </c>
      <c r="F2229" s="30">
        <v>21752</v>
      </c>
      <c r="G2229" s="30">
        <v>21834</v>
      </c>
      <c r="H2229" s="30">
        <v>21871</v>
      </c>
      <c r="I2229" s="30">
        <v>22203</v>
      </c>
      <c r="J2229" s="30">
        <v>22541</v>
      </c>
      <c r="K2229" s="30">
        <v>23036</v>
      </c>
      <c r="L2229" s="30">
        <v>23652</v>
      </c>
      <c r="M2229" s="30">
        <v>24150</v>
      </c>
      <c r="N2229" s="30">
        <v>24658</v>
      </c>
      <c r="O2229" s="24" t="str">
        <f t="shared" si="69"/>
        <v>Jefferson County, Oregon</v>
      </c>
    </row>
    <row r="2230" spans="1:15" x14ac:dyDescent="0.25">
      <c r="A2230" s="35" t="s">
        <v>2705</v>
      </c>
      <c r="B2230" s="28" t="str">
        <f t="shared" si="68"/>
        <v>Josephine</v>
      </c>
      <c r="C2230" s="30">
        <v>82713</v>
      </c>
      <c r="D2230" s="30">
        <v>82719</v>
      </c>
      <c r="E2230" s="30">
        <v>82879</v>
      </c>
      <c r="F2230" s="30">
        <v>82702</v>
      </c>
      <c r="G2230" s="30">
        <v>82755</v>
      </c>
      <c r="H2230" s="30">
        <v>83131</v>
      </c>
      <c r="I2230" s="30">
        <v>83377</v>
      </c>
      <c r="J2230" s="30">
        <v>84528</v>
      </c>
      <c r="K2230" s="30">
        <v>85504</v>
      </c>
      <c r="L2230" s="30">
        <v>86584</v>
      </c>
      <c r="M2230" s="30">
        <v>87150</v>
      </c>
      <c r="N2230" s="30">
        <v>87487</v>
      </c>
      <c r="O2230" s="24" t="str">
        <f t="shared" si="69"/>
        <v>Josephine County, Oregon</v>
      </c>
    </row>
    <row r="2231" spans="1:15" x14ac:dyDescent="0.25">
      <c r="A2231" s="35" t="s">
        <v>2706</v>
      </c>
      <c r="B2231" s="28" t="str">
        <f t="shared" si="68"/>
        <v>Klamath</v>
      </c>
      <c r="C2231" s="30">
        <v>66380</v>
      </c>
      <c r="D2231" s="30">
        <v>66384</v>
      </c>
      <c r="E2231" s="30">
        <v>66322</v>
      </c>
      <c r="F2231" s="30">
        <v>66308</v>
      </c>
      <c r="G2231" s="30">
        <v>65909</v>
      </c>
      <c r="H2231" s="30">
        <v>65682</v>
      </c>
      <c r="I2231" s="30">
        <v>65280</v>
      </c>
      <c r="J2231" s="30">
        <v>65670</v>
      </c>
      <c r="K2231" s="30">
        <v>66198</v>
      </c>
      <c r="L2231" s="30">
        <v>66810</v>
      </c>
      <c r="M2231" s="30">
        <v>67687</v>
      </c>
      <c r="N2231" s="30">
        <v>68238</v>
      </c>
      <c r="O2231" s="24" t="str">
        <f t="shared" si="69"/>
        <v>Klamath County, Oregon</v>
      </c>
    </row>
    <row r="2232" spans="1:15" x14ac:dyDescent="0.25">
      <c r="A2232" s="35" t="s">
        <v>2707</v>
      </c>
      <c r="B2232" s="28" t="str">
        <f t="shared" si="68"/>
        <v>Lake</v>
      </c>
      <c r="C2232" s="30">
        <v>7895</v>
      </c>
      <c r="D2232" s="30">
        <v>7885</v>
      </c>
      <c r="E2232" s="30">
        <v>7875</v>
      </c>
      <c r="F2232" s="30">
        <v>7905</v>
      </c>
      <c r="G2232" s="30">
        <v>7786</v>
      </c>
      <c r="H2232" s="30">
        <v>7795</v>
      </c>
      <c r="I2232" s="30">
        <v>7821</v>
      </c>
      <c r="J2232" s="30">
        <v>7779</v>
      </c>
      <c r="K2232" s="30">
        <v>7830</v>
      </c>
      <c r="L2232" s="30">
        <v>7874</v>
      </c>
      <c r="M2232" s="30">
        <v>7835</v>
      </c>
      <c r="N2232" s="30">
        <v>7869</v>
      </c>
      <c r="O2232" s="24" t="str">
        <f t="shared" si="69"/>
        <v>Lake County, Oregon</v>
      </c>
    </row>
    <row r="2233" spans="1:15" x14ac:dyDescent="0.25">
      <c r="A2233" s="35" t="s">
        <v>2708</v>
      </c>
      <c r="B2233" s="28" t="str">
        <f t="shared" si="68"/>
        <v>Lane</v>
      </c>
      <c r="C2233" s="30">
        <v>351715</v>
      </c>
      <c r="D2233" s="30">
        <v>351705</v>
      </c>
      <c r="E2233" s="30">
        <v>351920</v>
      </c>
      <c r="F2233" s="30">
        <v>354034</v>
      </c>
      <c r="G2233" s="30">
        <v>355075</v>
      </c>
      <c r="H2233" s="30">
        <v>355481</v>
      </c>
      <c r="I2233" s="30">
        <v>358027</v>
      </c>
      <c r="J2233" s="30">
        <v>361946</v>
      </c>
      <c r="K2233" s="30">
        <v>368874</v>
      </c>
      <c r="L2233" s="30">
        <v>375264</v>
      </c>
      <c r="M2233" s="30">
        <v>378549</v>
      </c>
      <c r="N2233" s="30">
        <v>382067</v>
      </c>
      <c r="O2233" s="24" t="str">
        <f t="shared" si="69"/>
        <v>Lane County, Oregon</v>
      </c>
    </row>
    <row r="2234" spans="1:15" x14ac:dyDescent="0.25">
      <c r="A2234" s="35" t="s">
        <v>2709</v>
      </c>
      <c r="B2234" s="28" t="str">
        <f t="shared" si="68"/>
        <v>Lincoln</v>
      </c>
      <c r="C2234" s="30">
        <v>46034</v>
      </c>
      <c r="D2234" s="30">
        <v>46033</v>
      </c>
      <c r="E2234" s="30">
        <v>45999</v>
      </c>
      <c r="F2234" s="30">
        <v>45871</v>
      </c>
      <c r="G2234" s="30">
        <v>46164</v>
      </c>
      <c r="H2234" s="30">
        <v>46322</v>
      </c>
      <c r="I2234" s="30">
        <v>46343</v>
      </c>
      <c r="J2234" s="30">
        <v>46999</v>
      </c>
      <c r="K2234" s="30">
        <v>47793</v>
      </c>
      <c r="L2234" s="30">
        <v>48757</v>
      </c>
      <c r="M2234" s="30">
        <v>49224</v>
      </c>
      <c r="N2234" s="30">
        <v>49962</v>
      </c>
      <c r="O2234" s="24" t="str">
        <f t="shared" si="69"/>
        <v>Lincoln County, Oregon</v>
      </c>
    </row>
    <row r="2235" spans="1:15" x14ac:dyDescent="0.25">
      <c r="A2235" s="35" t="s">
        <v>2710</v>
      </c>
      <c r="B2235" s="28" t="str">
        <f t="shared" si="68"/>
        <v>Linn</v>
      </c>
      <c r="C2235" s="30">
        <v>116672</v>
      </c>
      <c r="D2235" s="30">
        <v>116681</v>
      </c>
      <c r="E2235" s="30">
        <v>116891</v>
      </c>
      <c r="F2235" s="30">
        <v>118164</v>
      </c>
      <c r="G2235" s="30">
        <v>118273</v>
      </c>
      <c r="H2235" s="30">
        <v>118405</v>
      </c>
      <c r="I2235" s="30">
        <v>119042</v>
      </c>
      <c r="J2235" s="30">
        <v>120236</v>
      </c>
      <c r="K2235" s="30">
        <v>122769</v>
      </c>
      <c r="L2235" s="30">
        <v>125035</v>
      </c>
      <c r="M2235" s="30">
        <v>127451</v>
      </c>
      <c r="N2235" s="30">
        <v>129749</v>
      </c>
      <c r="O2235" s="24" t="str">
        <f t="shared" si="69"/>
        <v>Linn County, Oregon</v>
      </c>
    </row>
    <row r="2236" spans="1:15" x14ac:dyDescent="0.25">
      <c r="A2236" s="35" t="s">
        <v>2711</v>
      </c>
      <c r="B2236" s="28" t="str">
        <f t="shared" si="68"/>
        <v>Malheur</v>
      </c>
      <c r="C2236" s="30">
        <v>31313</v>
      </c>
      <c r="D2236" s="30">
        <v>31316</v>
      </c>
      <c r="E2236" s="30">
        <v>31349</v>
      </c>
      <c r="F2236" s="30">
        <v>30964</v>
      </c>
      <c r="G2236" s="30">
        <v>30751</v>
      </c>
      <c r="H2236" s="30">
        <v>30634</v>
      </c>
      <c r="I2236" s="30">
        <v>30344</v>
      </c>
      <c r="J2236" s="30">
        <v>30211</v>
      </c>
      <c r="K2236" s="30">
        <v>30340</v>
      </c>
      <c r="L2236" s="30">
        <v>30385</v>
      </c>
      <c r="M2236" s="30">
        <v>30553</v>
      </c>
      <c r="N2236" s="30">
        <v>30571</v>
      </c>
      <c r="O2236" s="24" t="str">
        <f t="shared" si="69"/>
        <v>Malheur County, Oregon</v>
      </c>
    </row>
    <row r="2237" spans="1:15" x14ac:dyDescent="0.25">
      <c r="A2237" s="35" t="s">
        <v>2712</v>
      </c>
      <c r="B2237" s="28" t="str">
        <f t="shared" si="68"/>
        <v>Marion</v>
      </c>
      <c r="C2237" s="30">
        <v>315335</v>
      </c>
      <c r="D2237" s="30">
        <v>315338</v>
      </c>
      <c r="E2237" s="30">
        <v>315941</v>
      </c>
      <c r="F2237" s="30">
        <v>318047</v>
      </c>
      <c r="G2237" s="30">
        <v>319867</v>
      </c>
      <c r="H2237" s="30">
        <v>321471</v>
      </c>
      <c r="I2237" s="30">
        <v>324433</v>
      </c>
      <c r="J2237" s="30">
        <v>329060</v>
      </c>
      <c r="K2237" s="30">
        <v>335382</v>
      </c>
      <c r="L2237" s="30">
        <v>340531</v>
      </c>
      <c r="M2237" s="30">
        <v>345412</v>
      </c>
      <c r="N2237" s="30">
        <v>347818</v>
      </c>
      <c r="O2237" s="24" t="str">
        <f t="shared" si="69"/>
        <v>Marion County, Oregon</v>
      </c>
    </row>
    <row r="2238" spans="1:15" x14ac:dyDescent="0.25">
      <c r="A2238" s="35" t="s">
        <v>2713</v>
      </c>
      <c r="B2238" s="28" t="str">
        <f t="shared" si="68"/>
        <v>Morrow</v>
      </c>
      <c r="C2238" s="30">
        <v>11173</v>
      </c>
      <c r="D2238" s="30">
        <v>11175</v>
      </c>
      <c r="E2238" s="30">
        <v>11209</v>
      </c>
      <c r="F2238" s="30">
        <v>11226</v>
      </c>
      <c r="G2238" s="30">
        <v>11224</v>
      </c>
      <c r="H2238" s="30">
        <v>11196</v>
      </c>
      <c r="I2238" s="30">
        <v>11095</v>
      </c>
      <c r="J2238" s="30">
        <v>11130</v>
      </c>
      <c r="K2238" s="30">
        <v>11222</v>
      </c>
      <c r="L2238" s="30">
        <v>11198</v>
      </c>
      <c r="M2238" s="30">
        <v>11360</v>
      </c>
      <c r="N2238" s="30">
        <v>11603</v>
      </c>
      <c r="O2238" s="24" t="str">
        <f t="shared" si="69"/>
        <v>Morrow County, Oregon</v>
      </c>
    </row>
    <row r="2239" spans="1:15" x14ac:dyDescent="0.25">
      <c r="A2239" s="35" t="s">
        <v>2714</v>
      </c>
      <c r="B2239" s="28" t="str">
        <f t="shared" si="68"/>
        <v>Multnomah</v>
      </c>
      <c r="C2239" s="30">
        <v>735334</v>
      </c>
      <c r="D2239" s="30">
        <v>735146</v>
      </c>
      <c r="E2239" s="30">
        <v>737276</v>
      </c>
      <c r="F2239" s="30">
        <v>749742</v>
      </c>
      <c r="G2239" s="30">
        <v>760198</v>
      </c>
      <c r="H2239" s="30">
        <v>766532</v>
      </c>
      <c r="I2239" s="30">
        <v>778430</v>
      </c>
      <c r="J2239" s="30">
        <v>790008</v>
      </c>
      <c r="K2239" s="30">
        <v>803212</v>
      </c>
      <c r="L2239" s="30">
        <v>807885</v>
      </c>
      <c r="M2239" s="30">
        <v>809072</v>
      </c>
      <c r="N2239" s="30">
        <v>812855</v>
      </c>
      <c r="O2239" s="24" t="str">
        <f t="shared" si="69"/>
        <v>Multnomah County, Oregon</v>
      </c>
    </row>
    <row r="2240" spans="1:15" x14ac:dyDescent="0.25">
      <c r="A2240" s="35" t="s">
        <v>2715</v>
      </c>
      <c r="B2240" s="28" t="str">
        <f t="shared" si="68"/>
        <v>Polk</v>
      </c>
      <c r="C2240" s="30">
        <v>75403</v>
      </c>
      <c r="D2240" s="30">
        <v>75400</v>
      </c>
      <c r="E2240" s="30">
        <v>75538</v>
      </c>
      <c r="F2240" s="30">
        <v>75931</v>
      </c>
      <c r="G2240" s="30">
        <v>76209</v>
      </c>
      <c r="H2240" s="30">
        <v>76544</v>
      </c>
      <c r="I2240" s="30">
        <v>77659</v>
      </c>
      <c r="J2240" s="30">
        <v>78962</v>
      </c>
      <c r="K2240" s="30">
        <v>81436</v>
      </c>
      <c r="L2240" s="30">
        <v>83711</v>
      </c>
      <c r="M2240" s="30">
        <v>84992</v>
      </c>
      <c r="N2240" s="30">
        <v>86085</v>
      </c>
      <c r="O2240" s="24" t="str">
        <f t="shared" si="69"/>
        <v>Polk County, Oregon</v>
      </c>
    </row>
    <row r="2241" spans="1:15" x14ac:dyDescent="0.25">
      <c r="A2241" s="35" t="s">
        <v>2716</v>
      </c>
      <c r="B2241" s="28" t="str">
        <f t="shared" si="68"/>
        <v>Sherman</v>
      </c>
      <c r="C2241" s="30">
        <v>1765</v>
      </c>
      <c r="D2241" s="30">
        <v>1766</v>
      </c>
      <c r="E2241" s="30">
        <v>1779</v>
      </c>
      <c r="F2241" s="30">
        <v>1750</v>
      </c>
      <c r="G2241" s="30">
        <v>1745</v>
      </c>
      <c r="H2241" s="30">
        <v>1725</v>
      </c>
      <c r="I2241" s="30">
        <v>1712</v>
      </c>
      <c r="J2241" s="30">
        <v>1689</v>
      </c>
      <c r="K2241" s="30">
        <v>1708</v>
      </c>
      <c r="L2241" s="30">
        <v>1735</v>
      </c>
      <c r="M2241" s="30">
        <v>1700</v>
      </c>
      <c r="N2241" s="30">
        <v>1780</v>
      </c>
      <c r="O2241" s="24" t="str">
        <f t="shared" si="69"/>
        <v>Sherman County, Oregon</v>
      </c>
    </row>
    <row r="2242" spans="1:15" x14ac:dyDescent="0.25">
      <c r="A2242" s="35" t="s">
        <v>2717</v>
      </c>
      <c r="B2242" s="28" t="str">
        <f t="shared" si="68"/>
        <v>Tillamook</v>
      </c>
      <c r="C2242" s="30">
        <v>25250</v>
      </c>
      <c r="D2242" s="30">
        <v>25254</v>
      </c>
      <c r="E2242" s="30">
        <v>25254</v>
      </c>
      <c r="F2242" s="30">
        <v>25408</v>
      </c>
      <c r="G2242" s="30">
        <v>25287</v>
      </c>
      <c r="H2242" s="30">
        <v>25343</v>
      </c>
      <c r="I2242" s="30">
        <v>25321</v>
      </c>
      <c r="J2242" s="30">
        <v>25561</v>
      </c>
      <c r="K2242" s="30">
        <v>26116</v>
      </c>
      <c r="L2242" s="30">
        <v>26522</v>
      </c>
      <c r="M2242" s="30">
        <v>26710</v>
      </c>
      <c r="N2242" s="30">
        <v>27036</v>
      </c>
      <c r="O2242" s="24" t="str">
        <f t="shared" si="69"/>
        <v>Tillamook County, Oregon</v>
      </c>
    </row>
    <row r="2243" spans="1:15" x14ac:dyDescent="0.25">
      <c r="A2243" s="35" t="s">
        <v>2718</v>
      </c>
      <c r="B2243" s="28" t="str">
        <f t="shared" si="68"/>
        <v>Umatilla</v>
      </c>
      <c r="C2243" s="30">
        <v>75889</v>
      </c>
      <c r="D2243" s="30">
        <v>75887</v>
      </c>
      <c r="E2243" s="30">
        <v>76094</v>
      </c>
      <c r="F2243" s="30">
        <v>76804</v>
      </c>
      <c r="G2243" s="30">
        <v>77005</v>
      </c>
      <c r="H2243" s="30">
        <v>76875</v>
      </c>
      <c r="I2243" s="30">
        <v>76685</v>
      </c>
      <c r="J2243" s="30">
        <v>76467</v>
      </c>
      <c r="K2243" s="30">
        <v>76686</v>
      </c>
      <c r="L2243" s="30">
        <v>77120</v>
      </c>
      <c r="M2243" s="30">
        <v>77421</v>
      </c>
      <c r="N2243" s="30">
        <v>77950</v>
      </c>
      <c r="O2243" s="24" t="str">
        <f t="shared" si="69"/>
        <v>Umatilla County, Oregon</v>
      </c>
    </row>
    <row r="2244" spans="1:15" x14ac:dyDescent="0.25">
      <c r="A2244" s="35" t="s">
        <v>2719</v>
      </c>
      <c r="B2244" s="28" t="str">
        <f t="shared" si="68"/>
        <v>Union</v>
      </c>
      <c r="C2244" s="30">
        <v>25748</v>
      </c>
      <c r="D2244" s="30">
        <v>25744</v>
      </c>
      <c r="E2244" s="30">
        <v>25731</v>
      </c>
      <c r="F2244" s="30">
        <v>25909</v>
      </c>
      <c r="G2244" s="30">
        <v>25802</v>
      </c>
      <c r="H2244" s="30">
        <v>25526</v>
      </c>
      <c r="I2244" s="30">
        <v>25637</v>
      </c>
      <c r="J2244" s="30">
        <v>25703</v>
      </c>
      <c r="K2244" s="30">
        <v>26061</v>
      </c>
      <c r="L2244" s="30">
        <v>26383</v>
      </c>
      <c r="M2244" s="30">
        <v>26701</v>
      </c>
      <c r="N2244" s="30">
        <v>26835</v>
      </c>
      <c r="O2244" s="24" t="str">
        <f t="shared" si="69"/>
        <v>Union County, Oregon</v>
      </c>
    </row>
    <row r="2245" spans="1:15" x14ac:dyDescent="0.25">
      <c r="A2245" s="35" t="s">
        <v>2720</v>
      </c>
      <c r="B2245" s="28" t="str">
        <f t="shared" si="68"/>
        <v>Wallowa</v>
      </c>
      <c r="C2245" s="30">
        <v>7008</v>
      </c>
      <c r="D2245" s="30">
        <v>7008</v>
      </c>
      <c r="E2245" s="30">
        <v>7012</v>
      </c>
      <c r="F2245" s="30">
        <v>6979</v>
      </c>
      <c r="G2245" s="30">
        <v>6801</v>
      </c>
      <c r="H2245" s="30">
        <v>6771</v>
      </c>
      <c r="I2245" s="30">
        <v>6779</v>
      </c>
      <c r="J2245" s="30">
        <v>6813</v>
      </c>
      <c r="K2245" s="30">
        <v>6915</v>
      </c>
      <c r="L2245" s="30">
        <v>7025</v>
      </c>
      <c r="M2245" s="30">
        <v>7058</v>
      </c>
      <c r="N2245" s="30">
        <v>7208</v>
      </c>
      <c r="O2245" s="24" t="str">
        <f t="shared" si="69"/>
        <v>Wallowa County, Oregon</v>
      </c>
    </row>
    <row r="2246" spans="1:15" x14ac:dyDescent="0.25">
      <c r="A2246" s="35" t="s">
        <v>2721</v>
      </c>
      <c r="B2246" s="28" t="str">
        <f t="shared" si="68"/>
        <v>Wasco</v>
      </c>
      <c r="C2246" s="30">
        <v>25213</v>
      </c>
      <c r="D2246" s="30">
        <v>25211</v>
      </c>
      <c r="E2246" s="30">
        <v>25284</v>
      </c>
      <c r="F2246" s="30">
        <v>25216</v>
      </c>
      <c r="G2246" s="30">
        <v>25370</v>
      </c>
      <c r="H2246" s="30">
        <v>25323</v>
      </c>
      <c r="I2246" s="30">
        <v>25268</v>
      </c>
      <c r="J2246" s="30">
        <v>25457</v>
      </c>
      <c r="K2246" s="30">
        <v>25782</v>
      </c>
      <c r="L2246" s="30">
        <v>26296</v>
      </c>
      <c r="M2246" s="30">
        <v>26432</v>
      </c>
      <c r="N2246" s="30">
        <v>26682</v>
      </c>
      <c r="O2246" s="24" t="str">
        <f t="shared" si="69"/>
        <v>Wasco County, Oregon</v>
      </c>
    </row>
    <row r="2247" spans="1:15" x14ac:dyDescent="0.25">
      <c r="A2247" s="35" t="s">
        <v>2722</v>
      </c>
      <c r="B2247" s="28" t="str">
        <f t="shared" ref="B2247:B2310" si="70">LEFT(A2247,FIND("County",A2247,1)-2)</f>
        <v>Washington</v>
      </c>
      <c r="C2247" s="30">
        <v>529710</v>
      </c>
      <c r="D2247" s="30">
        <v>529862</v>
      </c>
      <c r="E2247" s="30">
        <v>531638</v>
      </c>
      <c r="F2247" s="30">
        <v>540967</v>
      </c>
      <c r="G2247" s="30">
        <v>548524</v>
      </c>
      <c r="H2247" s="30">
        <v>555264</v>
      </c>
      <c r="I2247" s="30">
        <v>562316</v>
      </c>
      <c r="J2247" s="30">
        <v>572664</v>
      </c>
      <c r="K2247" s="30">
        <v>584910</v>
      </c>
      <c r="L2247" s="30">
        <v>591336</v>
      </c>
      <c r="M2247" s="30">
        <v>596904</v>
      </c>
      <c r="N2247" s="30">
        <v>601592</v>
      </c>
      <c r="O2247" s="24" t="str">
        <f t="shared" ref="O2247:O2310" si="71">A2247</f>
        <v>Washington County, Oregon</v>
      </c>
    </row>
    <row r="2248" spans="1:15" x14ac:dyDescent="0.25">
      <c r="A2248" s="35" t="s">
        <v>2723</v>
      </c>
      <c r="B2248" s="28" t="str">
        <f t="shared" si="70"/>
        <v>Wheeler</v>
      </c>
      <c r="C2248" s="30">
        <v>1441</v>
      </c>
      <c r="D2248" s="30">
        <v>1439</v>
      </c>
      <c r="E2248" s="30">
        <v>1447</v>
      </c>
      <c r="F2248" s="30">
        <v>1416</v>
      </c>
      <c r="G2248" s="30">
        <v>1409</v>
      </c>
      <c r="H2248" s="30">
        <v>1378</v>
      </c>
      <c r="I2248" s="30">
        <v>1350</v>
      </c>
      <c r="J2248" s="30">
        <v>1326</v>
      </c>
      <c r="K2248" s="30">
        <v>1319</v>
      </c>
      <c r="L2248" s="30">
        <v>1348</v>
      </c>
      <c r="M2248" s="30">
        <v>1351</v>
      </c>
      <c r="N2248" s="30">
        <v>1332</v>
      </c>
      <c r="O2248" s="24" t="str">
        <f t="shared" si="71"/>
        <v>Wheeler County, Oregon</v>
      </c>
    </row>
    <row r="2249" spans="1:15" x14ac:dyDescent="0.25">
      <c r="A2249" s="35" t="s">
        <v>2724</v>
      </c>
      <c r="B2249" s="28" t="str">
        <f t="shared" si="70"/>
        <v>Yamhill</v>
      </c>
      <c r="C2249" s="30">
        <v>99193</v>
      </c>
      <c r="D2249" s="30">
        <v>99216</v>
      </c>
      <c r="E2249" s="30">
        <v>99304</v>
      </c>
      <c r="F2249" s="30">
        <v>99690</v>
      </c>
      <c r="G2249" s="30">
        <v>99894</v>
      </c>
      <c r="H2249" s="30">
        <v>99869</v>
      </c>
      <c r="I2249" s="30">
        <v>100797</v>
      </c>
      <c r="J2249" s="30">
        <v>101381</v>
      </c>
      <c r="K2249" s="30">
        <v>104070</v>
      </c>
      <c r="L2249" s="30">
        <v>105238</v>
      </c>
      <c r="M2249" s="30">
        <v>106367</v>
      </c>
      <c r="N2249" s="30">
        <v>107100</v>
      </c>
      <c r="O2249" s="24" t="str">
        <f t="shared" si="71"/>
        <v>Yamhill County, Oregon</v>
      </c>
    </row>
    <row r="2250" spans="1:15" x14ac:dyDescent="0.25">
      <c r="A2250" s="35" t="s">
        <v>2725</v>
      </c>
      <c r="B2250" s="28" t="str">
        <f t="shared" si="70"/>
        <v>Adams</v>
      </c>
      <c r="C2250" s="30">
        <v>101407</v>
      </c>
      <c r="D2250" s="30">
        <v>101428</v>
      </c>
      <c r="E2250" s="30">
        <v>101479</v>
      </c>
      <c r="F2250" s="30">
        <v>101474</v>
      </c>
      <c r="G2250" s="30">
        <v>101254</v>
      </c>
      <c r="H2250" s="30">
        <v>101137</v>
      </c>
      <c r="I2250" s="30">
        <v>101353</v>
      </c>
      <c r="J2250" s="30">
        <v>101808</v>
      </c>
      <c r="K2250" s="30">
        <v>101911</v>
      </c>
      <c r="L2250" s="30">
        <v>102562</v>
      </c>
      <c r="M2250" s="30">
        <v>103062</v>
      </c>
      <c r="N2250" s="30">
        <v>103009</v>
      </c>
      <c r="O2250" s="24" t="str">
        <f t="shared" si="71"/>
        <v>Adams County, Pennsylvania</v>
      </c>
    </row>
    <row r="2251" spans="1:15" x14ac:dyDescent="0.25">
      <c r="A2251" s="35" t="s">
        <v>2726</v>
      </c>
      <c r="B2251" s="28" t="str">
        <f t="shared" si="70"/>
        <v>Allegheny</v>
      </c>
      <c r="C2251" s="30">
        <v>1223348</v>
      </c>
      <c r="D2251" s="30">
        <v>1223303</v>
      </c>
      <c r="E2251" s="30">
        <v>1223957</v>
      </c>
      <c r="F2251" s="30">
        <v>1228297</v>
      </c>
      <c r="G2251" s="30">
        <v>1230911</v>
      </c>
      <c r="H2251" s="30">
        <v>1233700</v>
      </c>
      <c r="I2251" s="30">
        <v>1233027</v>
      </c>
      <c r="J2251" s="30">
        <v>1228827</v>
      </c>
      <c r="K2251" s="30">
        <v>1226426</v>
      </c>
      <c r="L2251" s="30">
        <v>1220141</v>
      </c>
      <c r="M2251" s="30">
        <v>1217281</v>
      </c>
      <c r="N2251" s="30">
        <v>1216045</v>
      </c>
      <c r="O2251" s="24" t="str">
        <f t="shared" si="71"/>
        <v>Allegheny County, Pennsylvania</v>
      </c>
    </row>
    <row r="2252" spans="1:15" x14ac:dyDescent="0.25">
      <c r="A2252" s="35" t="s">
        <v>2727</v>
      </c>
      <c r="B2252" s="28" t="str">
        <f t="shared" si="70"/>
        <v>Armstrong</v>
      </c>
      <c r="C2252" s="30">
        <v>68941</v>
      </c>
      <c r="D2252" s="30">
        <v>69059</v>
      </c>
      <c r="E2252" s="30">
        <v>68981</v>
      </c>
      <c r="F2252" s="30">
        <v>68613</v>
      </c>
      <c r="G2252" s="30">
        <v>68176</v>
      </c>
      <c r="H2252" s="30">
        <v>67964</v>
      </c>
      <c r="I2252" s="30">
        <v>67579</v>
      </c>
      <c r="J2252" s="30">
        <v>66860</v>
      </c>
      <c r="K2252" s="30">
        <v>66397</v>
      </c>
      <c r="L2252" s="30">
        <v>65991</v>
      </c>
      <c r="M2252" s="30">
        <v>65352</v>
      </c>
      <c r="N2252" s="30">
        <v>64735</v>
      </c>
      <c r="O2252" s="24" t="str">
        <f t="shared" si="71"/>
        <v>Armstrong County, Pennsylvania</v>
      </c>
    </row>
    <row r="2253" spans="1:15" x14ac:dyDescent="0.25">
      <c r="A2253" s="35" t="s">
        <v>2728</v>
      </c>
      <c r="B2253" s="28" t="str">
        <f t="shared" si="70"/>
        <v>Beaver</v>
      </c>
      <c r="C2253" s="30">
        <v>170539</v>
      </c>
      <c r="D2253" s="30">
        <v>170531</v>
      </c>
      <c r="E2253" s="30">
        <v>170630</v>
      </c>
      <c r="F2253" s="30">
        <v>170310</v>
      </c>
      <c r="G2253" s="30">
        <v>170056</v>
      </c>
      <c r="H2253" s="30">
        <v>169726</v>
      </c>
      <c r="I2253" s="30">
        <v>168977</v>
      </c>
      <c r="J2253" s="30">
        <v>168241</v>
      </c>
      <c r="K2253" s="30">
        <v>166758</v>
      </c>
      <c r="L2253" s="30">
        <v>165654</v>
      </c>
      <c r="M2253" s="30">
        <v>164582</v>
      </c>
      <c r="N2253" s="30">
        <v>163929</v>
      </c>
      <c r="O2253" s="24" t="str">
        <f t="shared" si="71"/>
        <v>Beaver County, Pennsylvania</v>
      </c>
    </row>
    <row r="2254" spans="1:15" x14ac:dyDescent="0.25">
      <c r="A2254" s="35" t="s">
        <v>2729</v>
      </c>
      <c r="B2254" s="28" t="str">
        <f t="shared" si="70"/>
        <v>Bedford</v>
      </c>
      <c r="C2254" s="30">
        <v>49762</v>
      </c>
      <c r="D2254" s="30">
        <v>49776</v>
      </c>
      <c r="E2254" s="30">
        <v>49699</v>
      </c>
      <c r="F2254" s="30">
        <v>49627</v>
      </c>
      <c r="G2254" s="30">
        <v>49592</v>
      </c>
      <c r="H2254" s="30">
        <v>49318</v>
      </c>
      <c r="I2254" s="30">
        <v>49131</v>
      </c>
      <c r="J2254" s="30">
        <v>48748</v>
      </c>
      <c r="K2254" s="30">
        <v>48601</v>
      </c>
      <c r="L2254" s="30">
        <v>48356</v>
      </c>
      <c r="M2254" s="30">
        <v>48094</v>
      </c>
      <c r="N2254" s="30">
        <v>47888</v>
      </c>
      <c r="O2254" s="24" t="str">
        <f t="shared" si="71"/>
        <v>Bedford County, Pennsylvania</v>
      </c>
    </row>
    <row r="2255" spans="1:15" x14ac:dyDescent="0.25">
      <c r="A2255" s="35" t="s">
        <v>2730</v>
      </c>
      <c r="B2255" s="28" t="str">
        <f t="shared" si="70"/>
        <v>Berks</v>
      </c>
      <c r="C2255" s="30">
        <v>411442</v>
      </c>
      <c r="D2255" s="30">
        <v>411570</v>
      </c>
      <c r="E2255" s="30">
        <v>412039</v>
      </c>
      <c r="F2255" s="30">
        <v>413008</v>
      </c>
      <c r="G2255" s="30">
        <v>413518</v>
      </c>
      <c r="H2255" s="30">
        <v>413915</v>
      </c>
      <c r="I2255" s="30">
        <v>414559</v>
      </c>
      <c r="J2255" s="30">
        <v>415138</v>
      </c>
      <c r="K2255" s="30">
        <v>415784</v>
      </c>
      <c r="L2255" s="30">
        <v>417511</v>
      </c>
      <c r="M2255" s="30">
        <v>420529</v>
      </c>
      <c r="N2255" s="30">
        <v>421164</v>
      </c>
      <c r="O2255" s="24" t="str">
        <f t="shared" si="71"/>
        <v>Berks County, Pennsylvania</v>
      </c>
    </row>
    <row r="2256" spans="1:15" x14ac:dyDescent="0.25">
      <c r="A2256" s="35" t="s">
        <v>2731</v>
      </c>
      <c r="B2256" s="28" t="str">
        <f t="shared" si="70"/>
        <v>Blair</v>
      </c>
      <c r="C2256" s="30">
        <v>127089</v>
      </c>
      <c r="D2256" s="30">
        <v>127117</v>
      </c>
      <c r="E2256" s="30">
        <v>127045</v>
      </c>
      <c r="F2256" s="30">
        <v>126970</v>
      </c>
      <c r="G2256" s="30">
        <v>126544</v>
      </c>
      <c r="H2256" s="30">
        <v>125836</v>
      </c>
      <c r="I2256" s="30">
        <v>125274</v>
      </c>
      <c r="J2256" s="30">
        <v>124596</v>
      </c>
      <c r="K2256" s="30">
        <v>123708</v>
      </c>
      <c r="L2256" s="30">
        <v>123147</v>
      </c>
      <c r="M2256" s="30">
        <v>122503</v>
      </c>
      <c r="N2256" s="30">
        <v>121829</v>
      </c>
      <c r="O2256" s="24" t="str">
        <f t="shared" si="71"/>
        <v>Blair County, Pennsylvania</v>
      </c>
    </row>
    <row r="2257" spans="1:15" x14ac:dyDescent="0.25">
      <c r="A2257" s="35" t="s">
        <v>2732</v>
      </c>
      <c r="B2257" s="28" t="str">
        <f t="shared" si="70"/>
        <v>Bradford</v>
      </c>
      <c r="C2257" s="30">
        <v>62622</v>
      </c>
      <c r="D2257" s="30">
        <v>62700</v>
      </c>
      <c r="E2257" s="30">
        <v>62731</v>
      </c>
      <c r="F2257" s="30">
        <v>63109</v>
      </c>
      <c r="G2257" s="30">
        <v>63000</v>
      </c>
      <c r="H2257" s="30">
        <v>62510</v>
      </c>
      <c r="I2257" s="30">
        <v>61947</v>
      </c>
      <c r="J2257" s="30">
        <v>61644</v>
      </c>
      <c r="K2257" s="30">
        <v>61092</v>
      </c>
      <c r="L2257" s="30">
        <v>60963</v>
      </c>
      <c r="M2257" s="30">
        <v>60794</v>
      </c>
      <c r="N2257" s="30">
        <v>60323</v>
      </c>
      <c r="O2257" s="24" t="str">
        <f t="shared" si="71"/>
        <v>Bradford County, Pennsylvania</v>
      </c>
    </row>
    <row r="2258" spans="1:15" x14ac:dyDescent="0.25">
      <c r="A2258" s="35" t="s">
        <v>2733</v>
      </c>
      <c r="B2258" s="28" t="str">
        <f t="shared" si="70"/>
        <v>Bucks</v>
      </c>
      <c r="C2258" s="30">
        <v>625249</v>
      </c>
      <c r="D2258" s="30">
        <v>625256</v>
      </c>
      <c r="E2258" s="30">
        <v>625385</v>
      </c>
      <c r="F2258" s="30">
        <v>625938</v>
      </c>
      <c r="G2258" s="30">
        <v>625346</v>
      </c>
      <c r="H2258" s="30">
        <v>625012</v>
      </c>
      <c r="I2258" s="30">
        <v>625253</v>
      </c>
      <c r="J2258" s="30">
        <v>625276</v>
      </c>
      <c r="K2258" s="30">
        <v>625861</v>
      </c>
      <c r="L2258" s="30">
        <v>626811</v>
      </c>
      <c r="M2258" s="30">
        <v>627812</v>
      </c>
      <c r="N2258" s="30">
        <v>628270</v>
      </c>
      <c r="O2258" s="24" t="str">
        <f t="shared" si="71"/>
        <v>Bucks County, Pennsylvania</v>
      </c>
    </row>
    <row r="2259" spans="1:15" x14ac:dyDescent="0.25">
      <c r="A2259" s="35" t="s">
        <v>2734</v>
      </c>
      <c r="B2259" s="28" t="str">
        <f t="shared" si="70"/>
        <v>Butler</v>
      </c>
      <c r="C2259" s="30">
        <v>183862</v>
      </c>
      <c r="D2259" s="30">
        <v>183880</v>
      </c>
      <c r="E2259" s="30">
        <v>184115</v>
      </c>
      <c r="F2259" s="30">
        <v>184687</v>
      </c>
      <c r="G2259" s="30">
        <v>184929</v>
      </c>
      <c r="H2259" s="30">
        <v>185103</v>
      </c>
      <c r="I2259" s="30">
        <v>185778</v>
      </c>
      <c r="J2259" s="30">
        <v>185936</v>
      </c>
      <c r="K2259" s="30">
        <v>186240</v>
      </c>
      <c r="L2259" s="30">
        <v>186828</v>
      </c>
      <c r="M2259" s="30">
        <v>187638</v>
      </c>
      <c r="N2259" s="30">
        <v>187853</v>
      </c>
      <c r="O2259" s="24" t="str">
        <f t="shared" si="71"/>
        <v>Butler County, Pennsylvania</v>
      </c>
    </row>
    <row r="2260" spans="1:15" x14ac:dyDescent="0.25">
      <c r="A2260" s="35" t="s">
        <v>2735</v>
      </c>
      <c r="B2260" s="28" t="str">
        <f t="shared" si="70"/>
        <v>Cambria</v>
      </c>
      <c r="C2260" s="30">
        <v>143679</v>
      </c>
      <c r="D2260" s="30">
        <v>143695</v>
      </c>
      <c r="E2260" s="30">
        <v>143461</v>
      </c>
      <c r="F2260" s="30">
        <v>142579</v>
      </c>
      <c r="G2260" s="30">
        <v>141536</v>
      </c>
      <c r="H2260" s="30">
        <v>138826</v>
      </c>
      <c r="I2260" s="30">
        <v>137537</v>
      </c>
      <c r="J2260" s="30">
        <v>136028</v>
      </c>
      <c r="K2260" s="30">
        <v>134414</v>
      </c>
      <c r="L2260" s="30">
        <v>132960</v>
      </c>
      <c r="M2260" s="30">
        <v>131449</v>
      </c>
      <c r="N2260" s="30">
        <v>130192</v>
      </c>
      <c r="O2260" s="24" t="str">
        <f t="shared" si="71"/>
        <v>Cambria County, Pennsylvania</v>
      </c>
    </row>
    <row r="2261" spans="1:15" x14ac:dyDescent="0.25">
      <c r="A2261" s="35" t="s">
        <v>2736</v>
      </c>
      <c r="B2261" s="28" t="str">
        <f t="shared" si="70"/>
        <v>Cameron</v>
      </c>
      <c r="C2261" s="30">
        <v>5085</v>
      </c>
      <c r="D2261" s="30">
        <v>5085</v>
      </c>
      <c r="E2261" s="30">
        <v>5081</v>
      </c>
      <c r="F2261" s="30">
        <v>5013</v>
      </c>
      <c r="G2261" s="30">
        <v>4974</v>
      </c>
      <c r="H2261" s="30">
        <v>4927</v>
      </c>
      <c r="I2261" s="30">
        <v>4831</v>
      </c>
      <c r="J2261" s="30">
        <v>4776</v>
      </c>
      <c r="K2261" s="30">
        <v>4710</v>
      </c>
      <c r="L2261" s="30">
        <v>4619</v>
      </c>
      <c r="M2261" s="30">
        <v>4501</v>
      </c>
      <c r="N2261" s="30">
        <v>4447</v>
      </c>
      <c r="O2261" s="24" t="str">
        <f t="shared" si="71"/>
        <v>Cameron County, Pennsylvania</v>
      </c>
    </row>
    <row r="2262" spans="1:15" x14ac:dyDescent="0.25">
      <c r="A2262" s="35" t="s">
        <v>2737</v>
      </c>
      <c r="B2262" s="28" t="str">
        <f t="shared" si="70"/>
        <v>Carbon</v>
      </c>
      <c r="C2262" s="30">
        <v>65249</v>
      </c>
      <c r="D2262" s="30">
        <v>65244</v>
      </c>
      <c r="E2262" s="30">
        <v>65248</v>
      </c>
      <c r="F2262" s="30">
        <v>65086</v>
      </c>
      <c r="G2262" s="30">
        <v>64800</v>
      </c>
      <c r="H2262" s="30">
        <v>64538</v>
      </c>
      <c r="I2262" s="30">
        <v>64255</v>
      </c>
      <c r="J2262" s="30">
        <v>63753</v>
      </c>
      <c r="K2262" s="30">
        <v>63499</v>
      </c>
      <c r="L2262" s="30">
        <v>63828</v>
      </c>
      <c r="M2262" s="30">
        <v>64175</v>
      </c>
      <c r="N2262" s="30">
        <v>64182</v>
      </c>
      <c r="O2262" s="24" t="str">
        <f t="shared" si="71"/>
        <v>Carbon County, Pennsylvania</v>
      </c>
    </row>
    <row r="2263" spans="1:15" x14ac:dyDescent="0.25">
      <c r="A2263" s="35" t="s">
        <v>2738</v>
      </c>
      <c r="B2263" s="28" t="str">
        <f t="shared" si="70"/>
        <v>Centre</v>
      </c>
      <c r="C2263" s="30">
        <v>153990</v>
      </c>
      <c r="D2263" s="30">
        <v>154005</v>
      </c>
      <c r="E2263" s="30">
        <v>154230</v>
      </c>
      <c r="F2263" s="30">
        <v>155067</v>
      </c>
      <c r="G2263" s="30">
        <v>155826</v>
      </c>
      <c r="H2263" s="30">
        <v>158231</v>
      </c>
      <c r="I2263" s="30">
        <v>159653</v>
      </c>
      <c r="J2263" s="30">
        <v>160466</v>
      </c>
      <c r="K2263" s="30">
        <v>162034</v>
      </c>
      <c r="L2263" s="30">
        <v>162316</v>
      </c>
      <c r="M2263" s="30">
        <v>162601</v>
      </c>
      <c r="N2263" s="30">
        <v>162385</v>
      </c>
      <c r="O2263" s="24" t="str">
        <f t="shared" si="71"/>
        <v>Centre County, Pennsylvania</v>
      </c>
    </row>
    <row r="2264" spans="1:15" x14ac:dyDescent="0.25">
      <c r="A2264" s="35" t="s">
        <v>2739</v>
      </c>
      <c r="B2264" s="28" t="str">
        <f t="shared" si="70"/>
        <v>Chester</v>
      </c>
      <c r="C2264" s="30">
        <v>498886</v>
      </c>
      <c r="D2264" s="30">
        <v>499133</v>
      </c>
      <c r="E2264" s="30">
        <v>499925</v>
      </c>
      <c r="F2264" s="30">
        <v>503462</v>
      </c>
      <c r="G2264" s="30">
        <v>506089</v>
      </c>
      <c r="H2264" s="30">
        <v>509105</v>
      </c>
      <c r="I2264" s="30">
        <v>512770</v>
      </c>
      <c r="J2264" s="30">
        <v>515055</v>
      </c>
      <c r="K2264" s="30">
        <v>516767</v>
      </c>
      <c r="L2264" s="30">
        <v>518901</v>
      </c>
      <c r="M2264" s="30">
        <v>522086</v>
      </c>
      <c r="N2264" s="30">
        <v>524989</v>
      </c>
      <c r="O2264" s="24" t="str">
        <f t="shared" si="71"/>
        <v>Chester County, Pennsylvania</v>
      </c>
    </row>
    <row r="2265" spans="1:15" x14ac:dyDescent="0.25">
      <c r="A2265" s="35" t="s">
        <v>2740</v>
      </c>
      <c r="B2265" s="28" t="str">
        <f t="shared" si="70"/>
        <v>Clarion</v>
      </c>
      <c r="C2265" s="30">
        <v>39988</v>
      </c>
      <c r="D2265" s="30">
        <v>39988</v>
      </c>
      <c r="E2265" s="30">
        <v>39923</v>
      </c>
      <c r="F2265" s="30">
        <v>39898</v>
      </c>
      <c r="G2265" s="30">
        <v>39461</v>
      </c>
      <c r="H2265" s="30">
        <v>39074</v>
      </c>
      <c r="I2265" s="30">
        <v>38911</v>
      </c>
      <c r="J2265" s="30">
        <v>38876</v>
      </c>
      <c r="K2265" s="30">
        <v>38590</v>
      </c>
      <c r="L2265" s="30">
        <v>38998</v>
      </c>
      <c r="M2265" s="30">
        <v>38672</v>
      </c>
      <c r="N2265" s="30">
        <v>38438</v>
      </c>
      <c r="O2265" s="24" t="str">
        <f t="shared" si="71"/>
        <v>Clarion County, Pennsylvania</v>
      </c>
    </row>
    <row r="2266" spans="1:15" x14ac:dyDescent="0.25">
      <c r="A2266" s="35" t="s">
        <v>2741</v>
      </c>
      <c r="B2266" s="28" t="str">
        <f t="shared" si="70"/>
        <v>Clearfield</v>
      </c>
      <c r="C2266" s="30">
        <v>81642</v>
      </c>
      <c r="D2266" s="30">
        <v>81609</v>
      </c>
      <c r="E2266" s="30">
        <v>81545</v>
      </c>
      <c r="F2266" s="30">
        <v>81433</v>
      </c>
      <c r="G2266" s="30">
        <v>81401</v>
      </c>
      <c r="H2266" s="30">
        <v>81428</v>
      </c>
      <c r="I2266" s="30">
        <v>81006</v>
      </c>
      <c r="J2266" s="30">
        <v>80718</v>
      </c>
      <c r="K2266" s="30">
        <v>80196</v>
      </c>
      <c r="L2266" s="30">
        <v>79799</v>
      </c>
      <c r="M2266" s="30">
        <v>79572</v>
      </c>
      <c r="N2266" s="30">
        <v>79255</v>
      </c>
      <c r="O2266" s="24" t="str">
        <f t="shared" si="71"/>
        <v>Clearfield County, Pennsylvania</v>
      </c>
    </row>
    <row r="2267" spans="1:15" x14ac:dyDescent="0.25">
      <c r="A2267" s="35" t="s">
        <v>2742</v>
      </c>
      <c r="B2267" s="28" t="str">
        <f t="shared" si="70"/>
        <v>Clinton</v>
      </c>
      <c r="C2267" s="30">
        <v>39238</v>
      </c>
      <c r="D2267" s="30">
        <v>39253</v>
      </c>
      <c r="E2267" s="30">
        <v>39263</v>
      </c>
      <c r="F2267" s="30">
        <v>39511</v>
      </c>
      <c r="G2267" s="30">
        <v>39734</v>
      </c>
      <c r="H2267" s="30">
        <v>39831</v>
      </c>
      <c r="I2267" s="30">
        <v>39486</v>
      </c>
      <c r="J2267" s="30">
        <v>39400</v>
      </c>
      <c r="K2267" s="30">
        <v>39017</v>
      </c>
      <c r="L2267" s="30">
        <v>38830</v>
      </c>
      <c r="M2267" s="30">
        <v>38696</v>
      </c>
      <c r="N2267" s="30">
        <v>38632</v>
      </c>
      <c r="O2267" s="24" t="str">
        <f t="shared" si="71"/>
        <v>Clinton County, Pennsylvania</v>
      </c>
    </row>
    <row r="2268" spans="1:15" x14ac:dyDescent="0.25">
      <c r="A2268" s="35" t="s">
        <v>2743</v>
      </c>
      <c r="B2268" s="28" t="str">
        <f t="shared" si="70"/>
        <v>Columbia</v>
      </c>
      <c r="C2268" s="30">
        <v>67295</v>
      </c>
      <c r="D2268" s="30">
        <v>67299</v>
      </c>
      <c r="E2268" s="30">
        <v>67356</v>
      </c>
      <c r="F2268" s="30">
        <v>67082</v>
      </c>
      <c r="G2268" s="30">
        <v>67039</v>
      </c>
      <c r="H2268" s="30">
        <v>67193</v>
      </c>
      <c r="I2268" s="30">
        <v>67119</v>
      </c>
      <c r="J2268" s="30">
        <v>66681</v>
      </c>
      <c r="K2268" s="30">
        <v>66133</v>
      </c>
      <c r="L2268" s="30">
        <v>65581</v>
      </c>
      <c r="M2268" s="30">
        <v>65215</v>
      </c>
      <c r="N2268" s="30">
        <v>64964</v>
      </c>
      <c r="O2268" s="24" t="str">
        <f t="shared" si="71"/>
        <v>Columbia County, Pennsylvania</v>
      </c>
    </row>
    <row r="2269" spans="1:15" x14ac:dyDescent="0.25">
      <c r="A2269" s="35" t="s">
        <v>2744</v>
      </c>
      <c r="B2269" s="28" t="str">
        <f t="shared" si="70"/>
        <v>Crawford</v>
      </c>
      <c r="C2269" s="30">
        <v>88765</v>
      </c>
      <c r="D2269" s="30">
        <v>88750</v>
      </c>
      <c r="E2269" s="30">
        <v>88614</v>
      </c>
      <c r="F2269" s="30">
        <v>88167</v>
      </c>
      <c r="G2269" s="30">
        <v>87730</v>
      </c>
      <c r="H2269" s="30">
        <v>87508</v>
      </c>
      <c r="I2269" s="30">
        <v>87154</v>
      </c>
      <c r="J2269" s="30">
        <v>86510</v>
      </c>
      <c r="K2269" s="30">
        <v>86306</v>
      </c>
      <c r="L2269" s="30">
        <v>85772</v>
      </c>
      <c r="M2269" s="30">
        <v>85110</v>
      </c>
      <c r="N2269" s="30">
        <v>84629</v>
      </c>
      <c r="O2269" s="24" t="str">
        <f t="shared" si="71"/>
        <v>Crawford County, Pennsylvania</v>
      </c>
    </row>
    <row r="2270" spans="1:15" x14ac:dyDescent="0.25">
      <c r="A2270" s="35" t="s">
        <v>2745</v>
      </c>
      <c r="B2270" s="28" t="str">
        <f t="shared" si="70"/>
        <v>Cumberland</v>
      </c>
      <c r="C2270" s="30">
        <v>235406</v>
      </c>
      <c r="D2270" s="30">
        <v>235387</v>
      </c>
      <c r="E2270" s="30">
        <v>235886</v>
      </c>
      <c r="F2270" s="30">
        <v>237107</v>
      </c>
      <c r="G2270" s="30">
        <v>239244</v>
      </c>
      <c r="H2270" s="30">
        <v>241059</v>
      </c>
      <c r="I2270" s="30">
        <v>243280</v>
      </c>
      <c r="J2270" s="30">
        <v>245744</v>
      </c>
      <c r="K2270" s="30">
        <v>247369</v>
      </c>
      <c r="L2270" s="30">
        <v>249024</v>
      </c>
      <c r="M2270" s="30">
        <v>251131</v>
      </c>
      <c r="N2270" s="30">
        <v>253370</v>
      </c>
      <c r="O2270" s="24" t="str">
        <f t="shared" si="71"/>
        <v>Cumberland County, Pennsylvania</v>
      </c>
    </row>
    <row r="2271" spans="1:15" x14ac:dyDescent="0.25">
      <c r="A2271" s="35" t="s">
        <v>2746</v>
      </c>
      <c r="B2271" s="28" t="str">
        <f t="shared" si="70"/>
        <v>Dauphin</v>
      </c>
      <c r="C2271" s="30">
        <v>268100</v>
      </c>
      <c r="D2271" s="30">
        <v>268126</v>
      </c>
      <c r="E2271" s="30">
        <v>268281</v>
      </c>
      <c r="F2271" s="30">
        <v>269249</v>
      </c>
      <c r="G2271" s="30">
        <v>270005</v>
      </c>
      <c r="H2271" s="30">
        <v>271431</v>
      </c>
      <c r="I2271" s="30">
        <v>272223</v>
      </c>
      <c r="J2271" s="30">
        <v>273085</v>
      </c>
      <c r="K2271" s="30">
        <v>274196</v>
      </c>
      <c r="L2271" s="30">
        <v>275714</v>
      </c>
      <c r="M2271" s="30">
        <v>276864</v>
      </c>
      <c r="N2271" s="30">
        <v>278299</v>
      </c>
      <c r="O2271" s="24" t="str">
        <f t="shared" si="71"/>
        <v>Dauphin County, Pennsylvania</v>
      </c>
    </row>
    <row r="2272" spans="1:15" x14ac:dyDescent="0.25">
      <c r="A2272" s="35" t="s">
        <v>2747</v>
      </c>
      <c r="B2272" s="28" t="str">
        <f t="shared" si="70"/>
        <v>Delaware</v>
      </c>
      <c r="C2272" s="30">
        <v>558979</v>
      </c>
      <c r="D2272" s="30">
        <v>558757</v>
      </c>
      <c r="E2272" s="30">
        <v>558981</v>
      </c>
      <c r="F2272" s="30">
        <v>559275</v>
      </c>
      <c r="G2272" s="30">
        <v>560761</v>
      </c>
      <c r="H2272" s="30">
        <v>561499</v>
      </c>
      <c r="I2272" s="30">
        <v>562696</v>
      </c>
      <c r="J2272" s="30">
        <v>563225</v>
      </c>
      <c r="K2272" s="30">
        <v>563708</v>
      </c>
      <c r="L2272" s="30">
        <v>563858</v>
      </c>
      <c r="M2272" s="30">
        <v>565231</v>
      </c>
      <c r="N2272" s="30">
        <v>566747</v>
      </c>
      <c r="O2272" s="24" t="str">
        <f t="shared" si="71"/>
        <v>Delaware County, Pennsylvania</v>
      </c>
    </row>
    <row r="2273" spans="1:15" x14ac:dyDescent="0.25">
      <c r="A2273" s="35" t="s">
        <v>2748</v>
      </c>
      <c r="B2273" s="28" t="str">
        <f t="shared" si="70"/>
        <v>Elk</v>
      </c>
      <c r="C2273" s="30">
        <v>31946</v>
      </c>
      <c r="D2273" s="30">
        <v>31946</v>
      </c>
      <c r="E2273" s="30">
        <v>31861</v>
      </c>
      <c r="F2273" s="30">
        <v>31799</v>
      </c>
      <c r="G2273" s="30">
        <v>31618</v>
      </c>
      <c r="H2273" s="30">
        <v>31461</v>
      </c>
      <c r="I2273" s="30">
        <v>31187</v>
      </c>
      <c r="J2273" s="30">
        <v>30897</v>
      </c>
      <c r="K2273" s="30">
        <v>30512</v>
      </c>
      <c r="L2273" s="30">
        <v>30271</v>
      </c>
      <c r="M2273" s="30">
        <v>30110</v>
      </c>
      <c r="N2273" s="30">
        <v>29910</v>
      </c>
      <c r="O2273" s="24" t="str">
        <f t="shared" si="71"/>
        <v>Elk County, Pennsylvania</v>
      </c>
    </row>
    <row r="2274" spans="1:15" x14ac:dyDescent="0.25">
      <c r="A2274" s="35" t="s">
        <v>2749</v>
      </c>
      <c r="B2274" s="28" t="str">
        <f t="shared" si="70"/>
        <v>Erie</v>
      </c>
      <c r="C2274" s="30">
        <v>280566</v>
      </c>
      <c r="D2274" s="30">
        <v>280584</v>
      </c>
      <c r="E2274" s="30">
        <v>280799</v>
      </c>
      <c r="F2274" s="30">
        <v>281327</v>
      </c>
      <c r="G2274" s="30">
        <v>281532</v>
      </c>
      <c r="H2274" s="30">
        <v>280717</v>
      </c>
      <c r="I2274" s="30">
        <v>279423</v>
      </c>
      <c r="J2274" s="30">
        <v>278174</v>
      </c>
      <c r="K2274" s="30">
        <v>276170</v>
      </c>
      <c r="L2274" s="30">
        <v>273558</v>
      </c>
      <c r="M2274" s="30">
        <v>271544</v>
      </c>
      <c r="N2274" s="30">
        <v>269728</v>
      </c>
      <c r="O2274" s="24" t="str">
        <f t="shared" si="71"/>
        <v>Erie County, Pennsylvania</v>
      </c>
    </row>
    <row r="2275" spans="1:15" x14ac:dyDescent="0.25">
      <c r="A2275" s="35" t="s">
        <v>2750</v>
      </c>
      <c r="B2275" s="28" t="str">
        <f t="shared" si="70"/>
        <v>Fayette</v>
      </c>
      <c r="C2275" s="30">
        <v>136606</v>
      </c>
      <c r="D2275" s="30">
        <v>136601</v>
      </c>
      <c r="E2275" s="30">
        <v>136441</v>
      </c>
      <c r="F2275" s="30">
        <v>136015</v>
      </c>
      <c r="G2275" s="30">
        <v>135288</v>
      </c>
      <c r="H2275" s="30">
        <v>134601</v>
      </c>
      <c r="I2275" s="30">
        <v>133999</v>
      </c>
      <c r="J2275" s="30">
        <v>133252</v>
      </c>
      <c r="K2275" s="30">
        <v>132350</v>
      </c>
      <c r="L2275" s="30">
        <v>131309</v>
      </c>
      <c r="M2275" s="30">
        <v>130323</v>
      </c>
      <c r="N2275" s="30">
        <v>129274</v>
      </c>
      <c r="O2275" s="24" t="str">
        <f t="shared" si="71"/>
        <v>Fayette County, Pennsylvania</v>
      </c>
    </row>
    <row r="2276" spans="1:15" x14ac:dyDescent="0.25">
      <c r="A2276" s="35" t="s">
        <v>2751</v>
      </c>
      <c r="B2276" s="28" t="str">
        <f t="shared" si="70"/>
        <v>Forest</v>
      </c>
      <c r="C2276" s="30">
        <v>7716</v>
      </c>
      <c r="D2276" s="30">
        <v>7709</v>
      </c>
      <c r="E2276" s="30">
        <v>7706</v>
      </c>
      <c r="F2276" s="30">
        <v>7675</v>
      </c>
      <c r="G2276" s="30">
        <v>7591</v>
      </c>
      <c r="H2276" s="30">
        <v>7544</v>
      </c>
      <c r="I2276" s="30">
        <v>7467</v>
      </c>
      <c r="J2276" s="30">
        <v>7381</v>
      </c>
      <c r="K2276" s="30">
        <v>7334</v>
      </c>
      <c r="L2276" s="30">
        <v>7317</v>
      </c>
      <c r="M2276" s="30">
        <v>7284</v>
      </c>
      <c r="N2276" s="30">
        <v>7247</v>
      </c>
      <c r="O2276" s="24" t="str">
        <f t="shared" si="71"/>
        <v>Forest County, Pennsylvania</v>
      </c>
    </row>
    <row r="2277" spans="1:15" x14ac:dyDescent="0.25">
      <c r="A2277" s="35" t="s">
        <v>2752</v>
      </c>
      <c r="B2277" s="28" t="str">
        <f t="shared" si="70"/>
        <v>Franklin</v>
      </c>
      <c r="C2277" s="30">
        <v>149618</v>
      </c>
      <c r="D2277" s="30">
        <v>149631</v>
      </c>
      <c r="E2277" s="30">
        <v>149925</v>
      </c>
      <c r="F2277" s="30">
        <v>150934</v>
      </c>
      <c r="G2277" s="30">
        <v>151482</v>
      </c>
      <c r="H2277" s="30">
        <v>151945</v>
      </c>
      <c r="I2277" s="30">
        <v>152607</v>
      </c>
      <c r="J2277" s="30">
        <v>153048</v>
      </c>
      <c r="K2277" s="30">
        <v>153705</v>
      </c>
      <c r="L2277" s="30">
        <v>154376</v>
      </c>
      <c r="M2277" s="30">
        <v>154579</v>
      </c>
      <c r="N2277" s="30">
        <v>155027</v>
      </c>
      <c r="O2277" s="24" t="str">
        <f t="shared" si="71"/>
        <v>Franklin County, Pennsylvania</v>
      </c>
    </row>
    <row r="2278" spans="1:15" x14ac:dyDescent="0.25">
      <c r="A2278" s="35" t="s">
        <v>2753</v>
      </c>
      <c r="B2278" s="28" t="str">
        <f t="shared" si="70"/>
        <v>Fulton</v>
      </c>
      <c r="C2278" s="30">
        <v>14845</v>
      </c>
      <c r="D2278" s="30">
        <v>14844</v>
      </c>
      <c r="E2278" s="30">
        <v>14862</v>
      </c>
      <c r="F2278" s="30">
        <v>14739</v>
      </c>
      <c r="G2278" s="30">
        <v>14702</v>
      </c>
      <c r="H2278" s="30">
        <v>14620</v>
      </c>
      <c r="I2278" s="30">
        <v>14535</v>
      </c>
      <c r="J2278" s="30">
        <v>14509</v>
      </c>
      <c r="K2278" s="30">
        <v>14497</v>
      </c>
      <c r="L2278" s="30">
        <v>14469</v>
      </c>
      <c r="M2278" s="30">
        <v>14525</v>
      </c>
      <c r="N2278" s="30">
        <v>14530</v>
      </c>
      <c r="O2278" s="24" t="str">
        <f t="shared" si="71"/>
        <v>Fulton County, Pennsylvania</v>
      </c>
    </row>
    <row r="2279" spans="1:15" x14ac:dyDescent="0.25">
      <c r="A2279" s="35" t="s">
        <v>2754</v>
      </c>
      <c r="B2279" s="28" t="str">
        <f t="shared" si="70"/>
        <v>Greene</v>
      </c>
      <c r="C2279" s="30">
        <v>38686</v>
      </c>
      <c r="D2279" s="30">
        <v>38685</v>
      </c>
      <c r="E2279" s="30">
        <v>38607</v>
      </c>
      <c r="F2279" s="30">
        <v>38363</v>
      </c>
      <c r="G2279" s="30">
        <v>38026</v>
      </c>
      <c r="H2279" s="30">
        <v>37856</v>
      </c>
      <c r="I2279" s="30">
        <v>37755</v>
      </c>
      <c r="J2279" s="30">
        <v>37402</v>
      </c>
      <c r="K2279" s="30">
        <v>37209</v>
      </c>
      <c r="L2279" s="30">
        <v>36846</v>
      </c>
      <c r="M2279" s="30">
        <v>36661</v>
      </c>
      <c r="N2279" s="30">
        <v>36233</v>
      </c>
      <c r="O2279" s="24" t="str">
        <f t="shared" si="71"/>
        <v>Greene County, Pennsylvania</v>
      </c>
    </row>
    <row r="2280" spans="1:15" x14ac:dyDescent="0.25">
      <c r="A2280" s="35" t="s">
        <v>2755</v>
      </c>
      <c r="B2280" s="28" t="str">
        <f t="shared" si="70"/>
        <v>Huntingdon</v>
      </c>
      <c r="C2280" s="30">
        <v>45913</v>
      </c>
      <c r="D2280" s="30">
        <v>46000</v>
      </c>
      <c r="E2280" s="30">
        <v>45994</v>
      </c>
      <c r="F2280" s="30">
        <v>46006</v>
      </c>
      <c r="G2280" s="30">
        <v>45938</v>
      </c>
      <c r="H2280" s="30">
        <v>45840</v>
      </c>
      <c r="I2280" s="30">
        <v>45736</v>
      </c>
      <c r="J2280" s="30">
        <v>45499</v>
      </c>
      <c r="K2280" s="30">
        <v>45380</v>
      </c>
      <c r="L2280" s="30">
        <v>45429</v>
      </c>
      <c r="M2280" s="30">
        <v>45395</v>
      </c>
      <c r="N2280" s="30">
        <v>45144</v>
      </c>
      <c r="O2280" s="24" t="str">
        <f t="shared" si="71"/>
        <v>Huntingdon County, Pennsylvania</v>
      </c>
    </row>
    <row r="2281" spans="1:15" x14ac:dyDescent="0.25">
      <c r="A2281" s="35" t="s">
        <v>2756</v>
      </c>
      <c r="B2281" s="28" t="str">
        <f t="shared" si="70"/>
        <v>Indiana</v>
      </c>
      <c r="C2281" s="30">
        <v>88880</v>
      </c>
      <c r="D2281" s="30">
        <v>88885</v>
      </c>
      <c r="E2281" s="30">
        <v>88862</v>
      </c>
      <c r="F2281" s="30">
        <v>88626</v>
      </c>
      <c r="G2281" s="30">
        <v>88216</v>
      </c>
      <c r="H2281" s="30">
        <v>88140</v>
      </c>
      <c r="I2281" s="30">
        <v>87417</v>
      </c>
      <c r="J2281" s="30">
        <v>86747</v>
      </c>
      <c r="K2281" s="30">
        <v>85155</v>
      </c>
      <c r="L2281" s="30">
        <v>84743</v>
      </c>
      <c r="M2281" s="30">
        <v>84441</v>
      </c>
      <c r="N2281" s="30">
        <v>84073</v>
      </c>
      <c r="O2281" s="24" t="str">
        <f t="shared" si="71"/>
        <v>Indiana County, Pennsylvania</v>
      </c>
    </row>
    <row r="2282" spans="1:15" x14ac:dyDescent="0.25">
      <c r="A2282" s="35" t="s">
        <v>2757</v>
      </c>
      <c r="B2282" s="28" t="str">
        <f t="shared" si="70"/>
        <v>Jefferson</v>
      </c>
      <c r="C2282" s="30">
        <v>45200</v>
      </c>
      <c r="D2282" s="30">
        <v>45189</v>
      </c>
      <c r="E2282" s="30">
        <v>45163</v>
      </c>
      <c r="F2282" s="30">
        <v>44921</v>
      </c>
      <c r="G2282" s="30">
        <v>44806</v>
      </c>
      <c r="H2282" s="30">
        <v>44880</v>
      </c>
      <c r="I2282" s="30">
        <v>44572</v>
      </c>
      <c r="J2282" s="30">
        <v>44344</v>
      </c>
      <c r="K2282" s="30">
        <v>44031</v>
      </c>
      <c r="L2282" s="30">
        <v>43818</v>
      </c>
      <c r="M2282" s="30">
        <v>43614</v>
      </c>
      <c r="N2282" s="30">
        <v>43425</v>
      </c>
      <c r="O2282" s="24" t="str">
        <f t="shared" si="71"/>
        <v>Jefferson County, Pennsylvania</v>
      </c>
    </row>
    <row r="2283" spans="1:15" x14ac:dyDescent="0.25">
      <c r="A2283" s="35" t="s">
        <v>2758</v>
      </c>
      <c r="B2283" s="28" t="str">
        <f t="shared" si="70"/>
        <v>Juniata</v>
      </c>
      <c r="C2283" s="30">
        <v>24636</v>
      </c>
      <c r="D2283" s="30">
        <v>24637</v>
      </c>
      <c r="E2283" s="30">
        <v>24626</v>
      </c>
      <c r="F2283" s="30">
        <v>24713</v>
      </c>
      <c r="G2283" s="30">
        <v>24613</v>
      </c>
      <c r="H2283" s="30">
        <v>24480</v>
      </c>
      <c r="I2283" s="30">
        <v>24486</v>
      </c>
      <c r="J2283" s="30">
        <v>24445</v>
      </c>
      <c r="K2283" s="30">
        <v>24559</v>
      </c>
      <c r="L2283" s="30">
        <v>24635</v>
      </c>
      <c r="M2283" s="30">
        <v>24718</v>
      </c>
      <c r="N2283" s="30">
        <v>24763</v>
      </c>
      <c r="O2283" s="24" t="str">
        <f t="shared" si="71"/>
        <v>Juniata County, Pennsylvania</v>
      </c>
    </row>
    <row r="2284" spans="1:15" x14ac:dyDescent="0.25">
      <c r="A2284" s="35" t="s">
        <v>2759</v>
      </c>
      <c r="B2284" s="28" t="str">
        <f t="shared" si="70"/>
        <v>Lackawanna</v>
      </c>
      <c r="C2284" s="30">
        <v>214437</v>
      </c>
      <c r="D2284" s="30">
        <v>214415</v>
      </c>
      <c r="E2284" s="30">
        <v>214501</v>
      </c>
      <c r="F2284" s="30">
        <v>214361</v>
      </c>
      <c r="G2284" s="30">
        <v>214176</v>
      </c>
      <c r="H2284" s="30">
        <v>213725</v>
      </c>
      <c r="I2284" s="30">
        <v>212829</v>
      </c>
      <c r="J2284" s="30">
        <v>211863</v>
      </c>
      <c r="K2284" s="30">
        <v>211004</v>
      </c>
      <c r="L2284" s="30">
        <v>210451</v>
      </c>
      <c r="M2284" s="30">
        <v>210269</v>
      </c>
      <c r="N2284" s="30">
        <v>209674</v>
      </c>
      <c r="O2284" s="24" t="str">
        <f t="shared" si="71"/>
        <v>Lackawanna County, Pennsylvania</v>
      </c>
    </row>
    <row r="2285" spans="1:15" x14ac:dyDescent="0.25">
      <c r="A2285" s="35" t="s">
        <v>2760</v>
      </c>
      <c r="B2285" s="28" t="str">
        <f t="shared" si="70"/>
        <v>Lancaster</v>
      </c>
      <c r="C2285" s="30">
        <v>519445</v>
      </c>
      <c r="D2285" s="30">
        <v>519443</v>
      </c>
      <c r="E2285" s="30">
        <v>520319</v>
      </c>
      <c r="F2285" s="30">
        <v>523957</v>
      </c>
      <c r="G2285" s="30">
        <v>526878</v>
      </c>
      <c r="H2285" s="30">
        <v>530012</v>
      </c>
      <c r="I2285" s="30">
        <v>533289</v>
      </c>
      <c r="J2285" s="30">
        <v>535811</v>
      </c>
      <c r="K2285" s="30">
        <v>538160</v>
      </c>
      <c r="L2285" s="30">
        <v>541332</v>
      </c>
      <c r="M2285" s="30">
        <v>543969</v>
      </c>
      <c r="N2285" s="30">
        <v>545724</v>
      </c>
      <c r="O2285" s="24" t="str">
        <f t="shared" si="71"/>
        <v>Lancaster County, Pennsylvania</v>
      </c>
    </row>
    <row r="2286" spans="1:15" x14ac:dyDescent="0.25">
      <c r="A2286" s="35" t="s">
        <v>2761</v>
      </c>
      <c r="B2286" s="28" t="str">
        <f t="shared" si="70"/>
        <v>Lawrence</v>
      </c>
      <c r="C2286" s="30">
        <v>91108</v>
      </c>
      <c r="D2286" s="30">
        <v>91157</v>
      </c>
      <c r="E2286" s="30">
        <v>91018</v>
      </c>
      <c r="F2286" s="30">
        <v>90522</v>
      </c>
      <c r="G2286" s="30">
        <v>89883</v>
      </c>
      <c r="H2286" s="30">
        <v>89258</v>
      </c>
      <c r="I2286" s="30">
        <v>88644</v>
      </c>
      <c r="J2286" s="30">
        <v>88122</v>
      </c>
      <c r="K2286" s="30">
        <v>87325</v>
      </c>
      <c r="L2286" s="30">
        <v>86546</v>
      </c>
      <c r="M2286" s="30">
        <v>86128</v>
      </c>
      <c r="N2286" s="30">
        <v>85512</v>
      </c>
      <c r="O2286" s="24" t="str">
        <f t="shared" si="71"/>
        <v>Lawrence County, Pennsylvania</v>
      </c>
    </row>
    <row r="2287" spans="1:15" x14ac:dyDescent="0.25">
      <c r="A2287" s="35" t="s">
        <v>2762</v>
      </c>
      <c r="B2287" s="28" t="str">
        <f t="shared" si="70"/>
        <v>Lebanon</v>
      </c>
      <c r="C2287" s="30">
        <v>133568</v>
      </c>
      <c r="D2287" s="30">
        <v>133597</v>
      </c>
      <c r="E2287" s="30">
        <v>133664</v>
      </c>
      <c r="F2287" s="30">
        <v>134529</v>
      </c>
      <c r="G2287" s="30">
        <v>135545</v>
      </c>
      <c r="H2287" s="30">
        <v>135804</v>
      </c>
      <c r="I2287" s="30">
        <v>136538</v>
      </c>
      <c r="J2287" s="30">
        <v>137479</v>
      </c>
      <c r="K2287" s="30">
        <v>138480</v>
      </c>
      <c r="L2287" s="30">
        <v>139553</v>
      </c>
      <c r="M2287" s="30">
        <v>141339</v>
      </c>
      <c r="N2287" s="30">
        <v>141793</v>
      </c>
      <c r="O2287" s="24" t="str">
        <f t="shared" si="71"/>
        <v>Lebanon County, Pennsylvania</v>
      </c>
    </row>
    <row r="2288" spans="1:15" x14ac:dyDescent="0.25">
      <c r="A2288" s="35" t="s">
        <v>2763</v>
      </c>
      <c r="B2288" s="28" t="str">
        <f t="shared" si="70"/>
        <v>Lehigh</v>
      </c>
      <c r="C2288" s="30">
        <v>349497</v>
      </c>
      <c r="D2288" s="30">
        <v>349675</v>
      </c>
      <c r="E2288" s="30">
        <v>350164</v>
      </c>
      <c r="F2288" s="30">
        <v>353436</v>
      </c>
      <c r="G2288" s="30">
        <v>354759</v>
      </c>
      <c r="H2288" s="30">
        <v>355341</v>
      </c>
      <c r="I2288" s="30">
        <v>357636</v>
      </c>
      <c r="J2288" s="30">
        <v>359710</v>
      </c>
      <c r="K2288" s="30">
        <v>362298</v>
      </c>
      <c r="L2288" s="30">
        <v>365577</v>
      </c>
      <c r="M2288" s="30">
        <v>368359</v>
      </c>
      <c r="N2288" s="30">
        <v>369318</v>
      </c>
      <c r="O2288" s="24" t="str">
        <f t="shared" si="71"/>
        <v>Lehigh County, Pennsylvania</v>
      </c>
    </row>
    <row r="2289" spans="1:15" x14ac:dyDescent="0.25">
      <c r="A2289" s="35" t="s">
        <v>2764</v>
      </c>
      <c r="B2289" s="28" t="str">
        <f t="shared" si="70"/>
        <v>Luzerne</v>
      </c>
      <c r="C2289" s="30">
        <v>320918</v>
      </c>
      <c r="D2289" s="30">
        <v>320906</v>
      </c>
      <c r="E2289" s="30">
        <v>320998</v>
      </c>
      <c r="F2289" s="30">
        <v>321006</v>
      </c>
      <c r="G2289" s="30">
        <v>321147</v>
      </c>
      <c r="H2289" s="30">
        <v>319637</v>
      </c>
      <c r="I2289" s="30">
        <v>319150</v>
      </c>
      <c r="J2289" s="30">
        <v>318059</v>
      </c>
      <c r="K2289" s="30">
        <v>317172</v>
      </c>
      <c r="L2289" s="30">
        <v>317808</v>
      </c>
      <c r="M2289" s="30">
        <v>317859</v>
      </c>
      <c r="N2289" s="30">
        <v>317417</v>
      </c>
      <c r="O2289" s="24" t="str">
        <f t="shared" si="71"/>
        <v>Luzerne County, Pennsylvania</v>
      </c>
    </row>
    <row r="2290" spans="1:15" x14ac:dyDescent="0.25">
      <c r="A2290" s="35" t="s">
        <v>2765</v>
      </c>
      <c r="B2290" s="28" t="str">
        <f t="shared" si="70"/>
        <v>Lycoming</v>
      </c>
      <c r="C2290" s="30">
        <v>116111</v>
      </c>
      <c r="D2290" s="30">
        <v>116102</v>
      </c>
      <c r="E2290" s="30">
        <v>116225</v>
      </c>
      <c r="F2290" s="30">
        <v>116748</v>
      </c>
      <c r="G2290" s="30">
        <v>117222</v>
      </c>
      <c r="H2290" s="30">
        <v>116598</v>
      </c>
      <c r="I2290" s="30">
        <v>116290</v>
      </c>
      <c r="J2290" s="30">
        <v>115598</v>
      </c>
      <c r="K2290" s="30">
        <v>114876</v>
      </c>
      <c r="L2290" s="30">
        <v>114012</v>
      </c>
      <c r="M2290" s="30">
        <v>113866</v>
      </c>
      <c r="N2290" s="30">
        <v>113299</v>
      </c>
      <c r="O2290" s="24" t="str">
        <f t="shared" si="71"/>
        <v>Lycoming County, Pennsylvania</v>
      </c>
    </row>
    <row r="2291" spans="1:15" x14ac:dyDescent="0.25">
      <c r="A2291" s="35" t="s">
        <v>2766</v>
      </c>
      <c r="B2291" s="28" t="str">
        <f t="shared" si="70"/>
        <v>McKean</v>
      </c>
      <c r="C2291" s="30">
        <v>43450</v>
      </c>
      <c r="D2291" s="30">
        <v>43461</v>
      </c>
      <c r="E2291" s="30">
        <v>43345</v>
      </c>
      <c r="F2291" s="30">
        <v>43138</v>
      </c>
      <c r="G2291" s="30">
        <v>43145</v>
      </c>
      <c r="H2291" s="30">
        <v>42808</v>
      </c>
      <c r="I2291" s="30">
        <v>42643</v>
      </c>
      <c r="J2291" s="30">
        <v>42400</v>
      </c>
      <c r="K2291" s="30">
        <v>41670</v>
      </c>
      <c r="L2291" s="30">
        <v>41362</v>
      </c>
      <c r="M2291" s="30">
        <v>40950</v>
      </c>
      <c r="N2291" s="30">
        <v>40625</v>
      </c>
      <c r="O2291" s="24" t="str">
        <f t="shared" si="71"/>
        <v>McKean County, Pennsylvania</v>
      </c>
    </row>
    <row r="2292" spans="1:15" x14ac:dyDescent="0.25">
      <c r="A2292" s="35" t="s">
        <v>2767</v>
      </c>
      <c r="B2292" s="28" t="str">
        <f t="shared" si="70"/>
        <v>Mercer</v>
      </c>
      <c r="C2292" s="30">
        <v>116638</v>
      </c>
      <c r="D2292" s="30">
        <v>116663</v>
      </c>
      <c r="E2292" s="30">
        <v>116605</v>
      </c>
      <c r="F2292" s="30">
        <v>116150</v>
      </c>
      <c r="G2292" s="30">
        <v>115637</v>
      </c>
      <c r="H2292" s="30">
        <v>115129</v>
      </c>
      <c r="I2292" s="30">
        <v>114675</v>
      </c>
      <c r="J2292" s="30">
        <v>113624</v>
      </c>
      <c r="K2292" s="30">
        <v>112598</v>
      </c>
      <c r="L2292" s="30">
        <v>111473</v>
      </c>
      <c r="M2292" s="30">
        <v>110471</v>
      </c>
      <c r="N2292" s="30">
        <v>109424</v>
      </c>
      <c r="O2292" s="24" t="str">
        <f t="shared" si="71"/>
        <v>Mercer County, Pennsylvania</v>
      </c>
    </row>
    <row r="2293" spans="1:15" x14ac:dyDescent="0.25">
      <c r="A2293" s="35" t="s">
        <v>2768</v>
      </c>
      <c r="B2293" s="28" t="str">
        <f t="shared" si="70"/>
        <v>Mifflin</v>
      </c>
      <c r="C2293" s="30">
        <v>46682</v>
      </c>
      <c r="D2293" s="30">
        <v>46679</v>
      </c>
      <c r="E2293" s="30">
        <v>46641</v>
      </c>
      <c r="F2293" s="30">
        <v>46747</v>
      </c>
      <c r="G2293" s="30">
        <v>46754</v>
      </c>
      <c r="H2293" s="30">
        <v>46629</v>
      </c>
      <c r="I2293" s="30">
        <v>46490</v>
      </c>
      <c r="J2293" s="30">
        <v>46427</v>
      </c>
      <c r="K2293" s="30">
        <v>46316</v>
      </c>
      <c r="L2293" s="30">
        <v>46290</v>
      </c>
      <c r="M2293" s="30">
        <v>46211</v>
      </c>
      <c r="N2293" s="30">
        <v>46138</v>
      </c>
      <c r="O2293" s="24" t="str">
        <f t="shared" si="71"/>
        <v>Mifflin County, Pennsylvania</v>
      </c>
    </row>
    <row r="2294" spans="1:15" x14ac:dyDescent="0.25">
      <c r="A2294" s="35" t="s">
        <v>2769</v>
      </c>
      <c r="B2294" s="28" t="str">
        <f t="shared" si="70"/>
        <v>Monroe</v>
      </c>
      <c r="C2294" s="30">
        <v>169842</v>
      </c>
      <c r="D2294" s="30">
        <v>169841</v>
      </c>
      <c r="E2294" s="30">
        <v>169849</v>
      </c>
      <c r="F2294" s="30">
        <v>169891</v>
      </c>
      <c r="G2294" s="30">
        <v>168628</v>
      </c>
      <c r="H2294" s="30">
        <v>167355</v>
      </c>
      <c r="I2294" s="30">
        <v>167285</v>
      </c>
      <c r="J2294" s="30">
        <v>166481</v>
      </c>
      <c r="K2294" s="30">
        <v>166220</v>
      </c>
      <c r="L2294" s="30">
        <v>167895</v>
      </c>
      <c r="M2294" s="30">
        <v>169294</v>
      </c>
      <c r="N2294" s="30">
        <v>170271</v>
      </c>
      <c r="O2294" s="24" t="str">
        <f t="shared" si="71"/>
        <v>Monroe County, Pennsylvania</v>
      </c>
    </row>
    <row r="2295" spans="1:15" x14ac:dyDescent="0.25">
      <c r="A2295" s="35" t="s">
        <v>2770</v>
      </c>
      <c r="B2295" s="28" t="str">
        <f t="shared" si="70"/>
        <v>Montgomery</v>
      </c>
      <c r="C2295" s="30">
        <v>799874</v>
      </c>
      <c r="D2295" s="30">
        <v>799840</v>
      </c>
      <c r="E2295" s="30">
        <v>800874</v>
      </c>
      <c r="F2295" s="30">
        <v>805281</v>
      </c>
      <c r="G2295" s="30">
        <v>808672</v>
      </c>
      <c r="H2295" s="30">
        <v>812586</v>
      </c>
      <c r="I2295" s="30">
        <v>815753</v>
      </c>
      <c r="J2295" s="30">
        <v>817180</v>
      </c>
      <c r="K2295" s="30">
        <v>819791</v>
      </c>
      <c r="L2295" s="30">
        <v>824303</v>
      </c>
      <c r="M2295" s="30">
        <v>826924</v>
      </c>
      <c r="N2295" s="30">
        <v>830915</v>
      </c>
      <c r="O2295" s="24" t="str">
        <f t="shared" si="71"/>
        <v>Montgomery County, Pennsylvania</v>
      </c>
    </row>
    <row r="2296" spans="1:15" x14ac:dyDescent="0.25">
      <c r="A2296" s="35" t="s">
        <v>2771</v>
      </c>
      <c r="B2296" s="28" t="str">
        <f t="shared" si="70"/>
        <v>Montour</v>
      </c>
      <c r="C2296" s="30">
        <v>18267</v>
      </c>
      <c r="D2296" s="30">
        <v>18256</v>
      </c>
      <c r="E2296" s="30">
        <v>18301</v>
      </c>
      <c r="F2296" s="30">
        <v>18367</v>
      </c>
      <c r="G2296" s="30">
        <v>18433</v>
      </c>
      <c r="H2296" s="30">
        <v>18399</v>
      </c>
      <c r="I2296" s="30">
        <v>18419</v>
      </c>
      <c r="J2296" s="30">
        <v>18299</v>
      </c>
      <c r="K2296" s="30">
        <v>18257</v>
      </c>
      <c r="L2296" s="30">
        <v>18270</v>
      </c>
      <c r="M2296" s="30">
        <v>18240</v>
      </c>
      <c r="N2296" s="30">
        <v>18230</v>
      </c>
      <c r="O2296" s="24" t="str">
        <f t="shared" si="71"/>
        <v>Montour County, Pennsylvania</v>
      </c>
    </row>
    <row r="2297" spans="1:15" x14ac:dyDescent="0.25">
      <c r="A2297" s="35" t="s">
        <v>2772</v>
      </c>
      <c r="B2297" s="28" t="str">
        <f t="shared" si="70"/>
        <v>Northampton</v>
      </c>
      <c r="C2297" s="30">
        <v>297735</v>
      </c>
      <c r="D2297" s="30">
        <v>297712</v>
      </c>
      <c r="E2297" s="30">
        <v>297935</v>
      </c>
      <c r="F2297" s="30">
        <v>298266</v>
      </c>
      <c r="G2297" s="30">
        <v>299022</v>
      </c>
      <c r="H2297" s="30">
        <v>298955</v>
      </c>
      <c r="I2297" s="30">
        <v>299598</v>
      </c>
      <c r="J2297" s="30">
        <v>300090</v>
      </c>
      <c r="K2297" s="30">
        <v>301307</v>
      </c>
      <c r="L2297" s="30">
        <v>302801</v>
      </c>
      <c r="M2297" s="30">
        <v>304564</v>
      </c>
      <c r="N2297" s="30">
        <v>305285</v>
      </c>
      <c r="O2297" s="24" t="str">
        <f t="shared" si="71"/>
        <v>Northampton County, Pennsylvania</v>
      </c>
    </row>
    <row r="2298" spans="1:15" x14ac:dyDescent="0.25">
      <c r="A2298" s="35" t="s">
        <v>2773</v>
      </c>
      <c r="B2298" s="28" t="str">
        <f t="shared" si="70"/>
        <v>Northumberland</v>
      </c>
      <c r="C2298" s="30">
        <v>94528</v>
      </c>
      <c r="D2298" s="30">
        <v>94476</v>
      </c>
      <c r="E2298" s="30">
        <v>94293</v>
      </c>
      <c r="F2298" s="30">
        <v>94392</v>
      </c>
      <c r="G2298" s="30">
        <v>94410</v>
      </c>
      <c r="H2298" s="30">
        <v>93877</v>
      </c>
      <c r="I2298" s="30">
        <v>93590</v>
      </c>
      <c r="J2298" s="30">
        <v>92878</v>
      </c>
      <c r="K2298" s="30">
        <v>92283</v>
      </c>
      <c r="L2298" s="30">
        <v>91721</v>
      </c>
      <c r="M2298" s="30">
        <v>91080</v>
      </c>
      <c r="N2298" s="30">
        <v>90843</v>
      </c>
      <c r="O2298" s="24" t="str">
        <f t="shared" si="71"/>
        <v>Northumberland County, Pennsylvania</v>
      </c>
    </row>
    <row r="2299" spans="1:15" x14ac:dyDescent="0.25">
      <c r="A2299" s="35" t="s">
        <v>2774</v>
      </c>
      <c r="B2299" s="28" t="str">
        <f t="shared" si="70"/>
        <v>Perry</v>
      </c>
      <c r="C2299" s="30">
        <v>45969</v>
      </c>
      <c r="D2299" s="30">
        <v>45931</v>
      </c>
      <c r="E2299" s="30">
        <v>45921</v>
      </c>
      <c r="F2299" s="30">
        <v>45924</v>
      </c>
      <c r="G2299" s="30">
        <v>45808</v>
      </c>
      <c r="H2299" s="30">
        <v>45649</v>
      </c>
      <c r="I2299" s="30">
        <v>45661</v>
      </c>
      <c r="J2299" s="30">
        <v>45849</v>
      </c>
      <c r="K2299" s="30">
        <v>45945</v>
      </c>
      <c r="L2299" s="30">
        <v>46046</v>
      </c>
      <c r="M2299" s="30">
        <v>46154</v>
      </c>
      <c r="N2299" s="30">
        <v>46272</v>
      </c>
      <c r="O2299" s="24" t="str">
        <f t="shared" si="71"/>
        <v>Perry County, Pennsylvania</v>
      </c>
    </row>
    <row r="2300" spans="1:15" x14ac:dyDescent="0.25">
      <c r="A2300" s="35" t="s">
        <v>2775</v>
      </c>
      <c r="B2300" s="28" t="str">
        <f t="shared" si="70"/>
        <v>Philadelphia</v>
      </c>
      <c r="C2300" s="30">
        <v>1526006</v>
      </c>
      <c r="D2300" s="30">
        <v>1526012</v>
      </c>
      <c r="E2300" s="30">
        <v>1528283</v>
      </c>
      <c r="F2300" s="30">
        <v>1540466</v>
      </c>
      <c r="G2300" s="30">
        <v>1551824</v>
      </c>
      <c r="H2300" s="30">
        <v>1558313</v>
      </c>
      <c r="I2300" s="30">
        <v>1565460</v>
      </c>
      <c r="J2300" s="30">
        <v>1571065</v>
      </c>
      <c r="K2300" s="30">
        <v>1576051</v>
      </c>
      <c r="L2300" s="30">
        <v>1580601</v>
      </c>
      <c r="M2300" s="30">
        <v>1583592</v>
      </c>
      <c r="N2300" s="30">
        <v>1584064</v>
      </c>
      <c r="O2300" s="24" t="str">
        <f t="shared" si="71"/>
        <v>Philadelphia County, Pennsylvania</v>
      </c>
    </row>
    <row r="2301" spans="1:15" x14ac:dyDescent="0.25">
      <c r="A2301" s="35" t="s">
        <v>2776</v>
      </c>
      <c r="B2301" s="28" t="str">
        <f t="shared" si="70"/>
        <v>Pike</v>
      </c>
      <c r="C2301" s="30">
        <v>57369</v>
      </c>
      <c r="D2301" s="30">
        <v>57338</v>
      </c>
      <c r="E2301" s="30">
        <v>57359</v>
      </c>
      <c r="F2301" s="30">
        <v>57065</v>
      </c>
      <c r="G2301" s="30">
        <v>56281</v>
      </c>
      <c r="H2301" s="30">
        <v>56061</v>
      </c>
      <c r="I2301" s="30">
        <v>55638</v>
      </c>
      <c r="J2301" s="30">
        <v>55322</v>
      </c>
      <c r="K2301" s="30">
        <v>54955</v>
      </c>
      <c r="L2301" s="30">
        <v>55397</v>
      </c>
      <c r="M2301" s="30">
        <v>55780</v>
      </c>
      <c r="N2301" s="30">
        <v>55809</v>
      </c>
      <c r="O2301" s="24" t="str">
        <f t="shared" si="71"/>
        <v>Pike County, Pennsylvania</v>
      </c>
    </row>
    <row r="2302" spans="1:15" x14ac:dyDescent="0.25">
      <c r="A2302" s="35" t="s">
        <v>2777</v>
      </c>
      <c r="B2302" s="28" t="str">
        <f t="shared" si="70"/>
        <v>Potter</v>
      </c>
      <c r="C2302" s="30">
        <v>17457</v>
      </c>
      <c r="D2302" s="30">
        <v>17447</v>
      </c>
      <c r="E2302" s="30">
        <v>17454</v>
      </c>
      <c r="F2302" s="30">
        <v>17456</v>
      </c>
      <c r="G2302" s="30">
        <v>17562</v>
      </c>
      <c r="H2302" s="30">
        <v>17453</v>
      </c>
      <c r="I2302" s="30">
        <v>17192</v>
      </c>
      <c r="J2302" s="30">
        <v>17086</v>
      </c>
      <c r="K2302" s="30">
        <v>16954</v>
      </c>
      <c r="L2302" s="30">
        <v>16841</v>
      </c>
      <c r="M2302" s="30">
        <v>16623</v>
      </c>
      <c r="N2302" s="30">
        <v>16526</v>
      </c>
      <c r="O2302" s="24" t="str">
        <f t="shared" si="71"/>
        <v>Potter County, Pennsylvania</v>
      </c>
    </row>
    <row r="2303" spans="1:15" x14ac:dyDescent="0.25">
      <c r="A2303" s="35" t="s">
        <v>2778</v>
      </c>
      <c r="B2303" s="28" t="str">
        <f t="shared" si="70"/>
        <v>Schuylkill</v>
      </c>
      <c r="C2303" s="30">
        <v>148289</v>
      </c>
      <c r="D2303" s="30">
        <v>148290</v>
      </c>
      <c r="E2303" s="30">
        <v>148288</v>
      </c>
      <c r="F2303" s="30">
        <v>147538</v>
      </c>
      <c r="G2303" s="30">
        <v>147125</v>
      </c>
      <c r="H2303" s="30">
        <v>146668</v>
      </c>
      <c r="I2303" s="30">
        <v>145393</v>
      </c>
      <c r="J2303" s="30">
        <v>144117</v>
      </c>
      <c r="K2303" s="30">
        <v>143497</v>
      </c>
      <c r="L2303" s="30">
        <v>142580</v>
      </c>
      <c r="M2303" s="30">
        <v>141815</v>
      </c>
      <c r="N2303" s="30">
        <v>141359</v>
      </c>
      <c r="O2303" s="24" t="str">
        <f t="shared" si="71"/>
        <v>Schuylkill County, Pennsylvania</v>
      </c>
    </row>
    <row r="2304" spans="1:15" x14ac:dyDescent="0.25">
      <c r="A2304" s="35" t="s">
        <v>2779</v>
      </c>
      <c r="B2304" s="28" t="str">
        <f t="shared" si="70"/>
        <v>Snyder</v>
      </c>
      <c r="C2304" s="30">
        <v>39702</v>
      </c>
      <c r="D2304" s="30">
        <v>39721</v>
      </c>
      <c r="E2304" s="30">
        <v>39708</v>
      </c>
      <c r="F2304" s="30">
        <v>39782</v>
      </c>
      <c r="G2304" s="30">
        <v>39882</v>
      </c>
      <c r="H2304" s="30">
        <v>40123</v>
      </c>
      <c r="I2304" s="30">
        <v>40234</v>
      </c>
      <c r="J2304" s="30">
        <v>40509</v>
      </c>
      <c r="K2304" s="30">
        <v>40423</v>
      </c>
      <c r="L2304" s="30">
        <v>40594</v>
      </c>
      <c r="M2304" s="30">
        <v>40518</v>
      </c>
      <c r="N2304" s="30">
        <v>40372</v>
      </c>
      <c r="O2304" s="24" t="str">
        <f t="shared" si="71"/>
        <v>Snyder County, Pennsylvania</v>
      </c>
    </row>
    <row r="2305" spans="1:15" x14ac:dyDescent="0.25">
      <c r="A2305" s="35" t="s">
        <v>2780</v>
      </c>
      <c r="B2305" s="28" t="str">
        <f t="shared" si="70"/>
        <v>Somerset</v>
      </c>
      <c r="C2305" s="30">
        <v>77742</v>
      </c>
      <c r="D2305" s="30">
        <v>77731</v>
      </c>
      <c r="E2305" s="30">
        <v>77759</v>
      </c>
      <c r="F2305" s="30">
        <v>77274</v>
      </c>
      <c r="G2305" s="30">
        <v>77012</v>
      </c>
      <c r="H2305" s="30">
        <v>76587</v>
      </c>
      <c r="I2305" s="30">
        <v>76146</v>
      </c>
      <c r="J2305" s="30">
        <v>75383</v>
      </c>
      <c r="K2305" s="30">
        <v>74860</v>
      </c>
      <c r="L2305" s="30">
        <v>74242</v>
      </c>
      <c r="M2305" s="30">
        <v>73872</v>
      </c>
      <c r="N2305" s="30">
        <v>73447</v>
      </c>
      <c r="O2305" s="24" t="str">
        <f t="shared" si="71"/>
        <v>Somerset County, Pennsylvania</v>
      </c>
    </row>
    <row r="2306" spans="1:15" x14ac:dyDescent="0.25">
      <c r="A2306" s="35" t="s">
        <v>2781</v>
      </c>
      <c r="B2306" s="28" t="str">
        <f t="shared" si="70"/>
        <v>Sullivan</v>
      </c>
      <c r="C2306" s="30">
        <v>6428</v>
      </c>
      <c r="D2306" s="30">
        <v>6429</v>
      </c>
      <c r="E2306" s="30">
        <v>6407</v>
      </c>
      <c r="F2306" s="30">
        <v>6414</v>
      </c>
      <c r="G2306" s="30">
        <v>6404</v>
      </c>
      <c r="H2306" s="30">
        <v>6301</v>
      </c>
      <c r="I2306" s="30">
        <v>6278</v>
      </c>
      <c r="J2306" s="30">
        <v>6267</v>
      </c>
      <c r="K2306" s="30">
        <v>6126</v>
      </c>
      <c r="L2306" s="30">
        <v>6142</v>
      </c>
      <c r="M2306" s="30">
        <v>6076</v>
      </c>
      <c r="N2306" s="30">
        <v>6066</v>
      </c>
      <c r="O2306" s="24" t="str">
        <f t="shared" si="71"/>
        <v>Sullivan County, Pennsylvania</v>
      </c>
    </row>
    <row r="2307" spans="1:15" x14ac:dyDescent="0.25">
      <c r="A2307" s="35" t="s">
        <v>2782</v>
      </c>
      <c r="B2307" s="28" t="str">
        <f t="shared" si="70"/>
        <v>Susquehanna</v>
      </c>
      <c r="C2307" s="30">
        <v>43356</v>
      </c>
      <c r="D2307" s="30">
        <v>43327</v>
      </c>
      <c r="E2307" s="30">
        <v>43342</v>
      </c>
      <c r="F2307" s="30">
        <v>43229</v>
      </c>
      <c r="G2307" s="30">
        <v>42925</v>
      </c>
      <c r="H2307" s="30">
        <v>42397</v>
      </c>
      <c r="I2307" s="30">
        <v>42085</v>
      </c>
      <c r="J2307" s="30">
        <v>41775</v>
      </c>
      <c r="K2307" s="30">
        <v>41252</v>
      </c>
      <c r="L2307" s="30">
        <v>40934</v>
      </c>
      <c r="M2307" s="30">
        <v>40560</v>
      </c>
      <c r="N2307" s="30">
        <v>40328</v>
      </c>
      <c r="O2307" s="24" t="str">
        <f t="shared" si="71"/>
        <v>Susquehanna County, Pennsylvania</v>
      </c>
    </row>
    <row r="2308" spans="1:15" x14ac:dyDescent="0.25">
      <c r="A2308" s="35" t="s">
        <v>2783</v>
      </c>
      <c r="B2308" s="28" t="str">
        <f t="shared" si="70"/>
        <v>Tioga</v>
      </c>
      <c r="C2308" s="30">
        <v>41981</v>
      </c>
      <c r="D2308" s="30">
        <v>41904</v>
      </c>
      <c r="E2308" s="30">
        <v>41974</v>
      </c>
      <c r="F2308" s="30">
        <v>42242</v>
      </c>
      <c r="G2308" s="30">
        <v>42451</v>
      </c>
      <c r="H2308" s="30">
        <v>42211</v>
      </c>
      <c r="I2308" s="30">
        <v>41899</v>
      </c>
      <c r="J2308" s="30">
        <v>41519</v>
      </c>
      <c r="K2308" s="30">
        <v>41250</v>
      </c>
      <c r="L2308" s="30">
        <v>40671</v>
      </c>
      <c r="M2308" s="30">
        <v>40690</v>
      </c>
      <c r="N2308" s="30">
        <v>40591</v>
      </c>
      <c r="O2308" s="24" t="str">
        <f t="shared" si="71"/>
        <v>Tioga County, Pennsylvania</v>
      </c>
    </row>
    <row r="2309" spans="1:15" x14ac:dyDescent="0.25">
      <c r="A2309" s="35" t="s">
        <v>2784</v>
      </c>
      <c r="B2309" s="28" t="str">
        <f t="shared" si="70"/>
        <v>Union</v>
      </c>
      <c r="C2309" s="30">
        <v>44947</v>
      </c>
      <c r="D2309" s="30">
        <v>44963</v>
      </c>
      <c r="E2309" s="30">
        <v>45001</v>
      </c>
      <c r="F2309" s="30">
        <v>45111</v>
      </c>
      <c r="G2309" s="30">
        <v>45162</v>
      </c>
      <c r="H2309" s="30">
        <v>44735</v>
      </c>
      <c r="I2309" s="30">
        <v>44974</v>
      </c>
      <c r="J2309" s="30">
        <v>45519</v>
      </c>
      <c r="K2309" s="30">
        <v>45454</v>
      </c>
      <c r="L2309" s="30">
        <v>44642</v>
      </c>
      <c r="M2309" s="30">
        <v>45017</v>
      </c>
      <c r="N2309" s="30">
        <v>44923</v>
      </c>
      <c r="O2309" s="24" t="str">
        <f t="shared" si="71"/>
        <v>Union County, Pennsylvania</v>
      </c>
    </row>
    <row r="2310" spans="1:15" x14ac:dyDescent="0.25">
      <c r="A2310" s="35" t="s">
        <v>2785</v>
      </c>
      <c r="B2310" s="28" t="str">
        <f t="shared" si="70"/>
        <v>Venango</v>
      </c>
      <c r="C2310" s="30">
        <v>54984</v>
      </c>
      <c r="D2310" s="30">
        <v>54988</v>
      </c>
      <c r="E2310" s="30">
        <v>54972</v>
      </c>
      <c r="F2310" s="30">
        <v>54682</v>
      </c>
      <c r="G2310" s="30">
        <v>54188</v>
      </c>
      <c r="H2310" s="30">
        <v>53811</v>
      </c>
      <c r="I2310" s="30">
        <v>53348</v>
      </c>
      <c r="J2310" s="30">
        <v>52954</v>
      </c>
      <c r="K2310" s="30">
        <v>52477</v>
      </c>
      <c r="L2310" s="30">
        <v>51790</v>
      </c>
      <c r="M2310" s="30">
        <v>51201</v>
      </c>
      <c r="N2310" s="30">
        <v>50668</v>
      </c>
      <c r="O2310" s="24" t="str">
        <f t="shared" si="71"/>
        <v>Venango County, Pennsylvania</v>
      </c>
    </row>
    <row r="2311" spans="1:15" x14ac:dyDescent="0.25">
      <c r="A2311" s="35" t="s">
        <v>2786</v>
      </c>
      <c r="B2311" s="28" t="str">
        <f t="shared" ref="B2311:B2374" si="72">LEFT(A2311,FIND("County",A2311,1)-2)</f>
        <v>Warren</v>
      </c>
      <c r="C2311" s="30">
        <v>41815</v>
      </c>
      <c r="D2311" s="30">
        <v>41811</v>
      </c>
      <c r="E2311" s="30">
        <v>41771</v>
      </c>
      <c r="F2311" s="30">
        <v>41506</v>
      </c>
      <c r="G2311" s="30">
        <v>41261</v>
      </c>
      <c r="H2311" s="30">
        <v>40954</v>
      </c>
      <c r="I2311" s="30">
        <v>40658</v>
      </c>
      <c r="J2311" s="30">
        <v>40334</v>
      </c>
      <c r="K2311" s="30">
        <v>40026</v>
      </c>
      <c r="L2311" s="30">
        <v>39679</v>
      </c>
      <c r="M2311" s="30">
        <v>39551</v>
      </c>
      <c r="N2311" s="30">
        <v>39191</v>
      </c>
      <c r="O2311" s="24" t="str">
        <f t="shared" ref="O2311:O2374" si="73">A2311</f>
        <v>Warren County, Pennsylvania</v>
      </c>
    </row>
    <row r="2312" spans="1:15" x14ac:dyDescent="0.25">
      <c r="A2312" s="35" t="s">
        <v>2787</v>
      </c>
      <c r="B2312" s="28" t="str">
        <f t="shared" si="72"/>
        <v>Washington</v>
      </c>
      <c r="C2312" s="30">
        <v>207820</v>
      </c>
      <c r="D2312" s="30">
        <v>207849</v>
      </c>
      <c r="E2312" s="30">
        <v>207938</v>
      </c>
      <c r="F2312" s="30">
        <v>208059</v>
      </c>
      <c r="G2312" s="30">
        <v>208296</v>
      </c>
      <c r="H2312" s="30">
        <v>208046</v>
      </c>
      <c r="I2312" s="30">
        <v>207963</v>
      </c>
      <c r="J2312" s="30">
        <v>207718</v>
      </c>
      <c r="K2312" s="30">
        <v>207386</v>
      </c>
      <c r="L2312" s="30">
        <v>207075</v>
      </c>
      <c r="M2312" s="30">
        <v>207018</v>
      </c>
      <c r="N2312" s="30">
        <v>206865</v>
      </c>
      <c r="O2312" s="24" t="str">
        <f t="shared" si="73"/>
        <v>Washington County, Pennsylvania</v>
      </c>
    </row>
    <row r="2313" spans="1:15" x14ac:dyDescent="0.25">
      <c r="A2313" s="35" t="s">
        <v>2788</v>
      </c>
      <c r="B2313" s="28" t="str">
        <f t="shared" si="72"/>
        <v>Wayne</v>
      </c>
      <c r="C2313" s="30">
        <v>52822</v>
      </c>
      <c r="D2313" s="30">
        <v>52873</v>
      </c>
      <c r="E2313" s="30">
        <v>52868</v>
      </c>
      <c r="F2313" s="30">
        <v>52750</v>
      </c>
      <c r="G2313" s="30">
        <v>52254</v>
      </c>
      <c r="H2313" s="30">
        <v>52204</v>
      </c>
      <c r="I2313" s="30">
        <v>52064</v>
      </c>
      <c r="J2313" s="30">
        <v>51823</v>
      </c>
      <c r="K2313" s="30">
        <v>51339</v>
      </c>
      <c r="L2313" s="30">
        <v>51192</v>
      </c>
      <c r="M2313" s="30">
        <v>51395</v>
      </c>
      <c r="N2313" s="30">
        <v>51361</v>
      </c>
      <c r="O2313" s="24" t="str">
        <f t="shared" si="73"/>
        <v>Wayne County, Pennsylvania</v>
      </c>
    </row>
    <row r="2314" spans="1:15" x14ac:dyDescent="0.25">
      <c r="A2314" s="35" t="s">
        <v>2789</v>
      </c>
      <c r="B2314" s="28" t="str">
        <f t="shared" si="72"/>
        <v>Westmoreland</v>
      </c>
      <c r="C2314" s="30">
        <v>365169</v>
      </c>
      <c r="D2314" s="30">
        <v>365071</v>
      </c>
      <c r="E2314" s="30">
        <v>365028</v>
      </c>
      <c r="F2314" s="30">
        <v>364436</v>
      </c>
      <c r="G2314" s="30">
        <v>362787</v>
      </c>
      <c r="H2314" s="30">
        <v>360663</v>
      </c>
      <c r="I2314" s="30">
        <v>358866</v>
      </c>
      <c r="J2314" s="30">
        <v>356923</v>
      </c>
      <c r="K2314" s="30">
        <v>354665</v>
      </c>
      <c r="L2314" s="30">
        <v>352006</v>
      </c>
      <c r="M2314" s="30">
        <v>350459</v>
      </c>
      <c r="N2314" s="30">
        <v>348899</v>
      </c>
      <c r="O2314" s="24" t="str">
        <f t="shared" si="73"/>
        <v>Westmoreland County, Pennsylvania</v>
      </c>
    </row>
    <row r="2315" spans="1:15" x14ac:dyDescent="0.25">
      <c r="A2315" s="35" t="s">
        <v>2790</v>
      </c>
      <c r="B2315" s="28" t="str">
        <f t="shared" si="72"/>
        <v>Wyoming</v>
      </c>
      <c r="C2315" s="30">
        <v>28276</v>
      </c>
      <c r="D2315" s="30">
        <v>28283</v>
      </c>
      <c r="E2315" s="30">
        <v>28241</v>
      </c>
      <c r="F2315" s="30">
        <v>28309</v>
      </c>
      <c r="G2315" s="30">
        <v>28381</v>
      </c>
      <c r="H2315" s="30">
        <v>28133</v>
      </c>
      <c r="I2315" s="30">
        <v>28167</v>
      </c>
      <c r="J2315" s="30">
        <v>27812</v>
      </c>
      <c r="K2315" s="30">
        <v>27546</v>
      </c>
      <c r="L2315" s="30">
        <v>27396</v>
      </c>
      <c r="M2315" s="30">
        <v>27087</v>
      </c>
      <c r="N2315" s="30">
        <v>26794</v>
      </c>
      <c r="O2315" s="24" t="str">
        <f t="shared" si="73"/>
        <v>Wyoming County, Pennsylvania</v>
      </c>
    </row>
    <row r="2316" spans="1:15" x14ac:dyDescent="0.25">
      <c r="A2316" s="35" t="s">
        <v>2791</v>
      </c>
      <c r="B2316" s="28" t="str">
        <f t="shared" si="72"/>
        <v>York</v>
      </c>
      <c r="C2316" s="30">
        <v>434972</v>
      </c>
      <c r="D2316" s="30">
        <v>435015</v>
      </c>
      <c r="E2316" s="30">
        <v>435413</v>
      </c>
      <c r="F2316" s="30">
        <v>436701</v>
      </c>
      <c r="G2316" s="30">
        <v>437466</v>
      </c>
      <c r="H2316" s="30">
        <v>438932</v>
      </c>
      <c r="I2316" s="30">
        <v>440475</v>
      </c>
      <c r="J2316" s="30">
        <v>441741</v>
      </c>
      <c r="K2316" s="30">
        <v>443693</v>
      </c>
      <c r="L2316" s="30">
        <v>445484</v>
      </c>
      <c r="M2316" s="30">
        <v>447847</v>
      </c>
      <c r="N2316" s="30">
        <v>449058</v>
      </c>
      <c r="O2316" s="24" t="str">
        <f t="shared" si="73"/>
        <v>York County, Pennsylvania</v>
      </c>
    </row>
    <row r="2317" spans="1:15" x14ac:dyDescent="0.25">
      <c r="A2317" s="35" t="s">
        <v>2792</v>
      </c>
      <c r="B2317" s="28" t="str">
        <f t="shared" si="72"/>
        <v>Bristol</v>
      </c>
      <c r="C2317" s="30">
        <v>49875</v>
      </c>
      <c r="D2317" s="30">
        <v>49844</v>
      </c>
      <c r="E2317" s="30">
        <v>49818</v>
      </c>
      <c r="F2317" s="30">
        <v>49233</v>
      </c>
      <c r="G2317" s="30">
        <v>49268</v>
      </c>
      <c r="H2317" s="30">
        <v>49247</v>
      </c>
      <c r="I2317" s="30">
        <v>49074</v>
      </c>
      <c r="J2317" s="30">
        <v>49127</v>
      </c>
      <c r="K2317" s="30">
        <v>48844</v>
      </c>
      <c r="L2317" s="30">
        <v>48734</v>
      </c>
      <c r="M2317" s="30">
        <v>48637</v>
      </c>
      <c r="N2317" s="30">
        <v>48479</v>
      </c>
      <c r="O2317" s="24" t="str">
        <f t="shared" si="73"/>
        <v>Bristol County, Rhode Island</v>
      </c>
    </row>
    <row r="2318" spans="1:15" x14ac:dyDescent="0.25">
      <c r="A2318" s="35" t="s">
        <v>2793</v>
      </c>
      <c r="B2318" s="28" t="str">
        <f t="shared" si="72"/>
        <v>Kent</v>
      </c>
      <c r="C2318" s="30">
        <v>166158</v>
      </c>
      <c r="D2318" s="30">
        <v>166109</v>
      </c>
      <c r="E2318" s="30">
        <v>166030</v>
      </c>
      <c r="F2318" s="30">
        <v>165278</v>
      </c>
      <c r="G2318" s="30">
        <v>164627</v>
      </c>
      <c r="H2318" s="30">
        <v>164358</v>
      </c>
      <c r="I2318" s="30">
        <v>164490</v>
      </c>
      <c r="J2318" s="30">
        <v>163747</v>
      </c>
      <c r="K2318" s="30">
        <v>163711</v>
      </c>
      <c r="L2318" s="30">
        <v>163543</v>
      </c>
      <c r="M2318" s="30">
        <v>164053</v>
      </c>
      <c r="N2318" s="30">
        <v>164292</v>
      </c>
      <c r="O2318" s="24" t="str">
        <f t="shared" si="73"/>
        <v>Kent County, Rhode Island</v>
      </c>
    </row>
    <row r="2319" spans="1:15" x14ac:dyDescent="0.25">
      <c r="A2319" s="35" t="s">
        <v>2794</v>
      </c>
      <c r="B2319" s="28" t="str">
        <f t="shared" si="72"/>
        <v>Newport</v>
      </c>
      <c r="C2319" s="30">
        <v>82888</v>
      </c>
      <c r="D2319" s="30">
        <v>83141</v>
      </c>
      <c r="E2319" s="30">
        <v>83176</v>
      </c>
      <c r="F2319" s="30">
        <v>83212</v>
      </c>
      <c r="G2319" s="30">
        <v>83206</v>
      </c>
      <c r="H2319" s="30">
        <v>83459</v>
      </c>
      <c r="I2319" s="30">
        <v>83351</v>
      </c>
      <c r="J2319" s="30">
        <v>83259</v>
      </c>
      <c r="K2319" s="30">
        <v>83164</v>
      </c>
      <c r="L2319" s="30">
        <v>82952</v>
      </c>
      <c r="M2319" s="30">
        <v>82547</v>
      </c>
      <c r="N2319" s="30">
        <v>82082</v>
      </c>
      <c r="O2319" s="24" t="str">
        <f t="shared" si="73"/>
        <v>Newport County, Rhode Island</v>
      </c>
    </row>
    <row r="2320" spans="1:15" x14ac:dyDescent="0.25">
      <c r="A2320" s="35" t="s">
        <v>2795</v>
      </c>
      <c r="B2320" s="28" t="str">
        <f t="shared" si="72"/>
        <v>Providence</v>
      </c>
      <c r="C2320" s="30">
        <v>626667</v>
      </c>
      <c r="D2320" s="30">
        <v>626781</v>
      </c>
      <c r="E2320" s="30">
        <v>627838</v>
      </c>
      <c r="F2320" s="30">
        <v>629393</v>
      </c>
      <c r="G2320" s="30">
        <v>631229</v>
      </c>
      <c r="H2320" s="30">
        <v>631584</v>
      </c>
      <c r="I2320" s="30">
        <v>632668</v>
      </c>
      <c r="J2320" s="30">
        <v>633747</v>
      </c>
      <c r="K2320" s="30">
        <v>634922</v>
      </c>
      <c r="L2320" s="30">
        <v>634130</v>
      </c>
      <c r="M2320" s="30">
        <v>636953</v>
      </c>
      <c r="N2320" s="30">
        <v>638931</v>
      </c>
      <c r="O2320" s="24" t="str">
        <f t="shared" si="73"/>
        <v>Providence County, Rhode Island</v>
      </c>
    </row>
    <row r="2321" spans="1:15" x14ac:dyDescent="0.25">
      <c r="A2321" s="35" t="s">
        <v>2796</v>
      </c>
      <c r="B2321" s="28" t="str">
        <f t="shared" si="72"/>
        <v>Washington</v>
      </c>
      <c r="C2321" s="30">
        <v>126979</v>
      </c>
      <c r="D2321" s="30">
        <v>127089</v>
      </c>
      <c r="E2321" s="30">
        <v>127097</v>
      </c>
      <c r="F2321" s="30">
        <v>126533</v>
      </c>
      <c r="G2321" s="30">
        <v>126291</v>
      </c>
      <c r="H2321" s="30">
        <v>126433</v>
      </c>
      <c r="I2321" s="30">
        <v>126353</v>
      </c>
      <c r="J2321" s="30">
        <v>126185</v>
      </c>
      <c r="K2321" s="30">
        <v>126129</v>
      </c>
      <c r="L2321" s="30">
        <v>126314</v>
      </c>
      <c r="M2321" s="30">
        <v>126097</v>
      </c>
      <c r="N2321" s="30">
        <v>125577</v>
      </c>
      <c r="O2321" s="24" t="str">
        <f t="shared" si="73"/>
        <v>Washington County, Rhode Island</v>
      </c>
    </row>
    <row r="2322" spans="1:15" x14ac:dyDescent="0.25">
      <c r="A2322" s="35" t="s">
        <v>2797</v>
      </c>
      <c r="B2322" s="28" t="str">
        <f t="shared" si="72"/>
        <v>Abbeville</v>
      </c>
      <c r="C2322" s="30">
        <v>25417</v>
      </c>
      <c r="D2322" s="30">
        <v>25416</v>
      </c>
      <c r="E2322" s="30">
        <v>25328</v>
      </c>
      <c r="F2322" s="30">
        <v>25081</v>
      </c>
      <c r="G2322" s="30">
        <v>25019</v>
      </c>
      <c r="H2322" s="30">
        <v>24899</v>
      </c>
      <c r="I2322" s="30">
        <v>24795</v>
      </c>
      <c r="J2322" s="30">
        <v>24796</v>
      </c>
      <c r="K2322" s="30">
        <v>24657</v>
      </c>
      <c r="L2322" s="30">
        <v>24567</v>
      </c>
      <c r="M2322" s="30">
        <v>24587</v>
      </c>
      <c r="N2322" s="30">
        <v>24527</v>
      </c>
      <c r="O2322" s="24" t="str">
        <f t="shared" si="73"/>
        <v>Abbeville County, South Carolina</v>
      </c>
    </row>
    <row r="2323" spans="1:15" x14ac:dyDescent="0.25">
      <c r="A2323" s="35" t="s">
        <v>2798</v>
      </c>
      <c r="B2323" s="28" t="str">
        <f t="shared" si="72"/>
        <v>Aiken</v>
      </c>
      <c r="C2323" s="30">
        <v>160099</v>
      </c>
      <c r="D2323" s="30">
        <v>160129</v>
      </c>
      <c r="E2323" s="30">
        <v>160552</v>
      </c>
      <c r="F2323" s="30">
        <v>161594</v>
      </c>
      <c r="G2323" s="30">
        <v>162922</v>
      </c>
      <c r="H2323" s="30">
        <v>163702</v>
      </c>
      <c r="I2323" s="30">
        <v>164215</v>
      </c>
      <c r="J2323" s="30">
        <v>165688</v>
      </c>
      <c r="K2323" s="30">
        <v>167172</v>
      </c>
      <c r="L2323" s="30">
        <v>168325</v>
      </c>
      <c r="M2323" s="30">
        <v>169449</v>
      </c>
      <c r="N2323" s="30">
        <v>170872</v>
      </c>
      <c r="O2323" s="24" t="str">
        <f t="shared" si="73"/>
        <v>Aiken County, South Carolina</v>
      </c>
    </row>
    <row r="2324" spans="1:15" x14ac:dyDescent="0.25">
      <c r="A2324" s="35" t="s">
        <v>2799</v>
      </c>
      <c r="B2324" s="28" t="str">
        <f t="shared" si="72"/>
        <v>Allendale</v>
      </c>
      <c r="C2324" s="30">
        <v>10419</v>
      </c>
      <c r="D2324" s="30">
        <v>10419</v>
      </c>
      <c r="E2324" s="30">
        <v>10354</v>
      </c>
      <c r="F2324" s="30">
        <v>10236</v>
      </c>
      <c r="G2324" s="30">
        <v>9982</v>
      </c>
      <c r="H2324" s="30">
        <v>9825</v>
      </c>
      <c r="I2324" s="30">
        <v>9701</v>
      </c>
      <c r="J2324" s="30">
        <v>9430</v>
      </c>
      <c r="K2324" s="30">
        <v>9067</v>
      </c>
      <c r="L2324" s="30">
        <v>9012</v>
      </c>
      <c r="M2324" s="30">
        <v>8924</v>
      </c>
      <c r="N2324" s="30">
        <v>8688</v>
      </c>
      <c r="O2324" s="24" t="str">
        <f t="shared" si="73"/>
        <v>Allendale County, South Carolina</v>
      </c>
    </row>
    <row r="2325" spans="1:15" x14ac:dyDescent="0.25">
      <c r="A2325" s="35" t="s">
        <v>2800</v>
      </c>
      <c r="B2325" s="28" t="str">
        <f t="shared" si="72"/>
        <v>Anderson</v>
      </c>
      <c r="C2325" s="30">
        <v>187126</v>
      </c>
      <c r="D2325" s="30">
        <v>186922</v>
      </c>
      <c r="E2325" s="30">
        <v>187086</v>
      </c>
      <c r="F2325" s="30">
        <v>188160</v>
      </c>
      <c r="G2325" s="30">
        <v>188820</v>
      </c>
      <c r="H2325" s="30">
        <v>190005</v>
      </c>
      <c r="I2325" s="30">
        <v>191793</v>
      </c>
      <c r="J2325" s="30">
        <v>193700</v>
      </c>
      <c r="K2325" s="30">
        <v>195582</v>
      </c>
      <c r="L2325" s="30">
        <v>198186</v>
      </c>
      <c r="M2325" s="30">
        <v>200292</v>
      </c>
      <c r="N2325" s="30">
        <v>202558</v>
      </c>
      <c r="O2325" s="24" t="str">
        <f t="shared" si="73"/>
        <v>Anderson County, South Carolina</v>
      </c>
    </row>
    <row r="2326" spans="1:15" x14ac:dyDescent="0.25">
      <c r="A2326" s="35" t="s">
        <v>2801</v>
      </c>
      <c r="B2326" s="28" t="str">
        <f t="shared" si="72"/>
        <v>Bamberg</v>
      </c>
      <c r="C2326" s="30">
        <v>15987</v>
      </c>
      <c r="D2326" s="30">
        <v>15972</v>
      </c>
      <c r="E2326" s="30">
        <v>15956</v>
      </c>
      <c r="F2326" s="30">
        <v>15818</v>
      </c>
      <c r="G2326" s="30">
        <v>15690</v>
      </c>
      <c r="H2326" s="30">
        <v>15396</v>
      </c>
      <c r="I2326" s="30">
        <v>15153</v>
      </c>
      <c r="J2326" s="30">
        <v>14682</v>
      </c>
      <c r="K2326" s="30">
        <v>14478</v>
      </c>
      <c r="L2326" s="30">
        <v>14384</v>
      </c>
      <c r="M2326" s="30">
        <v>14272</v>
      </c>
      <c r="N2326" s="30">
        <v>14066</v>
      </c>
      <c r="O2326" s="24" t="str">
        <f t="shared" si="73"/>
        <v>Bamberg County, South Carolina</v>
      </c>
    </row>
    <row r="2327" spans="1:15" x14ac:dyDescent="0.25">
      <c r="A2327" s="35" t="s">
        <v>2802</v>
      </c>
      <c r="B2327" s="28" t="str">
        <f t="shared" si="72"/>
        <v>Barnwell</v>
      </c>
      <c r="C2327" s="30">
        <v>22621</v>
      </c>
      <c r="D2327" s="30">
        <v>22621</v>
      </c>
      <c r="E2327" s="30">
        <v>22638</v>
      </c>
      <c r="F2327" s="30">
        <v>22460</v>
      </c>
      <c r="G2327" s="30">
        <v>22357</v>
      </c>
      <c r="H2327" s="30">
        <v>22210</v>
      </c>
      <c r="I2327" s="30">
        <v>22024</v>
      </c>
      <c r="J2327" s="30">
        <v>21781</v>
      </c>
      <c r="K2327" s="30">
        <v>21606</v>
      </c>
      <c r="L2327" s="30">
        <v>21355</v>
      </c>
      <c r="M2327" s="30">
        <v>21121</v>
      </c>
      <c r="N2327" s="30">
        <v>20866</v>
      </c>
      <c r="O2327" s="24" t="str">
        <f t="shared" si="73"/>
        <v>Barnwell County, South Carolina</v>
      </c>
    </row>
    <row r="2328" spans="1:15" x14ac:dyDescent="0.25">
      <c r="A2328" s="35" t="s">
        <v>2803</v>
      </c>
      <c r="B2328" s="28" t="str">
        <f t="shared" si="72"/>
        <v>Beaufort</v>
      </c>
      <c r="C2328" s="30">
        <v>162233</v>
      </c>
      <c r="D2328" s="30">
        <v>162219</v>
      </c>
      <c r="E2328" s="30">
        <v>162829</v>
      </c>
      <c r="F2328" s="30">
        <v>164032</v>
      </c>
      <c r="G2328" s="30">
        <v>167415</v>
      </c>
      <c r="H2328" s="30">
        <v>170962</v>
      </c>
      <c r="I2328" s="30">
        <v>175040</v>
      </c>
      <c r="J2328" s="30">
        <v>179796</v>
      </c>
      <c r="K2328" s="30">
        <v>183184</v>
      </c>
      <c r="L2328" s="30">
        <v>186497</v>
      </c>
      <c r="M2328" s="30">
        <v>188876</v>
      </c>
      <c r="N2328" s="30">
        <v>192122</v>
      </c>
      <c r="O2328" s="24" t="str">
        <f t="shared" si="73"/>
        <v>Beaufort County, South Carolina</v>
      </c>
    </row>
    <row r="2329" spans="1:15" x14ac:dyDescent="0.25">
      <c r="A2329" s="35" t="s">
        <v>2804</v>
      </c>
      <c r="B2329" s="28" t="str">
        <f t="shared" si="72"/>
        <v>Berkeley</v>
      </c>
      <c r="C2329" s="30">
        <v>177843</v>
      </c>
      <c r="D2329" s="30">
        <v>178373</v>
      </c>
      <c r="E2329" s="30">
        <v>179480</v>
      </c>
      <c r="F2329" s="30">
        <v>183778</v>
      </c>
      <c r="G2329" s="30">
        <v>189603</v>
      </c>
      <c r="H2329" s="30">
        <v>194031</v>
      </c>
      <c r="I2329" s="30">
        <v>198295</v>
      </c>
      <c r="J2329" s="30">
        <v>203066</v>
      </c>
      <c r="K2329" s="30">
        <v>208525</v>
      </c>
      <c r="L2329" s="30">
        <v>214541</v>
      </c>
      <c r="M2329" s="30">
        <v>221182</v>
      </c>
      <c r="N2329" s="30">
        <v>227907</v>
      </c>
      <c r="O2329" s="24" t="str">
        <f t="shared" si="73"/>
        <v>Berkeley County, South Carolina</v>
      </c>
    </row>
    <row r="2330" spans="1:15" x14ac:dyDescent="0.25">
      <c r="A2330" s="35" t="s">
        <v>2805</v>
      </c>
      <c r="B2330" s="28" t="str">
        <f t="shared" si="72"/>
        <v>Calhoun</v>
      </c>
      <c r="C2330" s="30">
        <v>15175</v>
      </c>
      <c r="D2330" s="30">
        <v>15178</v>
      </c>
      <c r="E2330" s="30">
        <v>15097</v>
      </c>
      <c r="F2330" s="30">
        <v>15095</v>
      </c>
      <c r="G2330" s="30">
        <v>14870</v>
      </c>
      <c r="H2330" s="30">
        <v>14989</v>
      </c>
      <c r="I2330" s="30">
        <v>14845</v>
      </c>
      <c r="J2330" s="30">
        <v>14759</v>
      </c>
      <c r="K2330" s="30">
        <v>14744</v>
      </c>
      <c r="L2330" s="30">
        <v>14696</v>
      </c>
      <c r="M2330" s="30">
        <v>14563</v>
      </c>
      <c r="N2330" s="30">
        <v>14553</v>
      </c>
      <c r="O2330" s="24" t="str">
        <f t="shared" si="73"/>
        <v>Calhoun County, South Carolina</v>
      </c>
    </row>
    <row r="2331" spans="1:15" x14ac:dyDescent="0.25">
      <c r="A2331" s="35" t="s">
        <v>2806</v>
      </c>
      <c r="B2331" s="28" t="str">
        <f t="shared" si="72"/>
        <v>Charleston</v>
      </c>
      <c r="C2331" s="30">
        <v>350209</v>
      </c>
      <c r="D2331" s="30">
        <v>350128</v>
      </c>
      <c r="E2331" s="30">
        <v>350940</v>
      </c>
      <c r="F2331" s="30">
        <v>357335</v>
      </c>
      <c r="G2331" s="30">
        <v>364628</v>
      </c>
      <c r="H2331" s="30">
        <v>371703</v>
      </c>
      <c r="I2331" s="30">
        <v>379793</v>
      </c>
      <c r="J2331" s="30">
        <v>389310</v>
      </c>
      <c r="K2331" s="30">
        <v>396880</v>
      </c>
      <c r="L2331" s="30">
        <v>402008</v>
      </c>
      <c r="M2331" s="30">
        <v>406222</v>
      </c>
      <c r="N2331" s="30">
        <v>411406</v>
      </c>
      <c r="O2331" s="24" t="str">
        <f t="shared" si="73"/>
        <v>Charleston County, South Carolina</v>
      </c>
    </row>
    <row r="2332" spans="1:15" x14ac:dyDescent="0.25">
      <c r="A2332" s="35" t="s">
        <v>2807</v>
      </c>
      <c r="B2332" s="28" t="str">
        <f t="shared" si="72"/>
        <v>Cherokee</v>
      </c>
      <c r="C2332" s="30">
        <v>55342</v>
      </c>
      <c r="D2332" s="30">
        <v>55488</v>
      </c>
      <c r="E2332" s="30">
        <v>55535</v>
      </c>
      <c r="F2332" s="30">
        <v>55705</v>
      </c>
      <c r="G2332" s="30">
        <v>55822</v>
      </c>
      <c r="H2332" s="30">
        <v>56056</v>
      </c>
      <c r="I2332" s="30">
        <v>56351</v>
      </c>
      <c r="J2332" s="30">
        <v>56512</v>
      </c>
      <c r="K2332" s="30">
        <v>56683</v>
      </c>
      <c r="L2332" s="30">
        <v>56913</v>
      </c>
      <c r="M2332" s="30">
        <v>57069</v>
      </c>
      <c r="N2332" s="30">
        <v>57300</v>
      </c>
      <c r="O2332" s="24" t="str">
        <f t="shared" si="73"/>
        <v>Cherokee County, South Carolina</v>
      </c>
    </row>
    <row r="2333" spans="1:15" x14ac:dyDescent="0.25">
      <c r="A2333" s="35" t="s">
        <v>2808</v>
      </c>
      <c r="B2333" s="28" t="str">
        <f t="shared" si="72"/>
        <v>Chester</v>
      </c>
      <c r="C2333" s="30">
        <v>33140</v>
      </c>
      <c r="D2333" s="30">
        <v>33159</v>
      </c>
      <c r="E2333" s="30">
        <v>33163</v>
      </c>
      <c r="F2333" s="30">
        <v>32883</v>
      </c>
      <c r="G2333" s="30">
        <v>32703</v>
      </c>
      <c r="H2333" s="30">
        <v>32737</v>
      </c>
      <c r="I2333" s="30">
        <v>32441</v>
      </c>
      <c r="J2333" s="30">
        <v>32410</v>
      </c>
      <c r="K2333" s="30">
        <v>32297</v>
      </c>
      <c r="L2333" s="30">
        <v>32299</v>
      </c>
      <c r="M2333" s="30">
        <v>32304</v>
      </c>
      <c r="N2333" s="30">
        <v>32244</v>
      </c>
      <c r="O2333" s="24" t="str">
        <f t="shared" si="73"/>
        <v>Chester County, South Carolina</v>
      </c>
    </row>
    <row r="2334" spans="1:15" x14ac:dyDescent="0.25">
      <c r="A2334" s="35" t="s">
        <v>2809</v>
      </c>
      <c r="B2334" s="28" t="str">
        <f t="shared" si="72"/>
        <v>Chesterfield</v>
      </c>
      <c r="C2334" s="30">
        <v>46734</v>
      </c>
      <c r="D2334" s="30">
        <v>46722</v>
      </c>
      <c r="E2334" s="30">
        <v>46614</v>
      </c>
      <c r="F2334" s="30">
        <v>46499</v>
      </c>
      <c r="G2334" s="30">
        <v>46068</v>
      </c>
      <c r="H2334" s="30">
        <v>46116</v>
      </c>
      <c r="I2334" s="30">
        <v>46143</v>
      </c>
      <c r="J2334" s="30">
        <v>46135</v>
      </c>
      <c r="K2334" s="30">
        <v>46120</v>
      </c>
      <c r="L2334" s="30">
        <v>45979</v>
      </c>
      <c r="M2334" s="30">
        <v>45881</v>
      </c>
      <c r="N2334" s="30">
        <v>45650</v>
      </c>
      <c r="O2334" s="24" t="str">
        <f t="shared" si="73"/>
        <v>Chesterfield County, South Carolina</v>
      </c>
    </row>
    <row r="2335" spans="1:15" x14ac:dyDescent="0.25">
      <c r="A2335" s="35" t="s">
        <v>2810</v>
      </c>
      <c r="B2335" s="28" t="str">
        <f t="shared" si="72"/>
        <v>Clarendon</v>
      </c>
      <c r="C2335" s="30">
        <v>34971</v>
      </c>
      <c r="D2335" s="30">
        <v>34949</v>
      </c>
      <c r="E2335" s="30">
        <v>34948</v>
      </c>
      <c r="F2335" s="30">
        <v>34710</v>
      </c>
      <c r="G2335" s="30">
        <v>34326</v>
      </c>
      <c r="H2335" s="30">
        <v>34260</v>
      </c>
      <c r="I2335" s="30">
        <v>34214</v>
      </c>
      <c r="J2335" s="30">
        <v>34029</v>
      </c>
      <c r="K2335" s="30">
        <v>34259</v>
      </c>
      <c r="L2335" s="30">
        <v>34012</v>
      </c>
      <c r="M2335" s="30">
        <v>33742</v>
      </c>
      <c r="N2335" s="30">
        <v>33745</v>
      </c>
      <c r="O2335" s="24" t="str">
        <f t="shared" si="73"/>
        <v>Clarendon County, South Carolina</v>
      </c>
    </row>
    <row r="2336" spans="1:15" x14ac:dyDescent="0.25">
      <c r="A2336" s="35" t="s">
        <v>2811</v>
      </c>
      <c r="B2336" s="28" t="str">
        <f t="shared" si="72"/>
        <v>Colleton</v>
      </c>
      <c r="C2336" s="30">
        <v>38892</v>
      </c>
      <c r="D2336" s="30">
        <v>38887</v>
      </c>
      <c r="E2336" s="30">
        <v>38887</v>
      </c>
      <c r="F2336" s="30">
        <v>38449</v>
      </c>
      <c r="G2336" s="30">
        <v>38105</v>
      </c>
      <c r="H2336" s="30">
        <v>37664</v>
      </c>
      <c r="I2336" s="30">
        <v>37528</v>
      </c>
      <c r="J2336" s="30">
        <v>37439</v>
      </c>
      <c r="K2336" s="30">
        <v>37579</v>
      </c>
      <c r="L2336" s="30">
        <v>37555</v>
      </c>
      <c r="M2336" s="30">
        <v>37676</v>
      </c>
      <c r="N2336" s="30">
        <v>37677</v>
      </c>
      <c r="O2336" s="24" t="str">
        <f t="shared" si="73"/>
        <v>Colleton County, South Carolina</v>
      </c>
    </row>
    <row r="2337" spans="1:15" x14ac:dyDescent="0.25">
      <c r="A2337" s="35" t="s">
        <v>2812</v>
      </c>
      <c r="B2337" s="28" t="str">
        <f t="shared" si="72"/>
        <v>Darlington</v>
      </c>
      <c r="C2337" s="30">
        <v>68681</v>
      </c>
      <c r="D2337" s="30">
        <v>68611</v>
      </c>
      <c r="E2337" s="30">
        <v>68522</v>
      </c>
      <c r="F2337" s="30">
        <v>68168</v>
      </c>
      <c r="G2337" s="30">
        <v>68056</v>
      </c>
      <c r="H2337" s="30">
        <v>67808</v>
      </c>
      <c r="I2337" s="30">
        <v>67647</v>
      </c>
      <c r="J2337" s="30">
        <v>67520</v>
      </c>
      <c r="K2337" s="30">
        <v>67259</v>
      </c>
      <c r="L2337" s="30">
        <v>66981</v>
      </c>
      <c r="M2337" s="30">
        <v>66759</v>
      </c>
      <c r="N2337" s="30">
        <v>66618</v>
      </c>
      <c r="O2337" s="24" t="str">
        <f t="shared" si="73"/>
        <v>Darlington County, South Carolina</v>
      </c>
    </row>
    <row r="2338" spans="1:15" x14ac:dyDescent="0.25">
      <c r="A2338" s="35" t="s">
        <v>2813</v>
      </c>
      <c r="B2338" s="28" t="str">
        <f t="shared" si="72"/>
        <v>Dillon</v>
      </c>
      <c r="C2338" s="30">
        <v>32062</v>
      </c>
      <c r="D2338" s="30">
        <v>32059</v>
      </c>
      <c r="E2338" s="30">
        <v>32078</v>
      </c>
      <c r="F2338" s="30">
        <v>31750</v>
      </c>
      <c r="G2338" s="30">
        <v>31530</v>
      </c>
      <c r="H2338" s="30">
        <v>31411</v>
      </c>
      <c r="I2338" s="30">
        <v>31296</v>
      </c>
      <c r="J2338" s="30">
        <v>31141</v>
      </c>
      <c r="K2338" s="30">
        <v>30719</v>
      </c>
      <c r="L2338" s="30">
        <v>30496</v>
      </c>
      <c r="M2338" s="30">
        <v>30612</v>
      </c>
      <c r="N2338" s="30">
        <v>30479</v>
      </c>
      <c r="O2338" s="24" t="str">
        <f t="shared" si="73"/>
        <v>Dillon County, South Carolina</v>
      </c>
    </row>
    <row r="2339" spans="1:15" x14ac:dyDescent="0.25">
      <c r="A2339" s="35" t="s">
        <v>2814</v>
      </c>
      <c r="B2339" s="28" t="str">
        <f t="shared" si="72"/>
        <v>Dorchester</v>
      </c>
      <c r="C2339" s="30">
        <v>136555</v>
      </c>
      <c r="D2339" s="30">
        <v>136144</v>
      </c>
      <c r="E2339" s="30">
        <v>137030</v>
      </c>
      <c r="F2339" s="30">
        <v>140149</v>
      </c>
      <c r="G2339" s="30">
        <v>142608</v>
      </c>
      <c r="H2339" s="30">
        <v>145538</v>
      </c>
      <c r="I2339" s="30">
        <v>148748</v>
      </c>
      <c r="J2339" s="30">
        <v>152809</v>
      </c>
      <c r="K2339" s="30">
        <v>156173</v>
      </c>
      <c r="L2339" s="30">
        <v>158988</v>
      </c>
      <c r="M2339" s="30">
        <v>160718</v>
      </c>
      <c r="N2339" s="30">
        <v>162809</v>
      </c>
      <c r="O2339" s="24" t="str">
        <f t="shared" si="73"/>
        <v>Dorchester County, South Carolina</v>
      </c>
    </row>
    <row r="2340" spans="1:15" x14ac:dyDescent="0.25">
      <c r="A2340" s="35" t="s">
        <v>2815</v>
      </c>
      <c r="B2340" s="28" t="str">
        <f t="shared" si="72"/>
        <v>Edgefield</v>
      </c>
      <c r="C2340" s="30">
        <v>26985</v>
      </c>
      <c r="D2340" s="30">
        <v>26965</v>
      </c>
      <c r="E2340" s="30">
        <v>26963</v>
      </c>
      <c r="F2340" s="30">
        <v>26891</v>
      </c>
      <c r="G2340" s="30">
        <v>26559</v>
      </c>
      <c r="H2340" s="30">
        <v>26567</v>
      </c>
      <c r="I2340" s="30">
        <v>26651</v>
      </c>
      <c r="J2340" s="30">
        <v>26782</v>
      </c>
      <c r="K2340" s="30">
        <v>26626</v>
      </c>
      <c r="L2340" s="30">
        <v>26837</v>
      </c>
      <c r="M2340" s="30">
        <v>27132</v>
      </c>
      <c r="N2340" s="30">
        <v>27260</v>
      </c>
      <c r="O2340" s="24" t="str">
        <f t="shared" si="73"/>
        <v>Edgefield County, South Carolina</v>
      </c>
    </row>
    <row r="2341" spans="1:15" x14ac:dyDescent="0.25">
      <c r="A2341" s="35" t="s">
        <v>2816</v>
      </c>
      <c r="B2341" s="28" t="str">
        <f t="shared" si="72"/>
        <v>Fairfield</v>
      </c>
      <c r="C2341" s="30">
        <v>23956</v>
      </c>
      <c r="D2341" s="30">
        <v>23959</v>
      </c>
      <c r="E2341" s="30">
        <v>23840</v>
      </c>
      <c r="F2341" s="30">
        <v>23572</v>
      </c>
      <c r="G2341" s="30">
        <v>23405</v>
      </c>
      <c r="H2341" s="30">
        <v>23194</v>
      </c>
      <c r="I2341" s="30">
        <v>23025</v>
      </c>
      <c r="J2341" s="30">
        <v>22874</v>
      </c>
      <c r="K2341" s="30">
        <v>22633</v>
      </c>
      <c r="L2341" s="30">
        <v>22593</v>
      </c>
      <c r="M2341" s="30">
        <v>22376</v>
      </c>
      <c r="N2341" s="30">
        <v>22347</v>
      </c>
      <c r="O2341" s="24" t="str">
        <f t="shared" si="73"/>
        <v>Fairfield County, South Carolina</v>
      </c>
    </row>
    <row r="2342" spans="1:15" x14ac:dyDescent="0.25">
      <c r="A2342" s="35" t="s">
        <v>2817</v>
      </c>
      <c r="B2342" s="28" t="str">
        <f t="shared" si="72"/>
        <v>Florence</v>
      </c>
      <c r="C2342" s="30">
        <v>136885</v>
      </c>
      <c r="D2342" s="30">
        <v>136965</v>
      </c>
      <c r="E2342" s="30">
        <v>137140</v>
      </c>
      <c r="F2342" s="30">
        <v>137632</v>
      </c>
      <c r="G2342" s="30">
        <v>137985</v>
      </c>
      <c r="H2342" s="30">
        <v>138178</v>
      </c>
      <c r="I2342" s="30">
        <v>138779</v>
      </c>
      <c r="J2342" s="30">
        <v>138715</v>
      </c>
      <c r="K2342" s="30">
        <v>138595</v>
      </c>
      <c r="L2342" s="30">
        <v>138495</v>
      </c>
      <c r="M2342" s="30">
        <v>138277</v>
      </c>
      <c r="N2342" s="30">
        <v>138293</v>
      </c>
      <c r="O2342" s="24" t="str">
        <f t="shared" si="73"/>
        <v>Florence County, South Carolina</v>
      </c>
    </row>
    <row r="2343" spans="1:15" x14ac:dyDescent="0.25">
      <c r="A2343" s="35" t="s">
        <v>2818</v>
      </c>
      <c r="B2343" s="28" t="str">
        <f t="shared" si="72"/>
        <v>Georgetown</v>
      </c>
      <c r="C2343" s="30">
        <v>60158</v>
      </c>
      <c r="D2343" s="30">
        <v>60311</v>
      </c>
      <c r="E2343" s="30">
        <v>60327</v>
      </c>
      <c r="F2343" s="30">
        <v>60173</v>
      </c>
      <c r="G2343" s="30">
        <v>60232</v>
      </c>
      <c r="H2343" s="30">
        <v>60476</v>
      </c>
      <c r="I2343" s="30">
        <v>60825</v>
      </c>
      <c r="J2343" s="30">
        <v>61456</v>
      </c>
      <c r="K2343" s="30">
        <v>61565</v>
      </c>
      <c r="L2343" s="30">
        <v>61826</v>
      </c>
      <c r="M2343" s="30">
        <v>62232</v>
      </c>
      <c r="N2343" s="30">
        <v>62680</v>
      </c>
      <c r="O2343" s="24" t="str">
        <f t="shared" si="73"/>
        <v>Georgetown County, South Carolina</v>
      </c>
    </row>
    <row r="2344" spans="1:15" x14ac:dyDescent="0.25">
      <c r="A2344" s="35" t="s">
        <v>2819</v>
      </c>
      <c r="B2344" s="28" t="str">
        <f t="shared" si="72"/>
        <v>Greenville</v>
      </c>
      <c r="C2344" s="30">
        <v>451225</v>
      </c>
      <c r="D2344" s="30">
        <v>451211</v>
      </c>
      <c r="E2344" s="30">
        <v>452697</v>
      </c>
      <c r="F2344" s="30">
        <v>458916</v>
      </c>
      <c r="G2344" s="30">
        <v>466062</v>
      </c>
      <c r="H2344" s="30">
        <v>473014</v>
      </c>
      <c r="I2344" s="30">
        <v>481485</v>
      </c>
      <c r="J2344" s="30">
        <v>490900</v>
      </c>
      <c r="K2344" s="30">
        <v>499122</v>
      </c>
      <c r="L2344" s="30">
        <v>506831</v>
      </c>
      <c r="M2344" s="30">
        <v>514621</v>
      </c>
      <c r="N2344" s="30">
        <v>523542</v>
      </c>
      <c r="O2344" s="24" t="str">
        <f t="shared" si="73"/>
        <v>Greenville County, South Carolina</v>
      </c>
    </row>
    <row r="2345" spans="1:15" x14ac:dyDescent="0.25">
      <c r="A2345" s="35" t="s">
        <v>2820</v>
      </c>
      <c r="B2345" s="28" t="str">
        <f t="shared" si="72"/>
        <v>Greenwood</v>
      </c>
      <c r="C2345" s="30">
        <v>69661</v>
      </c>
      <c r="D2345" s="30">
        <v>69691</v>
      </c>
      <c r="E2345" s="30">
        <v>69766</v>
      </c>
      <c r="F2345" s="30">
        <v>69848</v>
      </c>
      <c r="G2345" s="30">
        <v>69958</v>
      </c>
      <c r="H2345" s="30">
        <v>69823</v>
      </c>
      <c r="I2345" s="30">
        <v>69670</v>
      </c>
      <c r="J2345" s="30">
        <v>69962</v>
      </c>
      <c r="K2345" s="30">
        <v>70188</v>
      </c>
      <c r="L2345" s="30">
        <v>70496</v>
      </c>
      <c r="M2345" s="30">
        <v>70597</v>
      </c>
      <c r="N2345" s="30">
        <v>70811</v>
      </c>
      <c r="O2345" s="24" t="str">
        <f t="shared" si="73"/>
        <v>Greenwood County, South Carolina</v>
      </c>
    </row>
    <row r="2346" spans="1:15" x14ac:dyDescent="0.25">
      <c r="A2346" s="35" t="s">
        <v>2821</v>
      </c>
      <c r="B2346" s="28" t="str">
        <f t="shared" si="72"/>
        <v>Hampton</v>
      </c>
      <c r="C2346" s="30">
        <v>21090</v>
      </c>
      <c r="D2346" s="30">
        <v>21090</v>
      </c>
      <c r="E2346" s="30">
        <v>21073</v>
      </c>
      <c r="F2346" s="30">
        <v>20796</v>
      </c>
      <c r="G2346" s="30">
        <v>20737</v>
      </c>
      <c r="H2346" s="30">
        <v>20386</v>
      </c>
      <c r="I2346" s="30">
        <v>20427</v>
      </c>
      <c r="J2346" s="30">
        <v>19963</v>
      </c>
      <c r="K2346" s="30">
        <v>19789</v>
      </c>
      <c r="L2346" s="30">
        <v>19498</v>
      </c>
      <c r="M2346" s="30">
        <v>19348</v>
      </c>
      <c r="N2346" s="30">
        <v>19222</v>
      </c>
      <c r="O2346" s="24" t="str">
        <f t="shared" si="73"/>
        <v>Hampton County, South Carolina</v>
      </c>
    </row>
    <row r="2347" spans="1:15" x14ac:dyDescent="0.25">
      <c r="A2347" s="35" t="s">
        <v>2822</v>
      </c>
      <c r="B2347" s="28" t="str">
        <f t="shared" si="72"/>
        <v>Horry</v>
      </c>
      <c r="C2347" s="30">
        <v>269291</v>
      </c>
      <c r="D2347" s="30">
        <v>269146</v>
      </c>
      <c r="E2347" s="30">
        <v>270274</v>
      </c>
      <c r="F2347" s="30">
        <v>275465</v>
      </c>
      <c r="G2347" s="30">
        <v>281286</v>
      </c>
      <c r="H2347" s="30">
        <v>288783</v>
      </c>
      <c r="I2347" s="30">
        <v>297760</v>
      </c>
      <c r="J2347" s="30">
        <v>308987</v>
      </c>
      <c r="K2347" s="30">
        <v>321033</v>
      </c>
      <c r="L2347" s="30">
        <v>332655</v>
      </c>
      <c r="M2347" s="30">
        <v>344105</v>
      </c>
      <c r="N2347" s="30">
        <v>354081</v>
      </c>
      <c r="O2347" s="24" t="str">
        <f t="shared" si="73"/>
        <v>Horry County, South Carolina</v>
      </c>
    </row>
    <row r="2348" spans="1:15" x14ac:dyDescent="0.25">
      <c r="A2348" s="35" t="s">
        <v>2823</v>
      </c>
      <c r="B2348" s="28" t="str">
        <f t="shared" si="72"/>
        <v>Jasper</v>
      </c>
      <c r="C2348" s="30">
        <v>24777</v>
      </c>
      <c r="D2348" s="30">
        <v>24791</v>
      </c>
      <c r="E2348" s="30">
        <v>24948</v>
      </c>
      <c r="F2348" s="30">
        <v>25298</v>
      </c>
      <c r="G2348" s="30">
        <v>25730</v>
      </c>
      <c r="H2348" s="30">
        <v>26330</v>
      </c>
      <c r="I2348" s="30">
        <v>26685</v>
      </c>
      <c r="J2348" s="30">
        <v>27460</v>
      </c>
      <c r="K2348" s="30">
        <v>28085</v>
      </c>
      <c r="L2348" s="30">
        <v>28522</v>
      </c>
      <c r="M2348" s="30">
        <v>29147</v>
      </c>
      <c r="N2348" s="30">
        <v>30073</v>
      </c>
      <c r="O2348" s="24" t="str">
        <f t="shared" si="73"/>
        <v>Jasper County, South Carolina</v>
      </c>
    </row>
    <row r="2349" spans="1:15" x14ac:dyDescent="0.25">
      <c r="A2349" s="35" t="s">
        <v>2824</v>
      </c>
      <c r="B2349" s="28" t="str">
        <f t="shared" si="72"/>
        <v>Kershaw</v>
      </c>
      <c r="C2349" s="30">
        <v>61697</v>
      </c>
      <c r="D2349" s="30">
        <v>61594</v>
      </c>
      <c r="E2349" s="30">
        <v>61710</v>
      </c>
      <c r="F2349" s="30">
        <v>62130</v>
      </c>
      <c r="G2349" s="30">
        <v>62293</v>
      </c>
      <c r="H2349" s="30">
        <v>62592</v>
      </c>
      <c r="I2349" s="30">
        <v>63183</v>
      </c>
      <c r="J2349" s="30">
        <v>63661</v>
      </c>
      <c r="K2349" s="30">
        <v>64333</v>
      </c>
      <c r="L2349" s="30">
        <v>65213</v>
      </c>
      <c r="M2349" s="30">
        <v>65802</v>
      </c>
      <c r="N2349" s="30">
        <v>66551</v>
      </c>
      <c r="O2349" s="24" t="str">
        <f t="shared" si="73"/>
        <v>Kershaw County, South Carolina</v>
      </c>
    </row>
    <row r="2350" spans="1:15" x14ac:dyDescent="0.25">
      <c r="A2350" s="35" t="s">
        <v>2825</v>
      </c>
      <c r="B2350" s="28" t="str">
        <f t="shared" si="72"/>
        <v>Lancaster</v>
      </c>
      <c r="C2350" s="30">
        <v>76652</v>
      </c>
      <c r="D2350" s="30">
        <v>76651</v>
      </c>
      <c r="E2350" s="30">
        <v>76971</v>
      </c>
      <c r="F2350" s="30">
        <v>77850</v>
      </c>
      <c r="G2350" s="30">
        <v>79315</v>
      </c>
      <c r="H2350" s="30">
        <v>80649</v>
      </c>
      <c r="I2350" s="30">
        <v>83429</v>
      </c>
      <c r="J2350" s="30">
        <v>86261</v>
      </c>
      <c r="K2350" s="30">
        <v>89823</v>
      </c>
      <c r="L2350" s="30">
        <v>92411</v>
      </c>
      <c r="M2350" s="30">
        <v>95035</v>
      </c>
      <c r="N2350" s="30">
        <v>98012</v>
      </c>
      <c r="O2350" s="24" t="str">
        <f t="shared" si="73"/>
        <v>Lancaster County, South Carolina</v>
      </c>
    </row>
    <row r="2351" spans="1:15" x14ac:dyDescent="0.25">
      <c r="A2351" s="35" t="s">
        <v>2826</v>
      </c>
      <c r="B2351" s="28" t="str">
        <f t="shared" si="72"/>
        <v>Laurens</v>
      </c>
      <c r="C2351" s="30">
        <v>66537</v>
      </c>
      <c r="D2351" s="30">
        <v>66513</v>
      </c>
      <c r="E2351" s="30">
        <v>66505</v>
      </c>
      <c r="F2351" s="30">
        <v>66446</v>
      </c>
      <c r="G2351" s="30">
        <v>66214</v>
      </c>
      <c r="H2351" s="30">
        <v>66149</v>
      </c>
      <c r="I2351" s="30">
        <v>66464</v>
      </c>
      <c r="J2351" s="30">
        <v>66421</v>
      </c>
      <c r="K2351" s="30">
        <v>66603</v>
      </c>
      <c r="L2351" s="30">
        <v>66822</v>
      </c>
      <c r="M2351" s="30">
        <v>66890</v>
      </c>
      <c r="N2351" s="30">
        <v>67493</v>
      </c>
      <c r="O2351" s="24" t="str">
        <f t="shared" si="73"/>
        <v>Laurens County, South Carolina</v>
      </c>
    </row>
    <row r="2352" spans="1:15" x14ac:dyDescent="0.25">
      <c r="A2352" s="35" t="s">
        <v>2827</v>
      </c>
      <c r="B2352" s="28" t="str">
        <f t="shared" si="72"/>
        <v>Lee</v>
      </c>
      <c r="C2352" s="30">
        <v>19220</v>
      </c>
      <c r="D2352" s="30">
        <v>19226</v>
      </c>
      <c r="E2352" s="30">
        <v>19222</v>
      </c>
      <c r="F2352" s="30">
        <v>18887</v>
      </c>
      <c r="G2352" s="30">
        <v>18632</v>
      </c>
      <c r="H2352" s="30">
        <v>18381</v>
      </c>
      <c r="I2352" s="30">
        <v>18337</v>
      </c>
      <c r="J2352" s="30">
        <v>17809</v>
      </c>
      <c r="K2352" s="30">
        <v>17506</v>
      </c>
      <c r="L2352" s="30">
        <v>17388</v>
      </c>
      <c r="M2352" s="30">
        <v>17294</v>
      </c>
      <c r="N2352" s="30">
        <v>16828</v>
      </c>
      <c r="O2352" s="24" t="str">
        <f t="shared" si="73"/>
        <v>Lee County, South Carolina</v>
      </c>
    </row>
    <row r="2353" spans="1:15" x14ac:dyDescent="0.25">
      <c r="A2353" s="35" t="s">
        <v>2828</v>
      </c>
      <c r="B2353" s="28" t="str">
        <f t="shared" si="72"/>
        <v>Lexington</v>
      </c>
      <c r="C2353" s="30">
        <v>262391</v>
      </c>
      <c r="D2353" s="30">
        <v>262453</v>
      </c>
      <c r="E2353" s="30">
        <v>263357</v>
      </c>
      <c r="F2353" s="30">
        <v>266362</v>
      </c>
      <c r="G2353" s="30">
        <v>269787</v>
      </c>
      <c r="H2353" s="30">
        <v>273248</v>
      </c>
      <c r="I2353" s="30">
        <v>277423</v>
      </c>
      <c r="J2353" s="30">
        <v>281675</v>
      </c>
      <c r="K2353" s="30">
        <v>286277</v>
      </c>
      <c r="L2353" s="30">
        <v>290338</v>
      </c>
      <c r="M2353" s="30">
        <v>294350</v>
      </c>
      <c r="N2353" s="30">
        <v>298750</v>
      </c>
      <c r="O2353" s="24" t="str">
        <f t="shared" si="73"/>
        <v>Lexington County, South Carolina</v>
      </c>
    </row>
    <row r="2354" spans="1:15" x14ac:dyDescent="0.25">
      <c r="A2354" s="35" t="s">
        <v>2829</v>
      </c>
      <c r="B2354" s="28" t="str">
        <f t="shared" si="72"/>
        <v>McCormick</v>
      </c>
      <c r="C2354" s="30">
        <v>10233</v>
      </c>
      <c r="D2354" s="30">
        <v>10229</v>
      </c>
      <c r="E2354" s="30">
        <v>10209</v>
      </c>
      <c r="F2354" s="30">
        <v>10013</v>
      </c>
      <c r="G2354" s="30">
        <v>9921</v>
      </c>
      <c r="H2354" s="30">
        <v>9873</v>
      </c>
      <c r="I2354" s="30">
        <v>9805</v>
      </c>
      <c r="J2354" s="30">
        <v>9656</v>
      </c>
      <c r="K2354" s="30">
        <v>9572</v>
      </c>
      <c r="L2354" s="30">
        <v>9554</v>
      </c>
      <c r="M2354" s="30">
        <v>9408</v>
      </c>
      <c r="N2354" s="30">
        <v>9463</v>
      </c>
      <c r="O2354" s="24" t="str">
        <f t="shared" si="73"/>
        <v>McCormick County, South Carolina</v>
      </c>
    </row>
    <row r="2355" spans="1:15" x14ac:dyDescent="0.25">
      <c r="A2355" s="35" t="s">
        <v>2830</v>
      </c>
      <c r="B2355" s="28" t="str">
        <f t="shared" si="72"/>
        <v>Marion</v>
      </c>
      <c r="C2355" s="30">
        <v>33062</v>
      </c>
      <c r="D2355" s="30">
        <v>33058</v>
      </c>
      <c r="E2355" s="30">
        <v>32956</v>
      </c>
      <c r="F2355" s="30">
        <v>32780</v>
      </c>
      <c r="G2355" s="30">
        <v>32408</v>
      </c>
      <c r="H2355" s="30">
        <v>32082</v>
      </c>
      <c r="I2355" s="30">
        <v>31952</v>
      </c>
      <c r="J2355" s="30">
        <v>31770</v>
      </c>
      <c r="K2355" s="30">
        <v>31760</v>
      </c>
      <c r="L2355" s="30">
        <v>31295</v>
      </c>
      <c r="M2355" s="30">
        <v>31056</v>
      </c>
      <c r="N2355" s="30">
        <v>30657</v>
      </c>
      <c r="O2355" s="24" t="str">
        <f t="shared" si="73"/>
        <v>Marion County, South Carolina</v>
      </c>
    </row>
    <row r="2356" spans="1:15" x14ac:dyDescent="0.25">
      <c r="A2356" s="35" t="s">
        <v>2831</v>
      </c>
      <c r="B2356" s="28" t="str">
        <f t="shared" si="72"/>
        <v>Marlboro</v>
      </c>
      <c r="C2356" s="30">
        <v>28933</v>
      </c>
      <c r="D2356" s="30">
        <v>28935</v>
      </c>
      <c r="E2356" s="30">
        <v>28917</v>
      </c>
      <c r="F2356" s="30">
        <v>28585</v>
      </c>
      <c r="G2356" s="30">
        <v>28259</v>
      </c>
      <c r="H2356" s="30">
        <v>28060</v>
      </c>
      <c r="I2356" s="30">
        <v>28037</v>
      </c>
      <c r="J2356" s="30">
        <v>27585</v>
      </c>
      <c r="K2356" s="30">
        <v>26979</v>
      </c>
      <c r="L2356" s="30">
        <v>26691</v>
      </c>
      <c r="M2356" s="30">
        <v>26392</v>
      </c>
      <c r="N2356" s="30">
        <v>26118</v>
      </c>
      <c r="O2356" s="24" t="str">
        <f t="shared" si="73"/>
        <v>Marlboro County, South Carolina</v>
      </c>
    </row>
    <row r="2357" spans="1:15" x14ac:dyDescent="0.25">
      <c r="A2357" s="35" t="s">
        <v>2832</v>
      </c>
      <c r="B2357" s="28" t="str">
        <f t="shared" si="72"/>
        <v>Newberry</v>
      </c>
      <c r="C2357" s="30">
        <v>37508</v>
      </c>
      <c r="D2357" s="30">
        <v>37510</v>
      </c>
      <c r="E2357" s="30">
        <v>37609</v>
      </c>
      <c r="F2357" s="30">
        <v>37502</v>
      </c>
      <c r="G2357" s="30">
        <v>37531</v>
      </c>
      <c r="H2357" s="30">
        <v>37461</v>
      </c>
      <c r="I2357" s="30">
        <v>37660</v>
      </c>
      <c r="J2357" s="30">
        <v>37772</v>
      </c>
      <c r="K2357" s="30">
        <v>37934</v>
      </c>
      <c r="L2357" s="30">
        <v>38381</v>
      </c>
      <c r="M2357" s="30">
        <v>38443</v>
      </c>
      <c r="N2357" s="30">
        <v>38440</v>
      </c>
      <c r="O2357" s="24" t="str">
        <f t="shared" si="73"/>
        <v>Newberry County, South Carolina</v>
      </c>
    </row>
    <row r="2358" spans="1:15" x14ac:dyDescent="0.25">
      <c r="A2358" s="35" t="s">
        <v>2833</v>
      </c>
      <c r="B2358" s="28" t="str">
        <f t="shared" si="72"/>
        <v>Oconee</v>
      </c>
      <c r="C2358" s="30">
        <v>74273</v>
      </c>
      <c r="D2358" s="30">
        <v>74285</v>
      </c>
      <c r="E2358" s="30">
        <v>74348</v>
      </c>
      <c r="F2358" s="30">
        <v>74252</v>
      </c>
      <c r="G2358" s="30">
        <v>74551</v>
      </c>
      <c r="H2358" s="30">
        <v>74937</v>
      </c>
      <c r="I2358" s="30">
        <v>75219</v>
      </c>
      <c r="J2358" s="30">
        <v>75863</v>
      </c>
      <c r="K2358" s="30">
        <v>76535</v>
      </c>
      <c r="L2358" s="30">
        <v>77388</v>
      </c>
      <c r="M2358" s="30">
        <v>78307</v>
      </c>
      <c r="N2358" s="30">
        <v>79546</v>
      </c>
      <c r="O2358" s="24" t="str">
        <f t="shared" si="73"/>
        <v>Oconee County, South Carolina</v>
      </c>
    </row>
    <row r="2359" spans="1:15" x14ac:dyDescent="0.25">
      <c r="A2359" s="35" t="s">
        <v>2834</v>
      </c>
      <c r="B2359" s="28" t="str">
        <f t="shared" si="72"/>
        <v>Orangeburg</v>
      </c>
      <c r="C2359" s="30">
        <v>92501</v>
      </c>
      <c r="D2359" s="30">
        <v>92508</v>
      </c>
      <c r="E2359" s="30">
        <v>92321</v>
      </c>
      <c r="F2359" s="30">
        <v>91697</v>
      </c>
      <c r="G2359" s="30">
        <v>91461</v>
      </c>
      <c r="H2359" s="30">
        <v>90673</v>
      </c>
      <c r="I2359" s="30">
        <v>90049</v>
      </c>
      <c r="J2359" s="30">
        <v>89159</v>
      </c>
      <c r="K2359" s="30">
        <v>88419</v>
      </c>
      <c r="L2359" s="30">
        <v>87671</v>
      </c>
      <c r="M2359" s="30">
        <v>87013</v>
      </c>
      <c r="N2359" s="30">
        <v>86175</v>
      </c>
      <c r="O2359" s="24" t="str">
        <f t="shared" si="73"/>
        <v>Orangeburg County, South Carolina</v>
      </c>
    </row>
    <row r="2360" spans="1:15" x14ac:dyDescent="0.25">
      <c r="A2360" s="35" t="s">
        <v>2835</v>
      </c>
      <c r="B2360" s="28" t="str">
        <f t="shared" si="72"/>
        <v>Pickens</v>
      </c>
      <c r="C2360" s="30">
        <v>119224</v>
      </c>
      <c r="D2360" s="30">
        <v>119385</v>
      </c>
      <c r="E2360" s="30">
        <v>119337</v>
      </c>
      <c r="F2360" s="30">
        <v>119698</v>
      </c>
      <c r="G2360" s="30">
        <v>119807</v>
      </c>
      <c r="H2360" s="30">
        <v>119249</v>
      </c>
      <c r="I2360" s="30">
        <v>120543</v>
      </c>
      <c r="J2360" s="30">
        <v>121500</v>
      </c>
      <c r="K2360" s="30">
        <v>123020</v>
      </c>
      <c r="L2360" s="30">
        <v>123518</v>
      </c>
      <c r="M2360" s="30">
        <v>125225</v>
      </c>
      <c r="N2360" s="30">
        <v>126884</v>
      </c>
      <c r="O2360" s="24" t="str">
        <f t="shared" si="73"/>
        <v>Pickens County, South Carolina</v>
      </c>
    </row>
    <row r="2361" spans="1:15" x14ac:dyDescent="0.25">
      <c r="A2361" s="35" t="s">
        <v>2836</v>
      </c>
      <c r="B2361" s="28" t="str">
        <f t="shared" si="72"/>
        <v>Richland</v>
      </c>
      <c r="C2361" s="30">
        <v>384504</v>
      </c>
      <c r="D2361" s="30">
        <v>384425</v>
      </c>
      <c r="E2361" s="30">
        <v>385735</v>
      </c>
      <c r="F2361" s="30">
        <v>389233</v>
      </c>
      <c r="G2361" s="30">
        <v>393029</v>
      </c>
      <c r="H2361" s="30">
        <v>396757</v>
      </c>
      <c r="I2361" s="30">
        <v>400335</v>
      </c>
      <c r="J2361" s="30">
        <v>406008</v>
      </c>
      <c r="K2361" s="30">
        <v>409014</v>
      </c>
      <c r="L2361" s="30">
        <v>411800</v>
      </c>
      <c r="M2361" s="30">
        <v>414202</v>
      </c>
      <c r="N2361" s="30">
        <v>415759</v>
      </c>
      <c r="O2361" s="24" t="str">
        <f t="shared" si="73"/>
        <v>Richland County, South Carolina</v>
      </c>
    </row>
    <row r="2362" spans="1:15" x14ac:dyDescent="0.25">
      <c r="A2362" s="35" t="s">
        <v>2837</v>
      </c>
      <c r="B2362" s="28" t="str">
        <f t="shared" si="72"/>
        <v>Saluda</v>
      </c>
      <c r="C2362" s="30">
        <v>19875</v>
      </c>
      <c r="D2362" s="30">
        <v>19860</v>
      </c>
      <c r="E2362" s="30">
        <v>19907</v>
      </c>
      <c r="F2362" s="30">
        <v>19803</v>
      </c>
      <c r="G2362" s="30">
        <v>19866</v>
      </c>
      <c r="H2362" s="30">
        <v>20062</v>
      </c>
      <c r="I2362" s="30">
        <v>20071</v>
      </c>
      <c r="J2362" s="30">
        <v>20159</v>
      </c>
      <c r="K2362" s="30">
        <v>20187</v>
      </c>
      <c r="L2362" s="30">
        <v>20299</v>
      </c>
      <c r="M2362" s="30">
        <v>20397</v>
      </c>
      <c r="N2362" s="30">
        <v>20473</v>
      </c>
      <c r="O2362" s="24" t="str">
        <f t="shared" si="73"/>
        <v>Saluda County, South Carolina</v>
      </c>
    </row>
    <row r="2363" spans="1:15" x14ac:dyDescent="0.25">
      <c r="A2363" s="35" t="s">
        <v>2838</v>
      </c>
      <c r="B2363" s="28" t="str">
        <f t="shared" si="72"/>
        <v>Spartanburg</v>
      </c>
      <c r="C2363" s="30">
        <v>284307</v>
      </c>
      <c r="D2363" s="30">
        <v>284304</v>
      </c>
      <c r="E2363" s="30">
        <v>284731</v>
      </c>
      <c r="F2363" s="30">
        <v>286102</v>
      </c>
      <c r="G2363" s="30">
        <v>288176</v>
      </c>
      <c r="H2363" s="30">
        <v>290414</v>
      </c>
      <c r="I2363" s="30">
        <v>292981</v>
      </c>
      <c r="J2363" s="30">
        <v>296558</v>
      </c>
      <c r="K2363" s="30">
        <v>300867</v>
      </c>
      <c r="L2363" s="30">
        <v>306740</v>
      </c>
      <c r="M2363" s="30">
        <v>314137</v>
      </c>
      <c r="N2363" s="30">
        <v>319785</v>
      </c>
      <c r="O2363" s="24" t="str">
        <f t="shared" si="73"/>
        <v>Spartanburg County, South Carolina</v>
      </c>
    </row>
    <row r="2364" spans="1:15" x14ac:dyDescent="0.25">
      <c r="A2364" s="35" t="s">
        <v>2839</v>
      </c>
      <c r="B2364" s="28" t="str">
        <f t="shared" si="72"/>
        <v>Sumter</v>
      </c>
      <c r="C2364" s="30">
        <v>107456</v>
      </c>
      <c r="D2364" s="30">
        <v>107485</v>
      </c>
      <c r="E2364" s="30">
        <v>107607</v>
      </c>
      <c r="F2364" s="30">
        <v>107308</v>
      </c>
      <c r="G2364" s="30">
        <v>107800</v>
      </c>
      <c r="H2364" s="30">
        <v>107747</v>
      </c>
      <c r="I2364" s="30">
        <v>107663</v>
      </c>
      <c r="J2364" s="30">
        <v>107151</v>
      </c>
      <c r="K2364" s="30">
        <v>107075</v>
      </c>
      <c r="L2364" s="30">
        <v>106431</v>
      </c>
      <c r="M2364" s="30">
        <v>106409</v>
      </c>
      <c r="N2364" s="30">
        <v>106721</v>
      </c>
      <c r="O2364" s="24" t="str">
        <f t="shared" si="73"/>
        <v>Sumter County, South Carolina</v>
      </c>
    </row>
    <row r="2365" spans="1:15" x14ac:dyDescent="0.25">
      <c r="A2365" s="35" t="s">
        <v>2840</v>
      </c>
      <c r="B2365" s="28" t="str">
        <f t="shared" si="72"/>
        <v>Union</v>
      </c>
      <c r="C2365" s="30">
        <v>28961</v>
      </c>
      <c r="D2365" s="30">
        <v>28973</v>
      </c>
      <c r="E2365" s="30">
        <v>28930</v>
      </c>
      <c r="F2365" s="30">
        <v>28670</v>
      </c>
      <c r="G2365" s="30">
        <v>28206</v>
      </c>
      <c r="H2365" s="30">
        <v>28004</v>
      </c>
      <c r="I2365" s="30">
        <v>27923</v>
      </c>
      <c r="J2365" s="30">
        <v>27743</v>
      </c>
      <c r="K2365" s="30">
        <v>27666</v>
      </c>
      <c r="L2365" s="30">
        <v>27400</v>
      </c>
      <c r="M2365" s="30">
        <v>27324</v>
      </c>
      <c r="N2365" s="30">
        <v>27316</v>
      </c>
      <c r="O2365" s="24" t="str">
        <f t="shared" si="73"/>
        <v>Union County, South Carolina</v>
      </c>
    </row>
    <row r="2366" spans="1:15" x14ac:dyDescent="0.25">
      <c r="A2366" s="35" t="s">
        <v>2841</v>
      </c>
      <c r="B2366" s="28" t="str">
        <f t="shared" si="72"/>
        <v>Williamsburg</v>
      </c>
      <c r="C2366" s="30">
        <v>34423</v>
      </c>
      <c r="D2366" s="30">
        <v>34410</v>
      </c>
      <c r="E2366" s="30">
        <v>34347</v>
      </c>
      <c r="F2366" s="30">
        <v>34109</v>
      </c>
      <c r="G2366" s="30">
        <v>33561</v>
      </c>
      <c r="H2366" s="30">
        <v>33074</v>
      </c>
      <c r="I2366" s="30">
        <v>32733</v>
      </c>
      <c r="J2366" s="30">
        <v>32519</v>
      </c>
      <c r="K2366" s="30">
        <v>31912</v>
      </c>
      <c r="L2366" s="30">
        <v>31216</v>
      </c>
      <c r="M2366" s="30">
        <v>30606</v>
      </c>
      <c r="N2366" s="30">
        <v>30368</v>
      </c>
      <c r="O2366" s="24" t="str">
        <f t="shared" si="73"/>
        <v>Williamsburg County, South Carolina</v>
      </c>
    </row>
    <row r="2367" spans="1:15" x14ac:dyDescent="0.25">
      <c r="A2367" s="35" t="s">
        <v>2842</v>
      </c>
      <c r="B2367" s="28" t="str">
        <f t="shared" si="72"/>
        <v>York</v>
      </c>
      <c r="C2367" s="30">
        <v>226073</v>
      </c>
      <c r="D2367" s="30">
        <v>226037</v>
      </c>
      <c r="E2367" s="30">
        <v>226865</v>
      </c>
      <c r="F2367" s="30">
        <v>230074</v>
      </c>
      <c r="G2367" s="30">
        <v>234059</v>
      </c>
      <c r="H2367" s="30">
        <v>238605</v>
      </c>
      <c r="I2367" s="30">
        <v>244481</v>
      </c>
      <c r="J2367" s="30">
        <v>250566</v>
      </c>
      <c r="K2367" s="30">
        <v>257866</v>
      </c>
      <c r="L2367" s="30">
        <v>266165</v>
      </c>
      <c r="M2367" s="30">
        <v>273782</v>
      </c>
      <c r="N2367" s="30">
        <v>280979</v>
      </c>
      <c r="O2367" s="24" t="str">
        <f t="shared" si="73"/>
        <v>York County, South Carolina</v>
      </c>
    </row>
    <row r="2368" spans="1:15" x14ac:dyDescent="0.25">
      <c r="A2368" s="35" t="s">
        <v>2843</v>
      </c>
      <c r="B2368" s="28" t="str">
        <f t="shared" si="72"/>
        <v>Aurora</v>
      </c>
      <c r="C2368" s="30">
        <v>2710</v>
      </c>
      <c r="D2368" s="30">
        <v>2710</v>
      </c>
      <c r="E2368" s="30">
        <v>2701</v>
      </c>
      <c r="F2368" s="30">
        <v>2716</v>
      </c>
      <c r="G2368" s="30">
        <v>2762</v>
      </c>
      <c r="H2368" s="30">
        <v>2715</v>
      </c>
      <c r="I2368" s="30">
        <v>2743</v>
      </c>
      <c r="J2368" s="30">
        <v>2744</v>
      </c>
      <c r="K2368" s="30">
        <v>2764</v>
      </c>
      <c r="L2368" s="30">
        <v>2769</v>
      </c>
      <c r="M2368" s="30">
        <v>2785</v>
      </c>
      <c r="N2368" s="30">
        <v>2751</v>
      </c>
      <c r="O2368" s="24" t="str">
        <f t="shared" si="73"/>
        <v>Aurora County, South Dakota</v>
      </c>
    </row>
    <row r="2369" spans="1:15" x14ac:dyDescent="0.25">
      <c r="A2369" s="35" t="s">
        <v>2844</v>
      </c>
      <c r="B2369" s="28" t="str">
        <f t="shared" si="72"/>
        <v>Beadle</v>
      </c>
      <c r="C2369" s="30">
        <v>17398</v>
      </c>
      <c r="D2369" s="30">
        <v>17399</v>
      </c>
      <c r="E2369" s="30">
        <v>17406</v>
      </c>
      <c r="F2369" s="30">
        <v>17708</v>
      </c>
      <c r="G2369" s="30">
        <v>17994</v>
      </c>
      <c r="H2369" s="30">
        <v>18201</v>
      </c>
      <c r="I2369" s="30">
        <v>18056</v>
      </c>
      <c r="J2369" s="30">
        <v>18127</v>
      </c>
      <c r="K2369" s="30">
        <v>18188</v>
      </c>
      <c r="L2369" s="30">
        <v>18541</v>
      </c>
      <c r="M2369" s="30">
        <v>18423</v>
      </c>
      <c r="N2369" s="30">
        <v>18453</v>
      </c>
      <c r="O2369" s="24" t="str">
        <f t="shared" si="73"/>
        <v>Beadle County, South Dakota</v>
      </c>
    </row>
    <row r="2370" spans="1:15" x14ac:dyDescent="0.25">
      <c r="A2370" s="35" t="s">
        <v>2845</v>
      </c>
      <c r="B2370" s="28" t="str">
        <f t="shared" si="72"/>
        <v>Bennett</v>
      </c>
      <c r="C2370" s="30">
        <v>3431</v>
      </c>
      <c r="D2370" s="30">
        <v>3431</v>
      </c>
      <c r="E2370" s="30">
        <v>3451</v>
      </c>
      <c r="F2370" s="30">
        <v>3449</v>
      </c>
      <c r="G2370" s="30">
        <v>3450</v>
      </c>
      <c r="H2370" s="30">
        <v>3463</v>
      </c>
      <c r="I2370" s="30">
        <v>3436</v>
      </c>
      <c r="J2370" s="30">
        <v>3402</v>
      </c>
      <c r="K2370" s="30">
        <v>3441</v>
      </c>
      <c r="L2370" s="30">
        <v>3446</v>
      </c>
      <c r="M2370" s="30">
        <v>3473</v>
      </c>
      <c r="N2370" s="30">
        <v>3365</v>
      </c>
      <c r="O2370" s="24" t="str">
        <f t="shared" si="73"/>
        <v>Bennett County, South Dakota</v>
      </c>
    </row>
    <row r="2371" spans="1:15" x14ac:dyDescent="0.25">
      <c r="A2371" s="35" t="s">
        <v>2846</v>
      </c>
      <c r="B2371" s="28" t="str">
        <f t="shared" si="72"/>
        <v>Bon Homme</v>
      </c>
      <c r="C2371" s="30">
        <v>7070</v>
      </c>
      <c r="D2371" s="30">
        <v>7067</v>
      </c>
      <c r="E2371" s="30">
        <v>7061</v>
      </c>
      <c r="F2371" s="30">
        <v>7016</v>
      </c>
      <c r="G2371" s="30">
        <v>7028</v>
      </c>
      <c r="H2371" s="30">
        <v>6983</v>
      </c>
      <c r="I2371" s="30">
        <v>6977</v>
      </c>
      <c r="J2371" s="30">
        <v>6943</v>
      </c>
      <c r="K2371" s="30">
        <v>6940</v>
      </c>
      <c r="L2371" s="30">
        <v>6952</v>
      </c>
      <c r="M2371" s="30">
        <v>6910</v>
      </c>
      <c r="N2371" s="30">
        <v>6901</v>
      </c>
      <c r="O2371" s="24" t="str">
        <f t="shared" si="73"/>
        <v>Bon Homme County, South Dakota</v>
      </c>
    </row>
    <row r="2372" spans="1:15" x14ac:dyDescent="0.25">
      <c r="A2372" s="35" t="s">
        <v>2847</v>
      </c>
      <c r="B2372" s="28" t="str">
        <f t="shared" si="72"/>
        <v>Brookings</v>
      </c>
      <c r="C2372" s="30">
        <v>31965</v>
      </c>
      <c r="D2372" s="30">
        <v>31966</v>
      </c>
      <c r="E2372" s="30">
        <v>31999</v>
      </c>
      <c r="F2372" s="30">
        <v>32140</v>
      </c>
      <c r="G2372" s="30">
        <v>32768</v>
      </c>
      <c r="H2372" s="30">
        <v>33016</v>
      </c>
      <c r="I2372" s="30">
        <v>33250</v>
      </c>
      <c r="J2372" s="30">
        <v>33800</v>
      </c>
      <c r="K2372" s="30">
        <v>34301</v>
      </c>
      <c r="L2372" s="30">
        <v>34749</v>
      </c>
      <c r="M2372" s="30">
        <v>35077</v>
      </c>
      <c r="N2372" s="30">
        <v>35077</v>
      </c>
      <c r="O2372" s="24" t="str">
        <f t="shared" si="73"/>
        <v>Brookings County, South Dakota</v>
      </c>
    </row>
    <row r="2373" spans="1:15" x14ac:dyDescent="0.25">
      <c r="A2373" s="35" t="s">
        <v>2848</v>
      </c>
      <c r="B2373" s="28" t="str">
        <f t="shared" si="72"/>
        <v>Brown</v>
      </c>
      <c r="C2373" s="30">
        <v>36531</v>
      </c>
      <c r="D2373" s="30">
        <v>36532</v>
      </c>
      <c r="E2373" s="30">
        <v>36653</v>
      </c>
      <c r="F2373" s="30">
        <v>36925</v>
      </c>
      <c r="G2373" s="30">
        <v>37569</v>
      </c>
      <c r="H2373" s="30">
        <v>38136</v>
      </c>
      <c r="I2373" s="30">
        <v>38255</v>
      </c>
      <c r="J2373" s="30">
        <v>38400</v>
      </c>
      <c r="K2373" s="30">
        <v>38900</v>
      </c>
      <c r="L2373" s="30">
        <v>39290</v>
      </c>
      <c r="M2373" s="30">
        <v>39145</v>
      </c>
      <c r="N2373" s="30">
        <v>38839</v>
      </c>
      <c r="O2373" s="24" t="str">
        <f t="shared" si="73"/>
        <v>Brown County, South Dakota</v>
      </c>
    </row>
    <row r="2374" spans="1:15" x14ac:dyDescent="0.25">
      <c r="A2374" s="35" t="s">
        <v>2849</v>
      </c>
      <c r="B2374" s="28" t="str">
        <f t="shared" si="72"/>
        <v>Brule</v>
      </c>
      <c r="C2374" s="30">
        <v>5255</v>
      </c>
      <c r="D2374" s="30">
        <v>5255</v>
      </c>
      <c r="E2374" s="30">
        <v>5282</v>
      </c>
      <c r="F2374" s="30">
        <v>5296</v>
      </c>
      <c r="G2374" s="30">
        <v>5293</v>
      </c>
      <c r="H2374" s="30">
        <v>5359</v>
      </c>
      <c r="I2374" s="30">
        <v>5280</v>
      </c>
      <c r="J2374" s="30">
        <v>5243</v>
      </c>
      <c r="K2374" s="30">
        <v>5216</v>
      </c>
      <c r="L2374" s="30">
        <v>5304</v>
      </c>
      <c r="M2374" s="30">
        <v>5230</v>
      </c>
      <c r="N2374" s="30">
        <v>5297</v>
      </c>
      <c r="O2374" s="24" t="str">
        <f t="shared" si="73"/>
        <v>Brule County, South Dakota</v>
      </c>
    </row>
    <row r="2375" spans="1:15" x14ac:dyDescent="0.25">
      <c r="A2375" s="35" t="s">
        <v>2850</v>
      </c>
      <c r="B2375" s="28" t="str">
        <f t="shared" ref="B2375:B2438" si="74">LEFT(A2375,FIND("County",A2375,1)-2)</f>
        <v>Buffalo</v>
      </c>
      <c r="C2375" s="30">
        <v>1912</v>
      </c>
      <c r="D2375" s="30">
        <v>1913</v>
      </c>
      <c r="E2375" s="30">
        <v>1934</v>
      </c>
      <c r="F2375" s="30">
        <v>1978</v>
      </c>
      <c r="G2375" s="30">
        <v>2016</v>
      </c>
      <c r="H2375" s="30">
        <v>2025</v>
      </c>
      <c r="I2375" s="30">
        <v>2086</v>
      </c>
      <c r="J2375" s="30">
        <v>2098</v>
      </c>
      <c r="K2375" s="30">
        <v>2030</v>
      </c>
      <c r="L2375" s="30">
        <v>2013</v>
      </c>
      <c r="M2375" s="30">
        <v>2027</v>
      </c>
      <c r="N2375" s="30">
        <v>1962</v>
      </c>
      <c r="O2375" s="24" t="str">
        <f t="shared" ref="O2375:O2438" si="75">A2375</f>
        <v>Buffalo County, South Dakota</v>
      </c>
    </row>
    <row r="2376" spans="1:15" x14ac:dyDescent="0.25">
      <c r="A2376" s="35" t="s">
        <v>2851</v>
      </c>
      <c r="B2376" s="28" t="str">
        <f t="shared" si="74"/>
        <v>Butte</v>
      </c>
      <c r="C2376" s="30">
        <v>10110</v>
      </c>
      <c r="D2376" s="30">
        <v>10112</v>
      </c>
      <c r="E2376" s="30">
        <v>10144</v>
      </c>
      <c r="F2376" s="30">
        <v>10308</v>
      </c>
      <c r="G2376" s="30">
        <v>10217</v>
      </c>
      <c r="H2376" s="30">
        <v>10281</v>
      </c>
      <c r="I2376" s="30">
        <v>10243</v>
      </c>
      <c r="J2376" s="30">
        <v>10207</v>
      </c>
      <c r="K2376" s="30">
        <v>10124</v>
      </c>
      <c r="L2376" s="30">
        <v>10114</v>
      </c>
      <c r="M2376" s="30">
        <v>10253</v>
      </c>
      <c r="N2376" s="30">
        <v>10429</v>
      </c>
      <c r="O2376" s="24" t="str">
        <f t="shared" si="75"/>
        <v>Butte County, South Dakota</v>
      </c>
    </row>
    <row r="2377" spans="1:15" x14ac:dyDescent="0.25">
      <c r="A2377" s="35" t="s">
        <v>2852</v>
      </c>
      <c r="B2377" s="28" t="str">
        <f t="shared" si="74"/>
        <v>Campbell</v>
      </c>
      <c r="C2377" s="30">
        <v>1466</v>
      </c>
      <c r="D2377" s="30">
        <v>1466</v>
      </c>
      <c r="E2377" s="30">
        <v>1471</v>
      </c>
      <c r="F2377" s="30">
        <v>1423</v>
      </c>
      <c r="G2377" s="30">
        <v>1405</v>
      </c>
      <c r="H2377" s="30">
        <v>1368</v>
      </c>
      <c r="I2377" s="30">
        <v>1401</v>
      </c>
      <c r="J2377" s="30">
        <v>1413</v>
      </c>
      <c r="K2377" s="30">
        <v>1386</v>
      </c>
      <c r="L2377" s="30">
        <v>1372</v>
      </c>
      <c r="M2377" s="30">
        <v>1366</v>
      </c>
      <c r="N2377" s="30">
        <v>1376</v>
      </c>
      <c r="O2377" s="24" t="str">
        <f t="shared" si="75"/>
        <v>Campbell County, South Dakota</v>
      </c>
    </row>
    <row r="2378" spans="1:15" x14ac:dyDescent="0.25">
      <c r="A2378" s="35" t="s">
        <v>2853</v>
      </c>
      <c r="B2378" s="28" t="str">
        <f t="shared" si="74"/>
        <v>Charles Mix</v>
      </c>
      <c r="C2378" s="30">
        <v>9129</v>
      </c>
      <c r="D2378" s="30">
        <v>9131</v>
      </c>
      <c r="E2378" s="30">
        <v>9154</v>
      </c>
      <c r="F2378" s="30">
        <v>9190</v>
      </c>
      <c r="G2378" s="30">
        <v>9196</v>
      </c>
      <c r="H2378" s="30">
        <v>9187</v>
      </c>
      <c r="I2378" s="30">
        <v>9239</v>
      </c>
      <c r="J2378" s="30">
        <v>9360</v>
      </c>
      <c r="K2378" s="30">
        <v>9358</v>
      </c>
      <c r="L2378" s="30">
        <v>9404</v>
      </c>
      <c r="M2378" s="30">
        <v>9331</v>
      </c>
      <c r="N2378" s="30">
        <v>9292</v>
      </c>
      <c r="O2378" s="24" t="str">
        <f t="shared" si="75"/>
        <v>Charles Mix County, South Dakota</v>
      </c>
    </row>
    <row r="2379" spans="1:15" x14ac:dyDescent="0.25">
      <c r="A2379" s="35" t="s">
        <v>2854</v>
      </c>
      <c r="B2379" s="28" t="str">
        <f t="shared" si="74"/>
        <v>Clark</v>
      </c>
      <c r="C2379" s="30">
        <v>3691</v>
      </c>
      <c r="D2379" s="30">
        <v>3691</v>
      </c>
      <c r="E2379" s="30">
        <v>3698</v>
      </c>
      <c r="F2379" s="30">
        <v>3596</v>
      </c>
      <c r="G2379" s="30">
        <v>3594</v>
      </c>
      <c r="H2379" s="30">
        <v>3625</v>
      </c>
      <c r="I2379" s="30">
        <v>3649</v>
      </c>
      <c r="J2379" s="30">
        <v>3649</v>
      </c>
      <c r="K2379" s="30">
        <v>3637</v>
      </c>
      <c r="L2379" s="30">
        <v>3679</v>
      </c>
      <c r="M2379" s="30">
        <v>3726</v>
      </c>
      <c r="N2379" s="30">
        <v>3736</v>
      </c>
      <c r="O2379" s="24" t="str">
        <f t="shared" si="75"/>
        <v>Clark County, South Dakota</v>
      </c>
    </row>
    <row r="2380" spans="1:15" x14ac:dyDescent="0.25">
      <c r="A2380" s="35" t="s">
        <v>2855</v>
      </c>
      <c r="B2380" s="28" t="str">
        <f t="shared" si="74"/>
        <v>Clay</v>
      </c>
      <c r="C2380" s="30">
        <v>13864</v>
      </c>
      <c r="D2380" s="30">
        <v>13866</v>
      </c>
      <c r="E2380" s="30">
        <v>13828</v>
      </c>
      <c r="F2380" s="30">
        <v>13983</v>
      </c>
      <c r="G2380" s="30">
        <v>14064</v>
      </c>
      <c r="H2380" s="30">
        <v>13896</v>
      </c>
      <c r="I2380" s="30">
        <v>13883</v>
      </c>
      <c r="J2380" s="30">
        <v>13768</v>
      </c>
      <c r="K2380" s="30">
        <v>13933</v>
      </c>
      <c r="L2380" s="30">
        <v>14032</v>
      </c>
      <c r="M2380" s="30">
        <v>13983</v>
      </c>
      <c r="N2380" s="30">
        <v>14070</v>
      </c>
      <c r="O2380" s="24" t="str">
        <f t="shared" si="75"/>
        <v>Clay County, South Dakota</v>
      </c>
    </row>
    <row r="2381" spans="1:15" x14ac:dyDescent="0.25">
      <c r="A2381" s="35" t="s">
        <v>2856</v>
      </c>
      <c r="B2381" s="28" t="str">
        <f t="shared" si="74"/>
        <v>Codington</v>
      </c>
      <c r="C2381" s="30">
        <v>27227</v>
      </c>
      <c r="D2381" s="30">
        <v>27225</v>
      </c>
      <c r="E2381" s="30">
        <v>27212</v>
      </c>
      <c r="F2381" s="30">
        <v>27432</v>
      </c>
      <c r="G2381" s="30">
        <v>27626</v>
      </c>
      <c r="H2381" s="30">
        <v>27863</v>
      </c>
      <c r="I2381" s="30">
        <v>27953</v>
      </c>
      <c r="J2381" s="30">
        <v>27899</v>
      </c>
      <c r="K2381" s="30">
        <v>28062</v>
      </c>
      <c r="L2381" s="30">
        <v>28125</v>
      </c>
      <c r="M2381" s="30">
        <v>28033</v>
      </c>
      <c r="N2381" s="30">
        <v>28009</v>
      </c>
      <c r="O2381" s="24" t="str">
        <f t="shared" si="75"/>
        <v>Codington County, South Dakota</v>
      </c>
    </row>
    <row r="2382" spans="1:15" x14ac:dyDescent="0.25">
      <c r="A2382" s="35" t="s">
        <v>2857</v>
      </c>
      <c r="B2382" s="28" t="str">
        <f t="shared" si="74"/>
        <v>Corson</v>
      </c>
      <c r="C2382" s="30">
        <v>4050</v>
      </c>
      <c r="D2382" s="30">
        <v>4040</v>
      </c>
      <c r="E2382" s="30">
        <v>4067</v>
      </c>
      <c r="F2382" s="30">
        <v>4036</v>
      </c>
      <c r="G2382" s="30">
        <v>4069</v>
      </c>
      <c r="H2382" s="30">
        <v>4208</v>
      </c>
      <c r="I2382" s="30">
        <v>4172</v>
      </c>
      <c r="J2382" s="30">
        <v>4175</v>
      </c>
      <c r="K2382" s="30">
        <v>4118</v>
      </c>
      <c r="L2382" s="30">
        <v>4195</v>
      </c>
      <c r="M2382" s="30">
        <v>4178</v>
      </c>
      <c r="N2382" s="30">
        <v>4086</v>
      </c>
      <c r="O2382" s="24" t="str">
        <f t="shared" si="75"/>
        <v>Corson County, South Dakota</v>
      </c>
    </row>
    <row r="2383" spans="1:15" x14ac:dyDescent="0.25">
      <c r="A2383" s="35" t="s">
        <v>2858</v>
      </c>
      <c r="B2383" s="28" t="str">
        <f t="shared" si="74"/>
        <v>Custer</v>
      </c>
      <c r="C2383" s="30">
        <v>8216</v>
      </c>
      <c r="D2383" s="30">
        <v>8218</v>
      </c>
      <c r="E2383" s="30">
        <v>8275</v>
      </c>
      <c r="F2383" s="30">
        <v>8346</v>
      </c>
      <c r="G2383" s="30">
        <v>8315</v>
      </c>
      <c r="H2383" s="30">
        <v>8404</v>
      </c>
      <c r="I2383" s="30">
        <v>8428</v>
      </c>
      <c r="J2383" s="30">
        <v>8444</v>
      </c>
      <c r="K2383" s="30">
        <v>8606</v>
      </c>
      <c r="L2383" s="30">
        <v>8763</v>
      </c>
      <c r="M2383" s="30">
        <v>8812</v>
      </c>
      <c r="N2383" s="30">
        <v>8972</v>
      </c>
      <c r="O2383" s="24" t="str">
        <f t="shared" si="75"/>
        <v>Custer County, South Dakota</v>
      </c>
    </row>
    <row r="2384" spans="1:15" x14ac:dyDescent="0.25">
      <c r="A2384" s="35" t="s">
        <v>2859</v>
      </c>
      <c r="B2384" s="28" t="str">
        <f t="shared" si="74"/>
        <v>Davison</v>
      </c>
      <c r="C2384" s="30">
        <v>19504</v>
      </c>
      <c r="D2384" s="30">
        <v>19504</v>
      </c>
      <c r="E2384" s="30">
        <v>19482</v>
      </c>
      <c r="F2384" s="30">
        <v>19720</v>
      </c>
      <c r="G2384" s="30">
        <v>19952</v>
      </c>
      <c r="H2384" s="30">
        <v>19941</v>
      </c>
      <c r="I2384" s="30">
        <v>19967</v>
      </c>
      <c r="J2384" s="30">
        <v>19916</v>
      </c>
      <c r="K2384" s="30">
        <v>20011</v>
      </c>
      <c r="L2384" s="30">
        <v>19870</v>
      </c>
      <c r="M2384" s="30">
        <v>19784</v>
      </c>
      <c r="N2384" s="30">
        <v>19775</v>
      </c>
      <c r="O2384" s="24" t="str">
        <f t="shared" si="75"/>
        <v>Davison County, South Dakota</v>
      </c>
    </row>
    <row r="2385" spans="1:15" x14ac:dyDescent="0.25">
      <c r="A2385" s="35" t="s">
        <v>2860</v>
      </c>
      <c r="B2385" s="28" t="str">
        <f t="shared" si="74"/>
        <v>Day</v>
      </c>
      <c r="C2385" s="30">
        <v>5710</v>
      </c>
      <c r="D2385" s="30">
        <v>5710</v>
      </c>
      <c r="E2385" s="30">
        <v>5709</v>
      </c>
      <c r="F2385" s="30">
        <v>5740</v>
      </c>
      <c r="G2385" s="30">
        <v>5592</v>
      </c>
      <c r="H2385" s="30">
        <v>5575</v>
      </c>
      <c r="I2385" s="30">
        <v>5503</v>
      </c>
      <c r="J2385" s="30">
        <v>5496</v>
      </c>
      <c r="K2385" s="30">
        <v>5509</v>
      </c>
      <c r="L2385" s="30">
        <v>5494</v>
      </c>
      <c r="M2385" s="30">
        <v>5507</v>
      </c>
      <c r="N2385" s="30">
        <v>5424</v>
      </c>
      <c r="O2385" s="24" t="str">
        <f t="shared" si="75"/>
        <v>Day County, South Dakota</v>
      </c>
    </row>
    <row r="2386" spans="1:15" x14ac:dyDescent="0.25">
      <c r="A2386" s="35" t="s">
        <v>2861</v>
      </c>
      <c r="B2386" s="28" t="str">
        <f t="shared" si="74"/>
        <v>Deuel</v>
      </c>
      <c r="C2386" s="30">
        <v>4364</v>
      </c>
      <c r="D2386" s="30">
        <v>4364</v>
      </c>
      <c r="E2386" s="30">
        <v>4350</v>
      </c>
      <c r="F2386" s="30">
        <v>4367</v>
      </c>
      <c r="G2386" s="30">
        <v>4375</v>
      </c>
      <c r="H2386" s="30">
        <v>4310</v>
      </c>
      <c r="I2386" s="30">
        <v>4320</v>
      </c>
      <c r="J2386" s="30">
        <v>4323</v>
      </c>
      <c r="K2386" s="30">
        <v>4253</v>
      </c>
      <c r="L2386" s="30">
        <v>4311</v>
      </c>
      <c r="M2386" s="30">
        <v>4352</v>
      </c>
      <c r="N2386" s="30">
        <v>4351</v>
      </c>
      <c r="O2386" s="24" t="str">
        <f t="shared" si="75"/>
        <v>Deuel County, South Dakota</v>
      </c>
    </row>
    <row r="2387" spans="1:15" x14ac:dyDescent="0.25">
      <c r="A2387" s="35" t="s">
        <v>2862</v>
      </c>
      <c r="B2387" s="28" t="str">
        <f t="shared" si="74"/>
        <v>Dewey</v>
      </c>
      <c r="C2387" s="30">
        <v>5301</v>
      </c>
      <c r="D2387" s="30">
        <v>5301</v>
      </c>
      <c r="E2387" s="30">
        <v>5327</v>
      </c>
      <c r="F2387" s="30">
        <v>5399</v>
      </c>
      <c r="G2387" s="30">
        <v>5534</v>
      </c>
      <c r="H2387" s="30">
        <v>5586</v>
      </c>
      <c r="I2387" s="30">
        <v>5668</v>
      </c>
      <c r="J2387" s="30">
        <v>5705</v>
      </c>
      <c r="K2387" s="30">
        <v>5785</v>
      </c>
      <c r="L2387" s="30">
        <v>5857</v>
      </c>
      <c r="M2387" s="30">
        <v>5925</v>
      </c>
      <c r="N2387" s="30">
        <v>5892</v>
      </c>
      <c r="O2387" s="24" t="str">
        <f t="shared" si="75"/>
        <v>Dewey County, South Dakota</v>
      </c>
    </row>
    <row r="2388" spans="1:15" x14ac:dyDescent="0.25">
      <c r="A2388" s="35" t="s">
        <v>2863</v>
      </c>
      <c r="B2388" s="28" t="str">
        <f t="shared" si="74"/>
        <v>Douglas</v>
      </c>
      <c r="C2388" s="30">
        <v>3002</v>
      </c>
      <c r="D2388" s="30">
        <v>3000</v>
      </c>
      <c r="E2388" s="30">
        <v>2994</v>
      </c>
      <c r="F2388" s="30">
        <v>2974</v>
      </c>
      <c r="G2388" s="30">
        <v>2948</v>
      </c>
      <c r="H2388" s="30">
        <v>2974</v>
      </c>
      <c r="I2388" s="30">
        <v>2928</v>
      </c>
      <c r="J2388" s="30">
        <v>2952</v>
      </c>
      <c r="K2388" s="30">
        <v>2919</v>
      </c>
      <c r="L2388" s="30">
        <v>2927</v>
      </c>
      <c r="M2388" s="30">
        <v>2926</v>
      </c>
      <c r="N2388" s="30">
        <v>2921</v>
      </c>
      <c r="O2388" s="24" t="str">
        <f t="shared" si="75"/>
        <v>Douglas County, South Dakota</v>
      </c>
    </row>
    <row r="2389" spans="1:15" x14ac:dyDescent="0.25">
      <c r="A2389" s="35" t="s">
        <v>2864</v>
      </c>
      <c r="B2389" s="28" t="str">
        <f t="shared" si="74"/>
        <v>Edmunds</v>
      </c>
      <c r="C2389" s="30">
        <v>4071</v>
      </c>
      <c r="D2389" s="30">
        <v>4071</v>
      </c>
      <c r="E2389" s="30">
        <v>4065</v>
      </c>
      <c r="F2389" s="30">
        <v>4041</v>
      </c>
      <c r="G2389" s="30">
        <v>4011</v>
      </c>
      <c r="H2389" s="30">
        <v>4023</v>
      </c>
      <c r="I2389" s="30">
        <v>3969</v>
      </c>
      <c r="J2389" s="30">
        <v>3996</v>
      </c>
      <c r="K2389" s="30">
        <v>3939</v>
      </c>
      <c r="L2389" s="30">
        <v>3915</v>
      </c>
      <c r="M2389" s="30">
        <v>3866</v>
      </c>
      <c r="N2389" s="30">
        <v>3829</v>
      </c>
      <c r="O2389" s="24" t="str">
        <f t="shared" si="75"/>
        <v>Edmunds County, South Dakota</v>
      </c>
    </row>
    <row r="2390" spans="1:15" x14ac:dyDescent="0.25">
      <c r="A2390" s="35" t="s">
        <v>2865</v>
      </c>
      <c r="B2390" s="28" t="str">
        <f t="shared" si="74"/>
        <v>Fall River</v>
      </c>
      <c r="C2390" s="30">
        <v>7094</v>
      </c>
      <c r="D2390" s="30">
        <v>7094</v>
      </c>
      <c r="E2390" s="30">
        <v>7114</v>
      </c>
      <c r="F2390" s="30">
        <v>6955</v>
      </c>
      <c r="G2390" s="30">
        <v>6970</v>
      </c>
      <c r="H2390" s="30">
        <v>6806</v>
      </c>
      <c r="I2390" s="30">
        <v>6846</v>
      </c>
      <c r="J2390" s="30">
        <v>6800</v>
      </c>
      <c r="K2390" s="30">
        <v>6785</v>
      </c>
      <c r="L2390" s="30">
        <v>6698</v>
      </c>
      <c r="M2390" s="30">
        <v>6740</v>
      </c>
      <c r="N2390" s="30">
        <v>6713</v>
      </c>
      <c r="O2390" s="24" t="str">
        <f t="shared" si="75"/>
        <v>Fall River County, South Dakota</v>
      </c>
    </row>
    <row r="2391" spans="1:15" x14ac:dyDescent="0.25">
      <c r="A2391" s="35" t="s">
        <v>2866</v>
      </c>
      <c r="B2391" s="28" t="str">
        <f t="shared" si="74"/>
        <v>Faulk</v>
      </c>
      <c r="C2391" s="30">
        <v>2364</v>
      </c>
      <c r="D2391" s="30">
        <v>2364</v>
      </c>
      <c r="E2391" s="30">
        <v>2368</v>
      </c>
      <c r="F2391" s="30">
        <v>2355</v>
      </c>
      <c r="G2391" s="30">
        <v>2355</v>
      </c>
      <c r="H2391" s="30">
        <v>2349</v>
      </c>
      <c r="I2391" s="30">
        <v>2320</v>
      </c>
      <c r="J2391" s="30">
        <v>2307</v>
      </c>
      <c r="K2391" s="30">
        <v>2317</v>
      </c>
      <c r="L2391" s="30">
        <v>2323</v>
      </c>
      <c r="M2391" s="30">
        <v>2315</v>
      </c>
      <c r="N2391" s="30">
        <v>2299</v>
      </c>
      <c r="O2391" s="24" t="str">
        <f t="shared" si="75"/>
        <v>Faulk County, South Dakota</v>
      </c>
    </row>
    <row r="2392" spans="1:15" x14ac:dyDescent="0.25">
      <c r="A2392" s="35" t="s">
        <v>2867</v>
      </c>
      <c r="B2392" s="28" t="str">
        <f t="shared" si="74"/>
        <v>Grant</v>
      </c>
      <c r="C2392" s="30">
        <v>7356</v>
      </c>
      <c r="D2392" s="30">
        <v>7358</v>
      </c>
      <c r="E2392" s="30">
        <v>7349</v>
      </c>
      <c r="F2392" s="30">
        <v>7355</v>
      </c>
      <c r="G2392" s="30">
        <v>7398</v>
      </c>
      <c r="H2392" s="30">
        <v>7386</v>
      </c>
      <c r="I2392" s="30">
        <v>7311</v>
      </c>
      <c r="J2392" s="30">
        <v>7218</v>
      </c>
      <c r="K2392" s="30">
        <v>7212</v>
      </c>
      <c r="L2392" s="30">
        <v>7159</v>
      </c>
      <c r="M2392" s="30">
        <v>7103</v>
      </c>
      <c r="N2392" s="30">
        <v>7052</v>
      </c>
      <c r="O2392" s="24" t="str">
        <f t="shared" si="75"/>
        <v>Grant County, South Dakota</v>
      </c>
    </row>
    <row r="2393" spans="1:15" x14ac:dyDescent="0.25">
      <c r="A2393" s="35" t="s">
        <v>2868</v>
      </c>
      <c r="B2393" s="28" t="str">
        <f t="shared" si="74"/>
        <v>Gregory</v>
      </c>
      <c r="C2393" s="30">
        <v>4271</v>
      </c>
      <c r="D2393" s="30">
        <v>4271</v>
      </c>
      <c r="E2393" s="30">
        <v>4270</v>
      </c>
      <c r="F2393" s="30">
        <v>4220</v>
      </c>
      <c r="G2393" s="30">
        <v>4243</v>
      </c>
      <c r="H2393" s="30">
        <v>4232</v>
      </c>
      <c r="I2393" s="30">
        <v>4226</v>
      </c>
      <c r="J2393" s="30">
        <v>4192</v>
      </c>
      <c r="K2393" s="30">
        <v>4158</v>
      </c>
      <c r="L2393" s="30">
        <v>4206</v>
      </c>
      <c r="M2393" s="30">
        <v>4189</v>
      </c>
      <c r="N2393" s="30">
        <v>4185</v>
      </c>
      <c r="O2393" s="24" t="str">
        <f t="shared" si="75"/>
        <v>Gregory County, South Dakota</v>
      </c>
    </row>
    <row r="2394" spans="1:15" x14ac:dyDescent="0.25">
      <c r="A2394" s="35" t="s">
        <v>2869</v>
      </c>
      <c r="B2394" s="28" t="str">
        <f t="shared" si="74"/>
        <v>Haakon</v>
      </c>
      <c r="C2394" s="30">
        <v>1937</v>
      </c>
      <c r="D2394" s="30">
        <v>1937</v>
      </c>
      <c r="E2394" s="30">
        <v>1931</v>
      </c>
      <c r="F2394" s="30">
        <v>1919</v>
      </c>
      <c r="G2394" s="30">
        <v>1923</v>
      </c>
      <c r="H2394" s="30">
        <v>1881</v>
      </c>
      <c r="I2394" s="30">
        <v>1846</v>
      </c>
      <c r="J2394" s="30">
        <v>1850</v>
      </c>
      <c r="K2394" s="30">
        <v>1885</v>
      </c>
      <c r="L2394" s="30">
        <v>1921</v>
      </c>
      <c r="M2394" s="30">
        <v>1902</v>
      </c>
      <c r="N2394" s="30">
        <v>1899</v>
      </c>
      <c r="O2394" s="24" t="str">
        <f t="shared" si="75"/>
        <v>Haakon County, South Dakota</v>
      </c>
    </row>
    <row r="2395" spans="1:15" x14ac:dyDescent="0.25">
      <c r="A2395" s="35" t="s">
        <v>2870</v>
      </c>
      <c r="B2395" s="28" t="str">
        <f t="shared" si="74"/>
        <v>Hamlin</v>
      </c>
      <c r="C2395" s="30">
        <v>5903</v>
      </c>
      <c r="D2395" s="30">
        <v>5899</v>
      </c>
      <c r="E2395" s="30">
        <v>5915</v>
      </c>
      <c r="F2395" s="30">
        <v>5965</v>
      </c>
      <c r="G2395" s="30">
        <v>5947</v>
      </c>
      <c r="H2395" s="30">
        <v>5928</v>
      </c>
      <c r="I2395" s="30">
        <v>5954</v>
      </c>
      <c r="J2395" s="30">
        <v>5976</v>
      </c>
      <c r="K2395" s="30">
        <v>5917</v>
      </c>
      <c r="L2395" s="30">
        <v>5998</v>
      </c>
      <c r="M2395" s="30">
        <v>6070</v>
      </c>
      <c r="N2395" s="30">
        <v>6164</v>
      </c>
      <c r="O2395" s="24" t="str">
        <f t="shared" si="75"/>
        <v>Hamlin County, South Dakota</v>
      </c>
    </row>
    <row r="2396" spans="1:15" x14ac:dyDescent="0.25">
      <c r="A2396" s="35" t="s">
        <v>2871</v>
      </c>
      <c r="B2396" s="28" t="str">
        <f t="shared" si="74"/>
        <v>Hand</v>
      </c>
      <c r="C2396" s="30">
        <v>3431</v>
      </c>
      <c r="D2396" s="30">
        <v>3430</v>
      </c>
      <c r="E2396" s="30">
        <v>3434</v>
      </c>
      <c r="F2396" s="30">
        <v>3435</v>
      </c>
      <c r="G2396" s="30">
        <v>3377</v>
      </c>
      <c r="H2396" s="30">
        <v>3376</v>
      </c>
      <c r="I2396" s="30">
        <v>3340</v>
      </c>
      <c r="J2396" s="30">
        <v>3306</v>
      </c>
      <c r="K2396" s="30">
        <v>3275</v>
      </c>
      <c r="L2396" s="30">
        <v>3275</v>
      </c>
      <c r="M2396" s="30">
        <v>3240</v>
      </c>
      <c r="N2396" s="30">
        <v>3191</v>
      </c>
      <c r="O2396" s="24" t="str">
        <f t="shared" si="75"/>
        <v>Hand County, South Dakota</v>
      </c>
    </row>
    <row r="2397" spans="1:15" x14ac:dyDescent="0.25">
      <c r="A2397" s="35" t="s">
        <v>2872</v>
      </c>
      <c r="B2397" s="28" t="str">
        <f t="shared" si="74"/>
        <v>Hanson</v>
      </c>
      <c r="C2397" s="30">
        <v>3331</v>
      </c>
      <c r="D2397" s="30">
        <v>3332</v>
      </c>
      <c r="E2397" s="30">
        <v>3330</v>
      </c>
      <c r="F2397" s="30">
        <v>3374</v>
      </c>
      <c r="G2397" s="30">
        <v>3380</v>
      </c>
      <c r="H2397" s="30">
        <v>3402</v>
      </c>
      <c r="I2397" s="30">
        <v>3421</v>
      </c>
      <c r="J2397" s="30">
        <v>3387</v>
      </c>
      <c r="K2397" s="30">
        <v>3383</v>
      </c>
      <c r="L2397" s="30">
        <v>3409</v>
      </c>
      <c r="M2397" s="30">
        <v>3364</v>
      </c>
      <c r="N2397" s="30">
        <v>3453</v>
      </c>
      <c r="O2397" s="24" t="str">
        <f t="shared" si="75"/>
        <v>Hanson County, South Dakota</v>
      </c>
    </row>
    <row r="2398" spans="1:15" x14ac:dyDescent="0.25">
      <c r="A2398" s="35" t="s">
        <v>2873</v>
      </c>
      <c r="B2398" s="28" t="str">
        <f t="shared" si="74"/>
        <v>Harding</v>
      </c>
      <c r="C2398" s="30">
        <v>1255</v>
      </c>
      <c r="D2398" s="30">
        <v>1255</v>
      </c>
      <c r="E2398" s="30">
        <v>1246</v>
      </c>
      <c r="F2398" s="30">
        <v>1275</v>
      </c>
      <c r="G2398" s="30">
        <v>1304</v>
      </c>
      <c r="H2398" s="30">
        <v>1259</v>
      </c>
      <c r="I2398" s="30">
        <v>1245</v>
      </c>
      <c r="J2398" s="30">
        <v>1270</v>
      </c>
      <c r="K2398" s="30">
        <v>1267</v>
      </c>
      <c r="L2398" s="30">
        <v>1244</v>
      </c>
      <c r="M2398" s="30">
        <v>1252</v>
      </c>
      <c r="N2398" s="30">
        <v>1298</v>
      </c>
      <c r="O2398" s="24" t="str">
        <f t="shared" si="75"/>
        <v>Harding County, South Dakota</v>
      </c>
    </row>
    <row r="2399" spans="1:15" x14ac:dyDescent="0.25">
      <c r="A2399" s="35" t="s">
        <v>2874</v>
      </c>
      <c r="B2399" s="28" t="str">
        <f t="shared" si="74"/>
        <v>Hughes</v>
      </c>
      <c r="C2399" s="30">
        <v>17022</v>
      </c>
      <c r="D2399" s="30">
        <v>17022</v>
      </c>
      <c r="E2399" s="30">
        <v>17072</v>
      </c>
      <c r="F2399" s="30">
        <v>17310</v>
      </c>
      <c r="G2399" s="30">
        <v>17435</v>
      </c>
      <c r="H2399" s="30">
        <v>17428</v>
      </c>
      <c r="I2399" s="30">
        <v>17627</v>
      </c>
      <c r="J2399" s="30">
        <v>17555</v>
      </c>
      <c r="K2399" s="30">
        <v>17604</v>
      </c>
      <c r="L2399" s="30">
        <v>17670</v>
      </c>
      <c r="M2399" s="30">
        <v>17683</v>
      </c>
      <c r="N2399" s="30">
        <v>17526</v>
      </c>
      <c r="O2399" s="24" t="str">
        <f t="shared" si="75"/>
        <v>Hughes County, South Dakota</v>
      </c>
    </row>
    <row r="2400" spans="1:15" x14ac:dyDescent="0.25">
      <c r="A2400" s="35" t="s">
        <v>2875</v>
      </c>
      <c r="B2400" s="28" t="str">
        <f t="shared" si="74"/>
        <v>Hutchinson</v>
      </c>
      <c r="C2400" s="30">
        <v>7343</v>
      </c>
      <c r="D2400" s="30">
        <v>7343</v>
      </c>
      <c r="E2400" s="30">
        <v>7337</v>
      </c>
      <c r="F2400" s="30">
        <v>7247</v>
      </c>
      <c r="G2400" s="30">
        <v>7255</v>
      </c>
      <c r="H2400" s="30">
        <v>7190</v>
      </c>
      <c r="I2400" s="30">
        <v>7225</v>
      </c>
      <c r="J2400" s="30">
        <v>7267</v>
      </c>
      <c r="K2400" s="30">
        <v>7327</v>
      </c>
      <c r="L2400" s="30">
        <v>7349</v>
      </c>
      <c r="M2400" s="30">
        <v>7306</v>
      </c>
      <c r="N2400" s="30">
        <v>7291</v>
      </c>
      <c r="O2400" s="24" t="str">
        <f t="shared" si="75"/>
        <v>Hutchinson County, South Dakota</v>
      </c>
    </row>
    <row r="2401" spans="1:15" x14ac:dyDescent="0.25">
      <c r="A2401" s="35" t="s">
        <v>2876</v>
      </c>
      <c r="B2401" s="28" t="str">
        <f t="shared" si="74"/>
        <v>Hyde</v>
      </c>
      <c r="C2401" s="30">
        <v>1420</v>
      </c>
      <c r="D2401" s="30">
        <v>1420</v>
      </c>
      <c r="E2401" s="30">
        <v>1422</v>
      </c>
      <c r="F2401" s="30">
        <v>1399</v>
      </c>
      <c r="G2401" s="30">
        <v>1429</v>
      </c>
      <c r="H2401" s="30">
        <v>1379</v>
      </c>
      <c r="I2401" s="30">
        <v>1393</v>
      </c>
      <c r="J2401" s="30">
        <v>1386</v>
      </c>
      <c r="K2401" s="30">
        <v>1333</v>
      </c>
      <c r="L2401" s="30">
        <v>1297</v>
      </c>
      <c r="M2401" s="30">
        <v>1271</v>
      </c>
      <c r="N2401" s="30">
        <v>1301</v>
      </c>
      <c r="O2401" s="24" t="str">
        <f t="shared" si="75"/>
        <v>Hyde County, South Dakota</v>
      </c>
    </row>
    <row r="2402" spans="1:15" x14ac:dyDescent="0.25">
      <c r="A2402" s="35" t="s">
        <v>2877</v>
      </c>
      <c r="B2402" s="28" t="str">
        <f t="shared" si="74"/>
        <v>Jackson</v>
      </c>
      <c r="C2402" s="30">
        <v>3031</v>
      </c>
      <c r="D2402" s="30">
        <v>3030</v>
      </c>
      <c r="E2402" s="30">
        <v>3050</v>
      </c>
      <c r="F2402" s="30">
        <v>3157</v>
      </c>
      <c r="G2402" s="30">
        <v>3171</v>
      </c>
      <c r="H2402" s="30">
        <v>3233</v>
      </c>
      <c r="I2402" s="30">
        <v>3270</v>
      </c>
      <c r="J2402" s="30">
        <v>3278</v>
      </c>
      <c r="K2402" s="30">
        <v>3280</v>
      </c>
      <c r="L2402" s="30">
        <v>3269</v>
      </c>
      <c r="M2402" s="30">
        <v>3278</v>
      </c>
      <c r="N2402" s="30">
        <v>3344</v>
      </c>
      <c r="O2402" s="24" t="str">
        <f t="shared" si="75"/>
        <v>Jackson County, South Dakota</v>
      </c>
    </row>
    <row r="2403" spans="1:15" x14ac:dyDescent="0.25">
      <c r="A2403" s="35" t="s">
        <v>2878</v>
      </c>
      <c r="B2403" s="28" t="str">
        <f t="shared" si="74"/>
        <v>Jerauld</v>
      </c>
      <c r="C2403" s="30">
        <v>2071</v>
      </c>
      <c r="D2403" s="30">
        <v>2071</v>
      </c>
      <c r="E2403" s="30">
        <v>2091</v>
      </c>
      <c r="F2403" s="30">
        <v>2074</v>
      </c>
      <c r="G2403" s="30">
        <v>2054</v>
      </c>
      <c r="H2403" s="30">
        <v>2070</v>
      </c>
      <c r="I2403" s="30">
        <v>2040</v>
      </c>
      <c r="J2403" s="30">
        <v>2018</v>
      </c>
      <c r="K2403" s="30">
        <v>2008</v>
      </c>
      <c r="L2403" s="30">
        <v>2024</v>
      </c>
      <c r="M2403" s="30">
        <v>2026</v>
      </c>
      <c r="N2403" s="30">
        <v>2013</v>
      </c>
      <c r="O2403" s="24" t="str">
        <f t="shared" si="75"/>
        <v>Jerauld County, South Dakota</v>
      </c>
    </row>
    <row r="2404" spans="1:15" x14ac:dyDescent="0.25">
      <c r="A2404" s="35" t="s">
        <v>2879</v>
      </c>
      <c r="B2404" s="28" t="str">
        <f t="shared" si="74"/>
        <v>Jones</v>
      </c>
      <c r="C2404" s="30">
        <v>1006</v>
      </c>
      <c r="D2404" s="30">
        <v>1006</v>
      </c>
      <c r="E2404" s="30">
        <v>1011</v>
      </c>
      <c r="F2404" s="30">
        <v>1004</v>
      </c>
      <c r="G2404" s="30">
        <v>991</v>
      </c>
      <c r="H2404" s="30">
        <v>972</v>
      </c>
      <c r="I2404" s="30">
        <v>956</v>
      </c>
      <c r="J2404" s="30">
        <v>917</v>
      </c>
      <c r="K2404" s="30">
        <v>931</v>
      </c>
      <c r="L2404" s="30">
        <v>922</v>
      </c>
      <c r="M2404" s="30">
        <v>928</v>
      </c>
      <c r="N2404" s="30">
        <v>903</v>
      </c>
      <c r="O2404" s="24" t="str">
        <f t="shared" si="75"/>
        <v>Jones County, South Dakota</v>
      </c>
    </row>
    <row r="2405" spans="1:15" x14ac:dyDescent="0.25">
      <c r="A2405" s="35" t="s">
        <v>2880</v>
      </c>
      <c r="B2405" s="28" t="str">
        <f t="shared" si="74"/>
        <v>Kingsbury</v>
      </c>
      <c r="C2405" s="30">
        <v>5148</v>
      </c>
      <c r="D2405" s="30">
        <v>5147</v>
      </c>
      <c r="E2405" s="30">
        <v>5132</v>
      </c>
      <c r="F2405" s="30">
        <v>5169</v>
      </c>
      <c r="G2405" s="30">
        <v>5231</v>
      </c>
      <c r="H2405" s="30">
        <v>5065</v>
      </c>
      <c r="I2405" s="30">
        <v>5052</v>
      </c>
      <c r="J2405" s="30">
        <v>4952</v>
      </c>
      <c r="K2405" s="30">
        <v>4973</v>
      </c>
      <c r="L2405" s="30">
        <v>4929</v>
      </c>
      <c r="M2405" s="30">
        <v>4926</v>
      </c>
      <c r="N2405" s="30">
        <v>4939</v>
      </c>
      <c r="O2405" s="24" t="str">
        <f t="shared" si="75"/>
        <v>Kingsbury County, South Dakota</v>
      </c>
    </row>
    <row r="2406" spans="1:15" x14ac:dyDescent="0.25">
      <c r="A2406" s="35" t="s">
        <v>2881</v>
      </c>
      <c r="B2406" s="28" t="str">
        <f t="shared" si="74"/>
        <v>Lake</v>
      </c>
      <c r="C2406" s="30">
        <v>11200</v>
      </c>
      <c r="D2406" s="30">
        <v>11202</v>
      </c>
      <c r="E2406" s="30">
        <v>11279</v>
      </c>
      <c r="F2406" s="30">
        <v>11559</v>
      </c>
      <c r="G2406" s="30">
        <v>11750</v>
      </c>
      <c r="H2406" s="30">
        <v>11910</v>
      </c>
      <c r="I2406" s="30">
        <v>12088</v>
      </c>
      <c r="J2406" s="30">
        <v>12334</v>
      </c>
      <c r="K2406" s="30">
        <v>12605</v>
      </c>
      <c r="L2406" s="30">
        <v>12795</v>
      </c>
      <c r="M2406" s="30">
        <v>13055</v>
      </c>
      <c r="N2406" s="30">
        <v>12797</v>
      </c>
      <c r="O2406" s="24" t="str">
        <f t="shared" si="75"/>
        <v>Lake County, South Dakota</v>
      </c>
    </row>
    <row r="2407" spans="1:15" x14ac:dyDescent="0.25">
      <c r="A2407" s="35" t="s">
        <v>2882</v>
      </c>
      <c r="B2407" s="28" t="str">
        <f t="shared" si="74"/>
        <v>Lawrence</v>
      </c>
      <c r="C2407" s="30">
        <v>24097</v>
      </c>
      <c r="D2407" s="30">
        <v>24090</v>
      </c>
      <c r="E2407" s="30">
        <v>24205</v>
      </c>
      <c r="F2407" s="30">
        <v>24329</v>
      </c>
      <c r="G2407" s="30">
        <v>24402</v>
      </c>
      <c r="H2407" s="30">
        <v>24939</v>
      </c>
      <c r="I2407" s="30">
        <v>24732</v>
      </c>
      <c r="J2407" s="30">
        <v>24827</v>
      </c>
      <c r="K2407" s="30">
        <v>25317</v>
      </c>
      <c r="L2407" s="30">
        <v>25677</v>
      </c>
      <c r="M2407" s="30">
        <v>25727</v>
      </c>
      <c r="N2407" s="30">
        <v>25844</v>
      </c>
      <c r="O2407" s="24" t="str">
        <f t="shared" si="75"/>
        <v>Lawrence County, South Dakota</v>
      </c>
    </row>
    <row r="2408" spans="1:15" x14ac:dyDescent="0.25">
      <c r="A2408" s="35" t="s">
        <v>2883</v>
      </c>
      <c r="B2408" s="28" t="str">
        <f t="shared" si="74"/>
        <v>Lincoln</v>
      </c>
      <c r="C2408" s="30">
        <v>44828</v>
      </c>
      <c r="D2408" s="30">
        <v>44823</v>
      </c>
      <c r="E2408" s="30">
        <v>45183</v>
      </c>
      <c r="F2408" s="30">
        <v>46800</v>
      </c>
      <c r="G2408" s="30">
        <v>48399</v>
      </c>
      <c r="H2408" s="30">
        <v>49891</v>
      </c>
      <c r="I2408" s="30">
        <v>51571</v>
      </c>
      <c r="J2408" s="30">
        <v>52959</v>
      </c>
      <c r="K2408" s="30">
        <v>54567</v>
      </c>
      <c r="L2408" s="30">
        <v>56681</v>
      </c>
      <c r="M2408" s="30">
        <v>58795</v>
      </c>
      <c r="N2408" s="30">
        <v>61128</v>
      </c>
      <c r="O2408" s="24" t="str">
        <f t="shared" si="75"/>
        <v>Lincoln County, South Dakota</v>
      </c>
    </row>
    <row r="2409" spans="1:15" x14ac:dyDescent="0.25">
      <c r="A2409" s="35" t="s">
        <v>2884</v>
      </c>
      <c r="B2409" s="28" t="str">
        <f t="shared" si="74"/>
        <v>Lyman</v>
      </c>
      <c r="C2409" s="30">
        <v>3755</v>
      </c>
      <c r="D2409" s="30">
        <v>3755</v>
      </c>
      <c r="E2409" s="30">
        <v>3761</v>
      </c>
      <c r="F2409" s="30">
        <v>3810</v>
      </c>
      <c r="G2409" s="30">
        <v>3777</v>
      </c>
      <c r="H2409" s="30">
        <v>3848</v>
      </c>
      <c r="I2409" s="30">
        <v>3858</v>
      </c>
      <c r="J2409" s="30">
        <v>3881</v>
      </c>
      <c r="K2409" s="30">
        <v>3900</v>
      </c>
      <c r="L2409" s="30">
        <v>3876</v>
      </c>
      <c r="M2409" s="30">
        <v>3804</v>
      </c>
      <c r="N2409" s="30">
        <v>3781</v>
      </c>
      <c r="O2409" s="24" t="str">
        <f t="shared" si="75"/>
        <v>Lyman County, South Dakota</v>
      </c>
    </row>
    <row r="2410" spans="1:15" x14ac:dyDescent="0.25">
      <c r="A2410" s="35" t="s">
        <v>2885</v>
      </c>
      <c r="B2410" s="28" t="str">
        <f t="shared" si="74"/>
        <v>McCook</v>
      </c>
      <c r="C2410" s="30">
        <v>5618</v>
      </c>
      <c r="D2410" s="30">
        <v>5618</v>
      </c>
      <c r="E2410" s="30">
        <v>5609</v>
      </c>
      <c r="F2410" s="30">
        <v>5542</v>
      </c>
      <c r="G2410" s="30">
        <v>5566</v>
      </c>
      <c r="H2410" s="30">
        <v>5594</v>
      </c>
      <c r="I2410" s="30">
        <v>5548</v>
      </c>
      <c r="J2410" s="30">
        <v>5483</v>
      </c>
      <c r="K2410" s="30">
        <v>5508</v>
      </c>
      <c r="L2410" s="30">
        <v>5561</v>
      </c>
      <c r="M2410" s="30">
        <v>5601</v>
      </c>
      <c r="N2410" s="30">
        <v>5586</v>
      </c>
      <c r="O2410" s="24" t="str">
        <f t="shared" si="75"/>
        <v>McCook County, South Dakota</v>
      </c>
    </row>
    <row r="2411" spans="1:15" x14ac:dyDescent="0.25">
      <c r="A2411" s="35" t="s">
        <v>2886</v>
      </c>
      <c r="B2411" s="28" t="str">
        <f t="shared" si="74"/>
        <v>McPherson</v>
      </c>
      <c r="C2411" s="30">
        <v>2459</v>
      </c>
      <c r="D2411" s="30">
        <v>2459</v>
      </c>
      <c r="E2411" s="30">
        <v>2455</v>
      </c>
      <c r="F2411" s="30">
        <v>2451</v>
      </c>
      <c r="G2411" s="30">
        <v>2428</v>
      </c>
      <c r="H2411" s="30">
        <v>2424</v>
      </c>
      <c r="I2411" s="30">
        <v>2418</v>
      </c>
      <c r="J2411" s="30">
        <v>2397</v>
      </c>
      <c r="K2411" s="30">
        <v>2418</v>
      </c>
      <c r="L2411" s="30">
        <v>2401</v>
      </c>
      <c r="M2411" s="30">
        <v>2401</v>
      </c>
      <c r="N2411" s="30">
        <v>2379</v>
      </c>
      <c r="O2411" s="24" t="str">
        <f t="shared" si="75"/>
        <v>McPherson County, South Dakota</v>
      </c>
    </row>
    <row r="2412" spans="1:15" x14ac:dyDescent="0.25">
      <c r="A2412" s="35" t="s">
        <v>2887</v>
      </c>
      <c r="B2412" s="28" t="str">
        <f t="shared" si="74"/>
        <v>Marshall</v>
      </c>
      <c r="C2412" s="30">
        <v>4656</v>
      </c>
      <c r="D2412" s="30">
        <v>4656</v>
      </c>
      <c r="E2412" s="30">
        <v>4642</v>
      </c>
      <c r="F2412" s="30">
        <v>4625</v>
      </c>
      <c r="G2412" s="30">
        <v>4690</v>
      </c>
      <c r="H2412" s="30">
        <v>4795</v>
      </c>
      <c r="I2412" s="30">
        <v>4728</v>
      </c>
      <c r="J2412" s="30">
        <v>4821</v>
      </c>
      <c r="K2412" s="30">
        <v>4833</v>
      </c>
      <c r="L2412" s="30">
        <v>4945</v>
      </c>
      <c r="M2412" s="30">
        <v>4921</v>
      </c>
      <c r="N2412" s="30">
        <v>4935</v>
      </c>
      <c r="O2412" s="24" t="str">
        <f t="shared" si="75"/>
        <v>Marshall County, South Dakota</v>
      </c>
    </row>
    <row r="2413" spans="1:15" x14ac:dyDescent="0.25">
      <c r="A2413" s="35" t="s">
        <v>2888</v>
      </c>
      <c r="B2413" s="28" t="str">
        <f t="shared" si="74"/>
        <v>Meade</v>
      </c>
      <c r="C2413" s="30">
        <v>25434</v>
      </c>
      <c r="D2413" s="30">
        <v>25440</v>
      </c>
      <c r="E2413" s="30">
        <v>25484</v>
      </c>
      <c r="F2413" s="30">
        <v>25499</v>
      </c>
      <c r="G2413" s="30">
        <v>25843</v>
      </c>
      <c r="H2413" s="30">
        <v>26401</v>
      </c>
      <c r="I2413" s="30">
        <v>26721</v>
      </c>
      <c r="J2413" s="30">
        <v>26770</v>
      </c>
      <c r="K2413" s="30">
        <v>27339</v>
      </c>
      <c r="L2413" s="30">
        <v>27941</v>
      </c>
      <c r="M2413" s="30">
        <v>28204</v>
      </c>
      <c r="N2413" s="30">
        <v>28332</v>
      </c>
      <c r="O2413" s="24" t="str">
        <f t="shared" si="75"/>
        <v>Meade County, South Dakota</v>
      </c>
    </row>
    <row r="2414" spans="1:15" x14ac:dyDescent="0.25">
      <c r="A2414" s="35" t="s">
        <v>2889</v>
      </c>
      <c r="B2414" s="28" t="str">
        <f t="shared" si="74"/>
        <v>Mellette</v>
      </c>
      <c r="C2414" s="30">
        <v>2048</v>
      </c>
      <c r="D2414" s="30">
        <v>2043</v>
      </c>
      <c r="E2414" s="30">
        <v>2026</v>
      </c>
      <c r="F2414" s="30">
        <v>2072</v>
      </c>
      <c r="G2414" s="30">
        <v>2051</v>
      </c>
      <c r="H2414" s="30">
        <v>2047</v>
      </c>
      <c r="I2414" s="30">
        <v>2067</v>
      </c>
      <c r="J2414" s="30">
        <v>2025</v>
      </c>
      <c r="K2414" s="30">
        <v>2076</v>
      </c>
      <c r="L2414" s="30">
        <v>2063</v>
      </c>
      <c r="M2414" s="30">
        <v>2034</v>
      </c>
      <c r="N2414" s="30">
        <v>2061</v>
      </c>
      <c r="O2414" s="24" t="str">
        <f t="shared" si="75"/>
        <v>Mellette County, South Dakota</v>
      </c>
    </row>
    <row r="2415" spans="1:15" x14ac:dyDescent="0.25">
      <c r="A2415" s="35" t="s">
        <v>2890</v>
      </c>
      <c r="B2415" s="28" t="str">
        <f t="shared" si="74"/>
        <v>Miner</v>
      </c>
      <c r="C2415" s="30">
        <v>2389</v>
      </c>
      <c r="D2415" s="30">
        <v>2389</v>
      </c>
      <c r="E2415" s="30">
        <v>2374</v>
      </c>
      <c r="F2415" s="30">
        <v>2325</v>
      </c>
      <c r="G2415" s="30">
        <v>2298</v>
      </c>
      <c r="H2415" s="30">
        <v>2312</v>
      </c>
      <c r="I2415" s="30">
        <v>2281</v>
      </c>
      <c r="J2415" s="30">
        <v>2207</v>
      </c>
      <c r="K2415" s="30">
        <v>2229</v>
      </c>
      <c r="L2415" s="30">
        <v>2200</v>
      </c>
      <c r="M2415" s="30">
        <v>2204</v>
      </c>
      <c r="N2415" s="30">
        <v>2216</v>
      </c>
      <c r="O2415" s="24" t="str">
        <f t="shared" si="75"/>
        <v>Miner County, South Dakota</v>
      </c>
    </row>
    <row r="2416" spans="1:15" x14ac:dyDescent="0.25">
      <c r="A2416" s="35" t="s">
        <v>2891</v>
      </c>
      <c r="B2416" s="28" t="str">
        <f t="shared" si="74"/>
        <v>Minnehaha</v>
      </c>
      <c r="C2416" s="30">
        <v>169468</v>
      </c>
      <c r="D2416" s="30">
        <v>169474</v>
      </c>
      <c r="E2416" s="30">
        <v>169955</v>
      </c>
      <c r="F2416" s="30">
        <v>171452</v>
      </c>
      <c r="G2416" s="30">
        <v>174766</v>
      </c>
      <c r="H2416" s="30">
        <v>177981</v>
      </c>
      <c r="I2416" s="30">
        <v>180822</v>
      </c>
      <c r="J2416" s="30">
        <v>183439</v>
      </c>
      <c r="K2416" s="30">
        <v>186268</v>
      </c>
      <c r="L2416" s="30">
        <v>189538</v>
      </c>
      <c r="M2416" s="30">
        <v>190992</v>
      </c>
      <c r="N2416" s="30">
        <v>193134</v>
      </c>
      <c r="O2416" s="24" t="str">
        <f t="shared" si="75"/>
        <v>Minnehaha County, South Dakota</v>
      </c>
    </row>
    <row r="2417" spans="1:15" x14ac:dyDescent="0.25">
      <c r="A2417" s="35" t="s">
        <v>2892</v>
      </c>
      <c r="B2417" s="28" t="str">
        <f t="shared" si="74"/>
        <v>Moody</v>
      </c>
      <c r="C2417" s="30">
        <v>6486</v>
      </c>
      <c r="D2417" s="30">
        <v>6493</v>
      </c>
      <c r="E2417" s="30">
        <v>6493</v>
      </c>
      <c r="F2417" s="30">
        <v>6499</v>
      </c>
      <c r="G2417" s="30">
        <v>6492</v>
      </c>
      <c r="H2417" s="30">
        <v>6451</v>
      </c>
      <c r="I2417" s="30">
        <v>6435</v>
      </c>
      <c r="J2417" s="30">
        <v>6453</v>
      </c>
      <c r="K2417" s="30">
        <v>6508</v>
      </c>
      <c r="L2417" s="30">
        <v>6494</v>
      </c>
      <c r="M2417" s="30">
        <v>6502</v>
      </c>
      <c r="N2417" s="30">
        <v>6576</v>
      </c>
      <c r="O2417" s="24" t="str">
        <f t="shared" si="75"/>
        <v>Moody County, South Dakota</v>
      </c>
    </row>
    <row r="2418" spans="1:15" x14ac:dyDescent="0.25">
      <c r="A2418" s="35" t="s">
        <v>2893</v>
      </c>
      <c r="B2418" s="28" t="str">
        <f t="shared" si="74"/>
        <v>Oglala Lakota</v>
      </c>
      <c r="C2418" s="30">
        <v>13586</v>
      </c>
      <c r="D2418" s="30">
        <v>13586</v>
      </c>
      <c r="E2418" s="30">
        <v>13636</v>
      </c>
      <c r="F2418" s="30">
        <v>13896</v>
      </c>
      <c r="G2418" s="30">
        <v>14037</v>
      </c>
      <c r="H2418" s="30">
        <v>14126</v>
      </c>
      <c r="I2418" s="30">
        <v>14213</v>
      </c>
      <c r="J2418" s="30">
        <v>14358</v>
      </c>
      <c r="K2418" s="30">
        <v>14425</v>
      </c>
      <c r="L2418" s="30">
        <v>14384</v>
      </c>
      <c r="M2418" s="30">
        <v>14331</v>
      </c>
      <c r="N2418" s="30">
        <v>14177</v>
      </c>
      <c r="O2418" s="24" t="str">
        <f t="shared" si="75"/>
        <v>Oglala Lakota County, South Dakota</v>
      </c>
    </row>
    <row r="2419" spans="1:15" x14ac:dyDescent="0.25">
      <c r="A2419" s="35" t="s">
        <v>2894</v>
      </c>
      <c r="B2419" s="28" t="str">
        <f t="shared" si="74"/>
        <v>Pennington</v>
      </c>
      <c r="C2419" s="30">
        <v>100948</v>
      </c>
      <c r="D2419" s="30">
        <v>100960</v>
      </c>
      <c r="E2419" s="30">
        <v>101243</v>
      </c>
      <c r="F2419" s="30">
        <v>102404</v>
      </c>
      <c r="G2419" s="30">
        <v>104232</v>
      </c>
      <c r="H2419" s="30">
        <v>105919</v>
      </c>
      <c r="I2419" s="30">
        <v>107510</v>
      </c>
      <c r="J2419" s="30">
        <v>108088</v>
      </c>
      <c r="K2419" s="30">
        <v>109111</v>
      </c>
      <c r="L2419" s="30">
        <v>110503</v>
      </c>
      <c r="M2419" s="30">
        <v>111950</v>
      </c>
      <c r="N2419" s="30">
        <v>113775</v>
      </c>
      <c r="O2419" s="24" t="str">
        <f t="shared" si="75"/>
        <v>Pennington County, South Dakota</v>
      </c>
    </row>
    <row r="2420" spans="1:15" x14ac:dyDescent="0.25">
      <c r="A2420" s="35" t="s">
        <v>2895</v>
      </c>
      <c r="B2420" s="28" t="str">
        <f t="shared" si="74"/>
        <v>Perkins</v>
      </c>
      <c r="C2420" s="30">
        <v>2982</v>
      </c>
      <c r="D2420" s="30">
        <v>2991</v>
      </c>
      <c r="E2420" s="30">
        <v>2988</v>
      </c>
      <c r="F2420" s="30">
        <v>3018</v>
      </c>
      <c r="G2420" s="30">
        <v>3032</v>
      </c>
      <c r="H2420" s="30">
        <v>3025</v>
      </c>
      <c r="I2420" s="30">
        <v>3023</v>
      </c>
      <c r="J2420" s="30">
        <v>2984</v>
      </c>
      <c r="K2420" s="30">
        <v>2964</v>
      </c>
      <c r="L2420" s="30">
        <v>2962</v>
      </c>
      <c r="M2420" s="30">
        <v>2908</v>
      </c>
      <c r="N2420" s="30">
        <v>2865</v>
      </c>
      <c r="O2420" s="24" t="str">
        <f t="shared" si="75"/>
        <v>Perkins County, South Dakota</v>
      </c>
    </row>
    <row r="2421" spans="1:15" x14ac:dyDescent="0.25">
      <c r="A2421" s="35" t="s">
        <v>2896</v>
      </c>
      <c r="B2421" s="28" t="str">
        <f t="shared" si="74"/>
        <v>Potter</v>
      </c>
      <c r="C2421" s="30">
        <v>2329</v>
      </c>
      <c r="D2421" s="30">
        <v>2334</v>
      </c>
      <c r="E2421" s="30">
        <v>2351</v>
      </c>
      <c r="F2421" s="30">
        <v>2370</v>
      </c>
      <c r="G2421" s="30">
        <v>2340</v>
      </c>
      <c r="H2421" s="30">
        <v>2357</v>
      </c>
      <c r="I2421" s="30">
        <v>2306</v>
      </c>
      <c r="J2421" s="30">
        <v>2295</v>
      </c>
      <c r="K2421" s="30">
        <v>2256</v>
      </c>
      <c r="L2421" s="30">
        <v>2214</v>
      </c>
      <c r="M2421" s="30">
        <v>2206</v>
      </c>
      <c r="N2421" s="30">
        <v>2153</v>
      </c>
      <c r="O2421" s="24" t="str">
        <f t="shared" si="75"/>
        <v>Potter County, South Dakota</v>
      </c>
    </row>
    <row r="2422" spans="1:15" x14ac:dyDescent="0.25">
      <c r="A2422" s="35" t="s">
        <v>2897</v>
      </c>
      <c r="B2422" s="28" t="str">
        <f t="shared" si="74"/>
        <v>Roberts</v>
      </c>
      <c r="C2422" s="30">
        <v>10149</v>
      </c>
      <c r="D2422" s="30">
        <v>10147</v>
      </c>
      <c r="E2422" s="30">
        <v>10189</v>
      </c>
      <c r="F2422" s="30">
        <v>10291</v>
      </c>
      <c r="G2422" s="30">
        <v>10324</v>
      </c>
      <c r="H2422" s="30">
        <v>10238</v>
      </c>
      <c r="I2422" s="30">
        <v>10280</v>
      </c>
      <c r="J2422" s="30">
        <v>10209</v>
      </c>
      <c r="K2422" s="30">
        <v>10192</v>
      </c>
      <c r="L2422" s="30">
        <v>10265</v>
      </c>
      <c r="M2422" s="30">
        <v>10376</v>
      </c>
      <c r="N2422" s="30">
        <v>10394</v>
      </c>
      <c r="O2422" s="24" t="str">
        <f t="shared" si="75"/>
        <v>Roberts County, South Dakota</v>
      </c>
    </row>
    <row r="2423" spans="1:15" x14ac:dyDescent="0.25">
      <c r="A2423" s="35" t="s">
        <v>2898</v>
      </c>
      <c r="B2423" s="28" t="str">
        <f t="shared" si="74"/>
        <v>Sanborn</v>
      </c>
      <c r="C2423" s="30">
        <v>2355</v>
      </c>
      <c r="D2423" s="30">
        <v>2355</v>
      </c>
      <c r="E2423" s="30">
        <v>2354</v>
      </c>
      <c r="F2423" s="30">
        <v>2355</v>
      </c>
      <c r="G2423" s="30">
        <v>2318</v>
      </c>
      <c r="H2423" s="30">
        <v>2325</v>
      </c>
      <c r="I2423" s="30">
        <v>2331</v>
      </c>
      <c r="J2423" s="30">
        <v>2348</v>
      </c>
      <c r="K2423" s="30">
        <v>2374</v>
      </c>
      <c r="L2423" s="30">
        <v>2435</v>
      </c>
      <c r="M2423" s="30">
        <v>2396</v>
      </c>
      <c r="N2423" s="30">
        <v>2344</v>
      </c>
      <c r="O2423" s="24" t="str">
        <f t="shared" si="75"/>
        <v>Sanborn County, South Dakota</v>
      </c>
    </row>
    <row r="2424" spans="1:15" x14ac:dyDescent="0.25">
      <c r="A2424" s="35" t="s">
        <v>2899</v>
      </c>
      <c r="B2424" s="28" t="str">
        <f t="shared" si="74"/>
        <v>Spink</v>
      </c>
      <c r="C2424" s="30">
        <v>6415</v>
      </c>
      <c r="D2424" s="30">
        <v>6415</v>
      </c>
      <c r="E2424" s="30">
        <v>6421</v>
      </c>
      <c r="F2424" s="30">
        <v>6564</v>
      </c>
      <c r="G2424" s="30">
        <v>6740</v>
      </c>
      <c r="H2424" s="30">
        <v>6666</v>
      </c>
      <c r="I2424" s="30">
        <v>6656</v>
      </c>
      <c r="J2424" s="30">
        <v>6554</v>
      </c>
      <c r="K2424" s="30">
        <v>6493</v>
      </c>
      <c r="L2424" s="30">
        <v>6507</v>
      </c>
      <c r="M2424" s="30">
        <v>6484</v>
      </c>
      <c r="N2424" s="30">
        <v>6376</v>
      </c>
      <c r="O2424" s="24" t="str">
        <f t="shared" si="75"/>
        <v>Spink County, South Dakota</v>
      </c>
    </row>
    <row r="2425" spans="1:15" x14ac:dyDescent="0.25">
      <c r="A2425" s="35" t="s">
        <v>2900</v>
      </c>
      <c r="B2425" s="28" t="str">
        <f t="shared" si="74"/>
        <v>Stanley</v>
      </c>
      <c r="C2425" s="30">
        <v>2966</v>
      </c>
      <c r="D2425" s="30">
        <v>2966</v>
      </c>
      <c r="E2425" s="30">
        <v>2971</v>
      </c>
      <c r="F2425" s="30">
        <v>2978</v>
      </c>
      <c r="G2425" s="30">
        <v>2976</v>
      </c>
      <c r="H2425" s="30">
        <v>2979</v>
      </c>
      <c r="I2425" s="30">
        <v>2979</v>
      </c>
      <c r="J2425" s="30">
        <v>2974</v>
      </c>
      <c r="K2425" s="30">
        <v>3012</v>
      </c>
      <c r="L2425" s="30">
        <v>2986</v>
      </c>
      <c r="M2425" s="30">
        <v>3017</v>
      </c>
      <c r="N2425" s="30">
        <v>3098</v>
      </c>
      <c r="O2425" s="24" t="str">
        <f t="shared" si="75"/>
        <v>Stanley County, South Dakota</v>
      </c>
    </row>
    <row r="2426" spans="1:15" x14ac:dyDescent="0.25">
      <c r="A2426" s="35" t="s">
        <v>2901</v>
      </c>
      <c r="B2426" s="28" t="str">
        <f t="shared" si="74"/>
        <v>Sully</v>
      </c>
      <c r="C2426" s="30">
        <v>1373</v>
      </c>
      <c r="D2426" s="30">
        <v>1368</v>
      </c>
      <c r="E2426" s="30">
        <v>1377</v>
      </c>
      <c r="F2426" s="30">
        <v>1374</v>
      </c>
      <c r="G2426" s="30">
        <v>1428</v>
      </c>
      <c r="H2426" s="30">
        <v>1435</v>
      </c>
      <c r="I2426" s="30">
        <v>1405</v>
      </c>
      <c r="J2426" s="30">
        <v>1401</v>
      </c>
      <c r="K2426" s="30">
        <v>1410</v>
      </c>
      <c r="L2426" s="30">
        <v>1398</v>
      </c>
      <c r="M2426" s="30">
        <v>1377</v>
      </c>
      <c r="N2426" s="30">
        <v>1391</v>
      </c>
      <c r="O2426" s="24" t="str">
        <f t="shared" si="75"/>
        <v>Sully County, South Dakota</v>
      </c>
    </row>
    <row r="2427" spans="1:15" x14ac:dyDescent="0.25">
      <c r="A2427" s="35" t="s">
        <v>2902</v>
      </c>
      <c r="B2427" s="28" t="str">
        <f t="shared" si="74"/>
        <v>Todd</v>
      </c>
      <c r="C2427" s="30">
        <v>9612</v>
      </c>
      <c r="D2427" s="30">
        <v>9610</v>
      </c>
      <c r="E2427" s="30">
        <v>9642</v>
      </c>
      <c r="F2427" s="30">
        <v>9842</v>
      </c>
      <c r="G2427" s="30">
        <v>9908</v>
      </c>
      <c r="H2427" s="30">
        <v>9994</v>
      </c>
      <c r="I2427" s="30">
        <v>9951</v>
      </c>
      <c r="J2427" s="30">
        <v>10041</v>
      </c>
      <c r="K2427" s="30">
        <v>10233</v>
      </c>
      <c r="L2427" s="30">
        <v>10277</v>
      </c>
      <c r="M2427" s="30">
        <v>10245</v>
      </c>
      <c r="N2427" s="30">
        <v>10177</v>
      </c>
      <c r="O2427" s="24" t="str">
        <f t="shared" si="75"/>
        <v>Todd County, South Dakota</v>
      </c>
    </row>
    <row r="2428" spans="1:15" x14ac:dyDescent="0.25">
      <c r="A2428" s="35" t="s">
        <v>2903</v>
      </c>
      <c r="B2428" s="28" t="str">
        <f t="shared" si="74"/>
        <v>Tripp</v>
      </c>
      <c r="C2428" s="30">
        <v>5644</v>
      </c>
      <c r="D2428" s="30">
        <v>5649</v>
      </c>
      <c r="E2428" s="30">
        <v>5648</v>
      </c>
      <c r="F2428" s="30">
        <v>5632</v>
      </c>
      <c r="G2428" s="30">
        <v>5518</v>
      </c>
      <c r="H2428" s="30">
        <v>5523</v>
      </c>
      <c r="I2428" s="30">
        <v>5509</v>
      </c>
      <c r="J2428" s="30">
        <v>5422</v>
      </c>
      <c r="K2428" s="30">
        <v>5495</v>
      </c>
      <c r="L2428" s="30">
        <v>5443</v>
      </c>
      <c r="M2428" s="30">
        <v>5491</v>
      </c>
      <c r="N2428" s="30">
        <v>5441</v>
      </c>
      <c r="O2428" s="24" t="str">
        <f t="shared" si="75"/>
        <v>Tripp County, South Dakota</v>
      </c>
    </row>
    <row r="2429" spans="1:15" x14ac:dyDescent="0.25">
      <c r="A2429" s="35" t="s">
        <v>2904</v>
      </c>
      <c r="B2429" s="28" t="str">
        <f t="shared" si="74"/>
        <v>Turner</v>
      </c>
      <c r="C2429" s="30">
        <v>8347</v>
      </c>
      <c r="D2429" s="30">
        <v>8349</v>
      </c>
      <c r="E2429" s="30">
        <v>8352</v>
      </c>
      <c r="F2429" s="30">
        <v>8356</v>
      </c>
      <c r="G2429" s="30">
        <v>8301</v>
      </c>
      <c r="H2429" s="30">
        <v>8306</v>
      </c>
      <c r="I2429" s="30">
        <v>8192</v>
      </c>
      <c r="J2429" s="30">
        <v>8131</v>
      </c>
      <c r="K2429" s="30">
        <v>8259</v>
      </c>
      <c r="L2429" s="30">
        <v>8303</v>
      </c>
      <c r="M2429" s="30">
        <v>8422</v>
      </c>
      <c r="N2429" s="30">
        <v>8384</v>
      </c>
      <c r="O2429" s="24" t="str">
        <f t="shared" si="75"/>
        <v>Turner County, South Dakota</v>
      </c>
    </row>
    <row r="2430" spans="1:15" x14ac:dyDescent="0.25">
      <c r="A2430" s="35" t="s">
        <v>2905</v>
      </c>
      <c r="B2430" s="28" t="str">
        <f t="shared" si="74"/>
        <v>Union</v>
      </c>
      <c r="C2430" s="30">
        <v>14399</v>
      </c>
      <c r="D2430" s="30">
        <v>14398</v>
      </c>
      <c r="E2430" s="30">
        <v>14491</v>
      </c>
      <c r="F2430" s="30">
        <v>14642</v>
      </c>
      <c r="G2430" s="30">
        <v>14800</v>
      </c>
      <c r="H2430" s="30">
        <v>14759</v>
      </c>
      <c r="I2430" s="30">
        <v>14991</v>
      </c>
      <c r="J2430" s="30">
        <v>14925</v>
      </c>
      <c r="K2430" s="30">
        <v>15137</v>
      </c>
      <c r="L2430" s="30">
        <v>15277</v>
      </c>
      <c r="M2430" s="30">
        <v>15570</v>
      </c>
      <c r="N2430" s="30">
        <v>15932</v>
      </c>
      <c r="O2430" s="24" t="str">
        <f t="shared" si="75"/>
        <v>Union County, South Dakota</v>
      </c>
    </row>
    <row r="2431" spans="1:15" x14ac:dyDescent="0.25">
      <c r="A2431" s="35" t="s">
        <v>2906</v>
      </c>
      <c r="B2431" s="28" t="str">
        <f t="shared" si="74"/>
        <v>Walworth</v>
      </c>
      <c r="C2431" s="30">
        <v>5438</v>
      </c>
      <c r="D2431" s="30">
        <v>5438</v>
      </c>
      <c r="E2431" s="30">
        <v>5442</v>
      </c>
      <c r="F2431" s="30">
        <v>5559</v>
      </c>
      <c r="G2431" s="30">
        <v>5446</v>
      </c>
      <c r="H2431" s="30">
        <v>5484</v>
      </c>
      <c r="I2431" s="30">
        <v>5502</v>
      </c>
      <c r="J2431" s="30">
        <v>5404</v>
      </c>
      <c r="K2431" s="30">
        <v>5472</v>
      </c>
      <c r="L2431" s="30">
        <v>5497</v>
      </c>
      <c r="M2431" s="30">
        <v>5477</v>
      </c>
      <c r="N2431" s="30">
        <v>5435</v>
      </c>
      <c r="O2431" s="24" t="str">
        <f t="shared" si="75"/>
        <v>Walworth County, South Dakota</v>
      </c>
    </row>
    <row r="2432" spans="1:15" x14ac:dyDescent="0.25">
      <c r="A2432" s="35" t="s">
        <v>2907</v>
      </c>
      <c r="B2432" s="28" t="str">
        <f t="shared" si="74"/>
        <v>Yankton</v>
      </c>
      <c r="C2432" s="30">
        <v>22438</v>
      </c>
      <c r="D2432" s="30">
        <v>22438</v>
      </c>
      <c r="E2432" s="30">
        <v>22436</v>
      </c>
      <c r="F2432" s="30">
        <v>22500</v>
      </c>
      <c r="G2432" s="30">
        <v>22584</v>
      </c>
      <c r="H2432" s="30">
        <v>22641</v>
      </c>
      <c r="I2432" s="30">
        <v>22676</v>
      </c>
      <c r="J2432" s="30">
        <v>22682</v>
      </c>
      <c r="K2432" s="30">
        <v>22649</v>
      </c>
      <c r="L2432" s="30">
        <v>22682</v>
      </c>
      <c r="M2432" s="30">
        <v>22759</v>
      </c>
      <c r="N2432" s="30">
        <v>22814</v>
      </c>
      <c r="O2432" s="24" t="str">
        <f t="shared" si="75"/>
        <v>Yankton County, South Dakota</v>
      </c>
    </row>
    <row r="2433" spans="1:15" x14ac:dyDescent="0.25">
      <c r="A2433" s="35" t="s">
        <v>2908</v>
      </c>
      <c r="B2433" s="28" t="str">
        <f t="shared" si="74"/>
        <v>Ziebach</v>
      </c>
      <c r="C2433" s="30">
        <v>2801</v>
      </c>
      <c r="D2433" s="30">
        <v>2801</v>
      </c>
      <c r="E2433" s="30">
        <v>2824</v>
      </c>
      <c r="F2433" s="30">
        <v>2839</v>
      </c>
      <c r="G2433" s="30">
        <v>2879</v>
      </c>
      <c r="H2433" s="30">
        <v>2851</v>
      </c>
      <c r="I2433" s="30">
        <v>2858</v>
      </c>
      <c r="J2433" s="30">
        <v>2837</v>
      </c>
      <c r="K2433" s="30">
        <v>2871</v>
      </c>
      <c r="L2433" s="30">
        <v>2748</v>
      </c>
      <c r="M2433" s="30">
        <v>2744</v>
      </c>
      <c r="N2433" s="30">
        <v>2756</v>
      </c>
      <c r="O2433" s="24" t="str">
        <f t="shared" si="75"/>
        <v>Ziebach County, South Dakota</v>
      </c>
    </row>
    <row r="2434" spans="1:15" x14ac:dyDescent="0.25">
      <c r="A2434" s="35" t="s">
        <v>2909</v>
      </c>
      <c r="B2434" s="28" t="str">
        <f t="shared" si="74"/>
        <v>Anderson</v>
      </c>
      <c r="C2434" s="30">
        <v>75129</v>
      </c>
      <c r="D2434" s="30">
        <v>75082</v>
      </c>
      <c r="E2434" s="30">
        <v>75098</v>
      </c>
      <c r="F2434" s="30">
        <v>75209</v>
      </c>
      <c r="G2434" s="30">
        <v>75225</v>
      </c>
      <c r="H2434" s="30">
        <v>75299</v>
      </c>
      <c r="I2434" s="30">
        <v>75157</v>
      </c>
      <c r="J2434" s="30">
        <v>75456</v>
      </c>
      <c r="K2434" s="30">
        <v>75528</v>
      </c>
      <c r="L2434" s="30">
        <v>76056</v>
      </c>
      <c r="M2434" s="30">
        <v>76287</v>
      </c>
      <c r="N2434" s="30">
        <v>76978</v>
      </c>
      <c r="O2434" s="24" t="str">
        <f t="shared" si="75"/>
        <v>Anderson County, Tennessee</v>
      </c>
    </row>
    <row r="2435" spans="1:15" x14ac:dyDescent="0.25">
      <c r="A2435" s="35" t="s">
        <v>2910</v>
      </c>
      <c r="B2435" s="28" t="str">
        <f t="shared" si="74"/>
        <v>Bedford</v>
      </c>
      <c r="C2435" s="30">
        <v>45058</v>
      </c>
      <c r="D2435" s="30">
        <v>45057</v>
      </c>
      <c r="E2435" s="30">
        <v>45078</v>
      </c>
      <c r="F2435" s="30">
        <v>45247</v>
      </c>
      <c r="G2435" s="30">
        <v>45254</v>
      </c>
      <c r="H2435" s="30">
        <v>45565</v>
      </c>
      <c r="I2435" s="30">
        <v>46251</v>
      </c>
      <c r="J2435" s="30">
        <v>46948</v>
      </c>
      <c r="K2435" s="30">
        <v>47442</v>
      </c>
      <c r="L2435" s="30">
        <v>48211</v>
      </c>
      <c r="M2435" s="30">
        <v>49146</v>
      </c>
      <c r="N2435" s="30">
        <v>49713</v>
      </c>
      <c r="O2435" s="24" t="str">
        <f t="shared" si="75"/>
        <v>Bedford County, Tennessee</v>
      </c>
    </row>
    <row r="2436" spans="1:15" x14ac:dyDescent="0.25">
      <c r="A2436" s="35" t="s">
        <v>2911</v>
      </c>
      <c r="B2436" s="28" t="str">
        <f t="shared" si="74"/>
        <v>Benton</v>
      </c>
      <c r="C2436" s="30">
        <v>16489</v>
      </c>
      <c r="D2436" s="30">
        <v>16491</v>
      </c>
      <c r="E2436" s="30">
        <v>16511</v>
      </c>
      <c r="F2436" s="30">
        <v>16529</v>
      </c>
      <c r="G2436" s="30">
        <v>16445</v>
      </c>
      <c r="H2436" s="30">
        <v>16360</v>
      </c>
      <c r="I2436" s="30">
        <v>16197</v>
      </c>
      <c r="J2436" s="30">
        <v>16220</v>
      </c>
      <c r="K2436" s="30">
        <v>16082</v>
      </c>
      <c r="L2436" s="30">
        <v>15993</v>
      </c>
      <c r="M2436" s="30">
        <v>16246</v>
      </c>
      <c r="N2436" s="30">
        <v>16160</v>
      </c>
      <c r="O2436" s="24" t="str">
        <f t="shared" si="75"/>
        <v>Benton County, Tennessee</v>
      </c>
    </row>
    <row r="2437" spans="1:15" x14ac:dyDescent="0.25">
      <c r="A2437" s="35" t="s">
        <v>2912</v>
      </c>
      <c r="B2437" s="28" t="str">
        <f t="shared" si="74"/>
        <v>Bledsoe</v>
      </c>
      <c r="C2437" s="30">
        <v>12876</v>
      </c>
      <c r="D2437" s="30">
        <v>12874</v>
      </c>
      <c r="E2437" s="30">
        <v>12884</v>
      </c>
      <c r="F2437" s="30">
        <v>12992</v>
      </c>
      <c r="G2437" s="30">
        <v>12926</v>
      </c>
      <c r="H2437" s="30">
        <v>13910</v>
      </c>
      <c r="I2437" s="30">
        <v>14501</v>
      </c>
      <c r="J2437" s="30">
        <v>14601</v>
      </c>
      <c r="K2437" s="30">
        <v>14738</v>
      </c>
      <c r="L2437" s="30">
        <v>14895</v>
      </c>
      <c r="M2437" s="30">
        <v>14883</v>
      </c>
      <c r="N2437" s="30">
        <v>15064</v>
      </c>
      <c r="O2437" s="24" t="str">
        <f t="shared" si="75"/>
        <v>Bledsoe County, Tennessee</v>
      </c>
    </row>
    <row r="2438" spans="1:15" x14ac:dyDescent="0.25">
      <c r="A2438" s="35" t="s">
        <v>2913</v>
      </c>
      <c r="B2438" s="28" t="str">
        <f t="shared" si="74"/>
        <v>Blount</v>
      </c>
      <c r="C2438" s="30">
        <v>123010</v>
      </c>
      <c r="D2438" s="30">
        <v>123098</v>
      </c>
      <c r="E2438" s="30">
        <v>123199</v>
      </c>
      <c r="F2438" s="30">
        <v>123664</v>
      </c>
      <c r="G2438" s="30">
        <v>124024</v>
      </c>
      <c r="H2438" s="30">
        <v>124874</v>
      </c>
      <c r="I2438" s="30">
        <v>125847</v>
      </c>
      <c r="J2438" s="30">
        <v>126954</v>
      </c>
      <c r="K2438" s="30">
        <v>128264</v>
      </c>
      <c r="L2438" s="30">
        <v>129999</v>
      </c>
      <c r="M2438" s="30">
        <v>131331</v>
      </c>
      <c r="N2438" s="30">
        <v>133088</v>
      </c>
      <c r="O2438" s="24" t="str">
        <f t="shared" si="75"/>
        <v>Blount County, Tennessee</v>
      </c>
    </row>
    <row r="2439" spans="1:15" x14ac:dyDescent="0.25">
      <c r="A2439" s="35" t="s">
        <v>2914</v>
      </c>
      <c r="B2439" s="28" t="str">
        <f t="shared" ref="B2439:B2502" si="76">LEFT(A2439,FIND("County",A2439,1)-2)</f>
        <v>Bradley</v>
      </c>
      <c r="C2439" s="30">
        <v>98963</v>
      </c>
      <c r="D2439" s="30">
        <v>98926</v>
      </c>
      <c r="E2439" s="30">
        <v>99083</v>
      </c>
      <c r="F2439" s="30">
        <v>99798</v>
      </c>
      <c r="G2439" s="30">
        <v>101049</v>
      </c>
      <c r="H2439" s="30">
        <v>101778</v>
      </c>
      <c r="I2439" s="30">
        <v>102771</v>
      </c>
      <c r="J2439" s="30">
        <v>103774</v>
      </c>
      <c r="K2439" s="30">
        <v>104390</v>
      </c>
      <c r="L2439" s="30">
        <v>105421</v>
      </c>
      <c r="M2439" s="30">
        <v>107050</v>
      </c>
      <c r="N2439" s="30">
        <v>108110</v>
      </c>
      <c r="O2439" s="24" t="str">
        <f t="shared" ref="O2439:O2502" si="77">A2439</f>
        <v>Bradley County, Tennessee</v>
      </c>
    </row>
    <row r="2440" spans="1:15" x14ac:dyDescent="0.25">
      <c r="A2440" s="35" t="s">
        <v>2915</v>
      </c>
      <c r="B2440" s="28" t="str">
        <f t="shared" si="76"/>
        <v>Campbell</v>
      </c>
      <c r="C2440" s="30">
        <v>40716</v>
      </c>
      <c r="D2440" s="30">
        <v>40723</v>
      </c>
      <c r="E2440" s="30">
        <v>40735</v>
      </c>
      <c r="F2440" s="30">
        <v>40688</v>
      </c>
      <c r="G2440" s="30">
        <v>40532</v>
      </c>
      <c r="H2440" s="30">
        <v>40247</v>
      </c>
      <c r="I2440" s="30">
        <v>39893</v>
      </c>
      <c r="J2440" s="30">
        <v>39772</v>
      </c>
      <c r="K2440" s="30">
        <v>39784</v>
      </c>
      <c r="L2440" s="30">
        <v>39791</v>
      </c>
      <c r="M2440" s="30">
        <v>39795</v>
      </c>
      <c r="N2440" s="30">
        <v>39842</v>
      </c>
      <c r="O2440" s="24" t="str">
        <f t="shared" si="77"/>
        <v>Campbell County, Tennessee</v>
      </c>
    </row>
    <row r="2441" spans="1:15" x14ac:dyDescent="0.25">
      <c r="A2441" s="35" t="s">
        <v>2916</v>
      </c>
      <c r="B2441" s="28" t="str">
        <f t="shared" si="76"/>
        <v>Cannon</v>
      </c>
      <c r="C2441" s="30">
        <v>13801</v>
      </c>
      <c r="D2441" s="30">
        <v>13813</v>
      </c>
      <c r="E2441" s="30">
        <v>13797</v>
      </c>
      <c r="F2441" s="30">
        <v>13724</v>
      </c>
      <c r="G2441" s="30">
        <v>13789</v>
      </c>
      <c r="H2441" s="30">
        <v>13700</v>
      </c>
      <c r="I2441" s="30">
        <v>13572</v>
      </c>
      <c r="J2441" s="30">
        <v>13740</v>
      </c>
      <c r="K2441" s="30">
        <v>13876</v>
      </c>
      <c r="L2441" s="30">
        <v>14157</v>
      </c>
      <c r="M2441" s="30">
        <v>14440</v>
      </c>
      <c r="N2441" s="30">
        <v>14678</v>
      </c>
      <c r="O2441" s="24" t="str">
        <f t="shared" si="77"/>
        <v>Cannon County, Tennessee</v>
      </c>
    </row>
    <row r="2442" spans="1:15" x14ac:dyDescent="0.25">
      <c r="A2442" s="35" t="s">
        <v>2917</v>
      </c>
      <c r="B2442" s="28" t="str">
        <f t="shared" si="76"/>
        <v>Carroll</v>
      </c>
      <c r="C2442" s="30">
        <v>28522</v>
      </c>
      <c r="D2442" s="30">
        <v>28486</v>
      </c>
      <c r="E2442" s="30">
        <v>28454</v>
      </c>
      <c r="F2442" s="30">
        <v>28547</v>
      </c>
      <c r="G2442" s="30">
        <v>28667</v>
      </c>
      <c r="H2442" s="30">
        <v>28606</v>
      </c>
      <c r="I2442" s="30">
        <v>28411</v>
      </c>
      <c r="J2442" s="30">
        <v>27982</v>
      </c>
      <c r="K2442" s="30">
        <v>27901</v>
      </c>
      <c r="L2442" s="30">
        <v>27807</v>
      </c>
      <c r="M2442" s="30">
        <v>27975</v>
      </c>
      <c r="N2442" s="30">
        <v>27767</v>
      </c>
      <c r="O2442" s="24" t="str">
        <f t="shared" si="77"/>
        <v>Carroll County, Tennessee</v>
      </c>
    </row>
    <row r="2443" spans="1:15" x14ac:dyDescent="0.25">
      <c r="A2443" s="35" t="s">
        <v>2918</v>
      </c>
      <c r="B2443" s="28" t="str">
        <f t="shared" si="76"/>
        <v>Carter</v>
      </c>
      <c r="C2443" s="30">
        <v>57424</v>
      </c>
      <c r="D2443" s="30">
        <v>57383</v>
      </c>
      <c r="E2443" s="30">
        <v>57342</v>
      </c>
      <c r="F2443" s="30">
        <v>57385</v>
      </c>
      <c r="G2443" s="30">
        <v>57347</v>
      </c>
      <c r="H2443" s="30">
        <v>56978</v>
      </c>
      <c r="I2443" s="30">
        <v>56325</v>
      </c>
      <c r="J2443" s="30">
        <v>56375</v>
      </c>
      <c r="K2443" s="30">
        <v>56473</v>
      </c>
      <c r="L2443" s="30">
        <v>56510</v>
      </c>
      <c r="M2443" s="30">
        <v>56417</v>
      </c>
      <c r="N2443" s="30">
        <v>56391</v>
      </c>
      <c r="O2443" s="24" t="str">
        <f t="shared" si="77"/>
        <v>Carter County, Tennessee</v>
      </c>
    </row>
    <row r="2444" spans="1:15" x14ac:dyDescent="0.25">
      <c r="A2444" s="35" t="s">
        <v>2919</v>
      </c>
      <c r="B2444" s="28" t="str">
        <f t="shared" si="76"/>
        <v>Cheatham</v>
      </c>
      <c r="C2444" s="30">
        <v>39105</v>
      </c>
      <c r="D2444" s="30">
        <v>39110</v>
      </c>
      <c r="E2444" s="30">
        <v>39131</v>
      </c>
      <c r="F2444" s="30">
        <v>38986</v>
      </c>
      <c r="G2444" s="30">
        <v>39231</v>
      </c>
      <c r="H2444" s="30">
        <v>39340</v>
      </c>
      <c r="I2444" s="30">
        <v>39610</v>
      </c>
      <c r="J2444" s="30">
        <v>39593</v>
      </c>
      <c r="K2444" s="30">
        <v>39775</v>
      </c>
      <c r="L2444" s="30">
        <v>40366</v>
      </c>
      <c r="M2444" s="30">
        <v>40502</v>
      </c>
      <c r="N2444" s="30">
        <v>40667</v>
      </c>
      <c r="O2444" s="24" t="str">
        <f t="shared" si="77"/>
        <v>Cheatham County, Tennessee</v>
      </c>
    </row>
    <row r="2445" spans="1:15" x14ac:dyDescent="0.25">
      <c r="A2445" s="35" t="s">
        <v>2920</v>
      </c>
      <c r="B2445" s="28" t="str">
        <f t="shared" si="76"/>
        <v>Chester</v>
      </c>
      <c r="C2445" s="30">
        <v>17131</v>
      </c>
      <c r="D2445" s="30">
        <v>17145</v>
      </c>
      <c r="E2445" s="30">
        <v>17194</v>
      </c>
      <c r="F2445" s="30">
        <v>17150</v>
      </c>
      <c r="G2445" s="30">
        <v>17076</v>
      </c>
      <c r="H2445" s="30">
        <v>17116</v>
      </c>
      <c r="I2445" s="30">
        <v>17136</v>
      </c>
      <c r="J2445" s="30">
        <v>17123</v>
      </c>
      <c r="K2445" s="30">
        <v>17130</v>
      </c>
      <c r="L2445" s="30">
        <v>17154</v>
      </c>
      <c r="M2445" s="30">
        <v>17245</v>
      </c>
      <c r="N2445" s="30">
        <v>17297</v>
      </c>
      <c r="O2445" s="24" t="str">
        <f t="shared" si="77"/>
        <v>Chester County, Tennessee</v>
      </c>
    </row>
    <row r="2446" spans="1:15" x14ac:dyDescent="0.25">
      <c r="A2446" s="35" t="s">
        <v>2921</v>
      </c>
      <c r="B2446" s="28" t="str">
        <f t="shared" si="76"/>
        <v>Claiborne</v>
      </c>
      <c r="C2446" s="30">
        <v>32213</v>
      </c>
      <c r="D2446" s="30">
        <v>32212</v>
      </c>
      <c r="E2446" s="30">
        <v>32215</v>
      </c>
      <c r="F2446" s="30">
        <v>32106</v>
      </c>
      <c r="G2446" s="30">
        <v>31763</v>
      </c>
      <c r="H2446" s="30">
        <v>31627</v>
      </c>
      <c r="I2446" s="30">
        <v>31571</v>
      </c>
      <c r="J2446" s="30">
        <v>31555</v>
      </c>
      <c r="K2446" s="30">
        <v>31634</v>
      </c>
      <c r="L2446" s="30">
        <v>31661</v>
      </c>
      <c r="M2446" s="30">
        <v>31850</v>
      </c>
      <c r="N2446" s="30">
        <v>31959</v>
      </c>
      <c r="O2446" s="24" t="str">
        <f t="shared" si="77"/>
        <v>Claiborne County, Tennessee</v>
      </c>
    </row>
    <row r="2447" spans="1:15" x14ac:dyDescent="0.25">
      <c r="A2447" s="35" t="s">
        <v>2922</v>
      </c>
      <c r="B2447" s="28" t="str">
        <f t="shared" si="76"/>
        <v>Clay</v>
      </c>
      <c r="C2447" s="30">
        <v>7861</v>
      </c>
      <c r="D2447" s="30">
        <v>7853</v>
      </c>
      <c r="E2447" s="30">
        <v>7844</v>
      </c>
      <c r="F2447" s="30">
        <v>7741</v>
      </c>
      <c r="G2447" s="30">
        <v>7702</v>
      </c>
      <c r="H2447" s="30">
        <v>7688</v>
      </c>
      <c r="I2447" s="30">
        <v>7620</v>
      </c>
      <c r="J2447" s="30">
        <v>7663</v>
      </c>
      <c r="K2447" s="30">
        <v>7654</v>
      </c>
      <c r="L2447" s="30">
        <v>7663</v>
      </c>
      <c r="M2447" s="30">
        <v>7677</v>
      </c>
      <c r="N2447" s="30">
        <v>7615</v>
      </c>
      <c r="O2447" s="24" t="str">
        <f t="shared" si="77"/>
        <v>Clay County, Tennessee</v>
      </c>
    </row>
    <row r="2448" spans="1:15" x14ac:dyDescent="0.25">
      <c r="A2448" s="35" t="s">
        <v>2923</v>
      </c>
      <c r="B2448" s="28" t="str">
        <f t="shared" si="76"/>
        <v>Cocke</v>
      </c>
      <c r="C2448" s="30">
        <v>35662</v>
      </c>
      <c r="D2448" s="30">
        <v>35642</v>
      </c>
      <c r="E2448" s="30">
        <v>35640</v>
      </c>
      <c r="F2448" s="30">
        <v>35432</v>
      </c>
      <c r="G2448" s="30">
        <v>35530</v>
      </c>
      <c r="H2448" s="30">
        <v>35400</v>
      </c>
      <c r="I2448" s="30">
        <v>35266</v>
      </c>
      <c r="J2448" s="30">
        <v>35138</v>
      </c>
      <c r="K2448" s="30">
        <v>35234</v>
      </c>
      <c r="L2448" s="30">
        <v>35528</v>
      </c>
      <c r="M2448" s="30">
        <v>35858</v>
      </c>
      <c r="N2448" s="30">
        <v>36004</v>
      </c>
      <c r="O2448" s="24" t="str">
        <f t="shared" si="77"/>
        <v>Cocke County, Tennessee</v>
      </c>
    </row>
    <row r="2449" spans="1:15" x14ac:dyDescent="0.25">
      <c r="A2449" s="35" t="s">
        <v>2924</v>
      </c>
      <c r="B2449" s="28" t="str">
        <f t="shared" si="76"/>
        <v>Coffee</v>
      </c>
      <c r="C2449" s="30">
        <v>52796</v>
      </c>
      <c r="D2449" s="30">
        <v>52803</v>
      </c>
      <c r="E2449" s="30">
        <v>52770</v>
      </c>
      <c r="F2449" s="30">
        <v>52920</v>
      </c>
      <c r="G2449" s="30">
        <v>53147</v>
      </c>
      <c r="H2449" s="30">
        <v>53298</v>
      </c>
      <c r="I2449" s="30">
        <v>53524</v>
      </c>
      <c r="J2449" s="30">
        <v>54093</v>
      </c>
      <c r="K2449" s="30">
        <v>54537</v>
      </c>
      <c r="L2449" s="30">
        <v>55016</v>
      </c>
      <c r="M2449" s="30">
        <v>55877</v>
      </c>
      <c r="N2449" s="30">
        <v>56520</v>
      </c>
      <c r="O2449" s="24" t="str">
        <f t="shared" si="77"/>
        <v>Coffee County, Tennessee</v>
      </c>
    </row>
    <row r="2450" spans="1:15" x14ac:dyDescent="0.25">
      <c r="A2450" s="35" t="s">
        <v>2925</v>
      </c>
      <c r="B2450" s="28" t="str">
        <f t="shared" si="76"/>
        <v>Crockett</v>
      </c>
      <c r="C2450" s="30">
        <v>14586</v>
      </c>
      <c r="D2450" s="30">
        <v>14576</v>
      </c>
      <c r="E2450" s="30">
        <v>14588</v>
      </c>
      <c r="F2450" s="30">
        <v>14560</v>
      </c>
      <c r="G2450" s="30">
        <v>14610</v>
      </c>
      <c r="H2450" s="30">
        <v>14610</v>
      </c>
      <c r="I2450" s="30">
        <v>14652</v>
      </c>
      <c r="J2450" s="30">
        <v>14586</v>
      </c>
      <c r="K2450" s="30">
        <v>14448</v>
      </c>
      <c r="L2450" s="30">
        <v>14436</v>
      </c>
      <c r="M2450" s="30">
        <v>14296</v>
      </c>
      <c r="N2450" s="30">
        <v>14230</v>
      </c>
      <c r="O2450" s="24" t="str">
        <f t="shared" si="77"/>
        <v>Crockett County, Tennessee</v>
      </c>
    </row>
    <row r="2451" spans="1:15" x14ac:dyDescent="0.25">
      <c r="A2451" s="35" t="s">
        <v>2926</v>
      </c>
      <c r="B2451" s="28" t="str">
        <f t="shared" si="76"/>
        <v>Cumberland</v>
      </c>
      <c r="C2451" s="30">
        <v>56053</v>
      </c>
      <c r="D2451" s="30">
        <v>56060</v>
      </c>
      <c r="E2451" s="30">
        <v>56193</v>
      </c>
      <c r="F2451" s="30">
        <v>56527</v>
      </c>
      <c r="G2451" s="30">
        <v>56990</v>
      </c>
      <c r="H2451" s="30">
        <v>57438</v>
      </c>
      <c r="I2451" s="30">
        <v>57924</v>
      </c>
      <c r="J2451" s="30">
        <v>58217</v>
      </c>
      <c r="K2451" s="30">
        <v>58580</v>
      </c>
      <c r="L2451" s="30">
        <v>59023</v>
      </c>
      <c r="M2451" s="30">
        <v>59738</v>
      </c>
      <c r="N2451" s="30">
        <v>60520</v>
      </c>
      <c r="O2451" s="24" t="str">
        <f t="shared" si="77"/>
        <v>Cumberland County, Tennessee</v>
      </c>
    </row>
    <row r="2452" spans="1:15" x14ac:dyDescent="0.25">
      <c r="A2452" s="35" t="s">
        <v>2927</v>
      </c>
      <c r="B2452" s="28" t="str">
        <f t="shared" si="76"/>
        <v>Davidson</v>
      </c>
      <c r="C2452" s="30">
        <v>626681</v>
      </c>
      <c r="D2452" s="30">
        <v>626558</v>
      </c>
      <c r="E2452" s="30">
        <v>627746</v>
      </c>
      <c r="F2452" s="30">
        <v>635918</v>
      </c>
      <c r="G2452" s="30">
        <v>649344</v>
      </c>
      <c r="H2452" s="30">
        <v>660179</v>
      </c>
      <c r="I2452" s="30">
        <v>669611</v>
      </c>
      <c r="J2452" s="30">
        <v>679793</v>
      </c>
      <c r="K2452" s="30">
        <v>685829</v>
      </c>
      <c r="L2452" s="30">
        <v>687159</v>
      </c>
      <c r="M2452" s="30">
        <v>690516</v>
      </c>
      <c r="N2452" s="30">
        <v>694144</v>
      </c>
      <c r="O2452" s="24" t="str">
        <f t="shared" si="77"/>
        <v>Davidson County, Tennessee</v>
      </c>
    </row>
    <row r="2453" spans="1:15" x14ac:dyDescent="0.25">
      <c r="A2453" s="35" t="s">
        <v>2928</v>
      </c>
      <c r="B2453" s="28" t="str">
        <f t="shared" si="76"/>
        <v>Decatur</v>
      </c>
      <c r="C2453" s="30">
        <v>11757</v>
      </c>
      <c r="D2453" s="30">
        <v>11750</v>
      </c>
      <c r="E2453" s="30">
        <v>11717</v>
      </c>
      <c r="F2453" s="30">
        <v>11682</v>
      </c>
      <c r="G2453" s="30">
        <v>11634</v>
      </c>
      <c r="H2453" s="30">
        <v>11696</v>
      </c>
      <c r="I2453" s="30">
        <v>11685</v>
      </c>
      <c r="J2453" s="30">
        <v>11600</v>
      </c>
      <c r="K2453" s="30">
        <v>11735</v>
      </c>
      <c r="L2453" s="30">
        <v>11732</v>
      </c>
      <c r="M2453" s="30">
        <v>11699</v>
      </c>
      <c r="N2453" s="30">
        <v>11663</v>
      </c>
      <c r="O2453" s="24" t="str">
        <f t="shared" si="77"/>
        <v>Decatur County, Tennessee</v>
      </c>
    </row>
    <row r="2454" spans="1:15" x14ac:dyDescent="0.25">
      <c r="A2454" s="35" t="s">
        <v>2929</v>
      </c>
      <c r="B2454" s="28" t="str">
        <f t="shared" si="76"/>
        <v>DeKalb</v>
      </c>
      <c r="C2454" s="30">
        <v>18723</v>
      </c>
      <c r="D2454" s="30">
        <v>18722</v>
      </c>
      <c r="E2454" s="30">
        <v>18695</v>
      </c>
      <c r="F2454" s="30">
        <v>18754</v>
      </c>
      <c r="G2454" s="30">
        <v>18869</v>
      </c>
      <c r="H2454" s="30">
        <v>19150</v>
      </c>
      <c r="I2454" s="30">
        <v>19227</v>
      </c>
      <c r="J2454" s="30">
        <v>19292</v>
      </c>
      <c r="K2454" s="30">
        <v>19444</v>
      </c>
      <c r="L2454" s="30">
        <v>19876</v>
      </c>
      <c r="M2454" s="30">
        <v>20133</v>
      </c>
      <c r="N2454" s="30">
        <v>20490</v>
      </c>
      <c r="O2454" s="24" t="str">
        <f t="shared" si="77"/>
        <v>DeKalb County, Tennessee</v>
      </c>
    </row>
    <row r="2455" spans="1:15" x14ac:dyDescent="0.25">
      <c r="A2455" s="35" t="s">
        <v>2930</v>
      </c>
      <c r="B2455" s="28" t="str">
        <f t="shared" si="76"/>
        <v>Dickson</v>
      </c>
      <c r="C2455" s="30">
        <v>49666</v>
      </c>
      <c r="D2455" s="30">
        <v>49650</v>
      </c>
      <c r="E2455" s="30">
        <v>49684</v>
      </c>
      <c r="F2455" s="30">
        <v>49982</v>
      </c>
      <c r="G2455" s="30">
        <v>50214</v>
      </c>
      <c r="H2455" s="30">
        <v>50164</v>
      </c>
      <c r="I2455" s="30">
        <v>50465</v>
      </c>
      <c r="J2455" s="30">
        <v>51334</v>
      </c>
      <c r="K2455" s="30">
        <v>51900</v>
      </c>
      <c r="L2455" s="30">
        <v>52774</v>
      </c>
      <c r="M2455" s="30">
        <v>53446</v>
      </c>
      <c r="N2455" s="30">
        <v>53948</v>
      </c>
      <c r="O2455" s="24" t="str">
        <f t="shared" si="77"/>
        <v>Dickson County, Tennessee</v>
      </c>
    </row>
    <row r="2456" spans="1:15" x14ac:dyDescent="0.25">
      <c r="A2456" s="35" t="s">
        <v>2931</v>
      </c>
      <c r="B2456" s="28" t="str">
        <f t="shared" si="76"/>
        <v>Dyer</v>
      </c>
      <c r="C2456" s="30">
        <v>38335</v>
      </c>
      <c r="D2456" s="30">
        <v>38330</v>
      </c>
      <c r="E2456" s="30">
        <v>38318</v>
      </c>
      <c r="F2456" s="30">
        <v>38118</v>
      </c>
      <c r="G2456" s="30">
        <v>38188</v>
      </c>
      <c r="H2456" s="30">
        <v>38093</v>
      </c>
      <c r="I2456" s="30">
        <v>37807</v>
      </c>
      <c r="J2456" s="30">
        <v>37753</v>
      </c>
      <c r="K2456" s="30">
        <v>37542</v>
      </c>
      <c r="L2456" s="30">
        <v>37339</v>
      </c>
      <c r="M2456" s="30">
        <v>37286</v>
      </c>
      <c r="N2456" s="30">
        <v>37159</v>
      </c>
      <c r="O2456" s="24" t="str">
        <f t="shared" si="77"/>
        <v>Dyer County, Tennessee</v>
      </c>
    </row>
    <row r="2457" spans="1:15" x14ac:dyDescent="0.25">
      <c r="A2457" s="35" t="s">
        <v>2932</v>
      </c>
      <c r="B2457" s="28" t="str">
        <f t="shared" si="76"/>
        <v>Fayette</v>
      </c>
      <c r="C2457" s="30">
        <v>38413</v>
      </c>
      <c r="D2457" s="30">
        <v>38439</v>
      </c>
      <c r="E2457" s="30">
        <v>38427</v>
      </c>
      <c r="F2457" s="30">
        <v>38570</v>
      </c>
      <c r="G2457" s="30">
        <v>38686</v>
      </c>
      <c r="H2457" s="30">
        <v>38812</v>
      </c>
      <c r="I2457" s="30">
        <v>39123</v>
      </c>
      <c r="J2457" s="30">
        <v>39280</v>
      </c>
      <c r="K2457" s="30">
        <v>39703</v>
      </c>
      <c r="L2457" s="30">
        <v>40150</v>
      </c>
      <c r="M2457" s="30">
        <v>40556</v>
      </c>
      <c r="N2457" s="30">
        <v>41133</v>
      </c>
      <c r="O2457" s="24" t="str">
        <f t="shared" si="77"/>
        <v>Fayette County, Tennessee</v>
      </c>
    </row>
    <row r="2458" spans="1:15" x14ac:dyDescent="0.25">
      <c r="A2458" s="35" t="s">
        <v>2933</v>
      </c>
      <c r="B2458" s="28" t="str">
        <f t="shared" si="76"/>
        <v>Fentress</v>
      </c>
      <c r="C2458" s="30">
        <v>17959</v>
      </c>
      <c r="D2458" s="30">
        <v>17962</v>
      </c>
      <c r="E2458" s="30">
        <v>17923</v>
      </c>
      <c r="F2458" s="30">
        <v>17997</v>
      </c>
      <c r="G2458" s="30">
        <v>17916</v>
      </c>
      <c r="H2458" s="30">
        <v>17904</v>
      </c>
      <c r="I2458" s="30">
        <v>17849</v>
      </c>
      <c r="J2458" s="30">
        <v>17965</v>
      </c>
      <c r="K2458" s="30">
        <v>18040</v>
      </c>
      <c r="L2458" s="30">
        <v>18214</v>
      </c>
      <c r="M2458" s="30">
        <v>18322</v>
      </c>
      <c r="N2458" s="30">
        <v>18523</v>
      </c>
      <c r="O2458" s="24" t="str">
        <f t="shared" si="77"/>
        <v>Fentress County, Tennessee</v>
      </c>
    </row>
    <row r="2459" spans="1:15" x14ac:dyDescent="0.25">
      <c r="A2459" s="35" t="s">
        <v>2934</v>
      </c>
      <c r="B2459" s="28" t="str">
        <f t="shared" si="76"/>
        <v>Franklin</v>
      </c>
      <c r="C2459" s="30">
        <v>41052</v>
      </c>
      <c r="D2459" s="30">
        <v>41064</v>
      </c>
      <c r="E2459" s="30">
        <v>40959</v>
      </c>
      <c r="F2459" s="30">
        <v>40857</v>
      </c>
      <c r="G2459" s="30">
        <v>40688</v>
      </c>
      <c r="H2459" s="30">
        <v>41213</v>
      </c>
      <c r="I2459" s="30">
        <v>41288</v>
      </c>
      <c r="J2459" s="30">
        <v>41343</v>
      </c>
      <c r="K2459" s="30">
        <v>41518</v>
      </c>
      <c r="L2459" s="30">
        <v>41623</v>
      </c>
      <c r="M2459" s="30">
        <v>41935</v>
      </c>
      <c r="N2459" s="30">
        <v>42208</v>
      </c>
      <c r="O2459" s="24" t="str">
        <f t="shared" si="77"/>
        <v>Franklin County, Tennessee</v>
      </c>
    </row>
    <row r="2460" spans="1:15" x14ac:dyDescent="0.25">
      <c r="A2460" s="35" t="s">
        <v>2935</v>
      </c>
      <c r="B2460" s="28" t="str">
        <f t="shared" si="76"/>
        <v>Gibson</v>
      </c>
      <c r="C2460" s="30">
        <v>49683</v>
      </c>
      <c r="D2460" s="30">
        <v>49687</v>
      </c>
      <c r="E2460" s="30">
        <v>49731</v>
      </c>
      <c r="F2460" s="30">
        <v>49898</v>
      </c>
      <c r="G2460" s="30">
        <v>49666</v>
      </c>
      <c r="H2460" s="30">
        <v>49380</v>
      </c>
      <c r="I2460" s="30">
        <v>49436</v>
      </c>
      <c r="J2460" s="30">
        <v>49329</v>
      </c>
      <c r="K2460" s="30">
        <v>49250</v>
      </c>
      <c r="L2460" s="30">
        <v>49255</v>
      </c>
      <c r="M2460" s="30">
        <v>49171</v>
      </c>
      <c r="N2460" s="30">
        <v>49133</v>
      </c>
      <c r="O2460" s="24" t="str">
        <f t="shared" si="77"/>
        <v>Gibson County, Tennessee</v>
      </c>
    </row>
    <row r="2461" spans="1:15" x14ac:dyDescent="0.25">
      <c r="A2461" s="35" t="s">
        <v>2936</v>
      </c>
      <c r="B2461" s="28" t="str">
        <f t="shared" si="76"/>
        <v>Giles</v>
      </c>
      <c r="C2461" s="30">
        <v>29485</v>
      </c>
      <c r="D2461" s="30">
        <v>29476</v>
      </c>
      <c r="E2461" s="30">
        <v>29406</v>
      </c>
      <c r="F2461" s="30">
        <v>29284</v>
      </c>
      <c r="G2461" s="30">
        <v>28969</v>
      </c>
      <c r="H2461" s="30">
        <v>28801</v>
      </c>
      <c r="I2461" s="30">
        <v>28819</v>
      </c>
      <c r="J2461" s="30">
        <v>28973</v>
      </c>
      <c r="K2461" s="30">
        <v>29165</v>
      </c>
      <c r="L2461" s="30">
        <v>29379</v>
      </c>
      <c r="M2461" s="30">
        <v>29446</v>
      </c>
      <c r="N2461" s="30">
        <v>29464</v>
      </c>
      <c r="O2461" s="24" t="str">
        <f t="shared" si="77"/>
        <v>Giles County, Tennessee</v>
      </c>
    </row>
    <row r="2462" spans="1:15" x14ac:dyDescent="0.25">
      <c r="A2462" s="35" t="s">
        <v>2937</v>
      </c>
      <c r="B2462" s="28" t="str">
        <f t="shared" si="76"/>
        <v>Grainger</v>
      </c>
      <c r="C2462" s="30">
        <v>22657</v>
      </c>
      <c r="D2462" s="30">
        <v>22656</v>
      </c>
      <c r="E2462" s="30">
        <v>22721</v>
      </c>
      <c r="F2462" s="30">
        <v>22753</v>
      </c>
      <c r="G2462" s="30">
        <v>22689</v>
      </c>
      <c r="H2462" s="30">
        <v>22739</v>
      </c>
      <c r="I2462" s="30">
        <v>22862</v>
      </c>
      <c r="J2462" s="30">
        <v>22848</v>
      </c>
      <c r="K2462" s="30">
        <v>23095</v>
      </c>
      <c r="L2462" s="30">
        <v>23106</v>
      </c>
      <c r="M2462" s="30">
        <v>23137</v>
      </c>
      <c r="N2462" s="30">
        <v>23320</v>
      </c>
      <c r="O2462" s="24" t="str">
        <f t="shared" si="77"/>
        <v>Grainger County, Tennessee</v>
      </c>
    </row>
    <row r="2463" spans="1:15" x14ac:dyDescent="0.25">
      <c r="A2463" s="35" t="s">
        <v>2938</v>
      </c>
      <c r="B2463" s="28" t="str">
        <f t="shared" si="76"/>
        <v>Greene</v>
      </c>
      <c r="C2463" s="30">
        <v>68831</v>
      </c>
      <c r="D2463" s="30">
        <v>68825</v>
      </c>
      <c r="E2463" s="30">
        <v>68834</v>
      </c>
      <c r="F2463" s="30">
        <v>69173</v>
      </c>
      <c r="G2463" s="30">
        <v>68760</v>
      </c>
      <c r="H2463" s="30">
        <v>68336</v>
      </c>
      <c r="I2463" s="30">
        <v>68464</v>
      </c>
      <c r="J2463" s="30">
        <v>68586</v>
      </c>
      <c r="K2463" s="30">
        <v>68529</v>
      </c>
      <c r="L2463" s="30">
        <v>68821</v>
      </c>
      <c r="M2463" s="30">
        <v>69164</v>
      </c>
      <c r="N2463" s="30">
        <v>69069</v>
      </c>
      <c r="O2463" s="24" t="str">
        <f t="shared" si="77"/>
        <v>Greene County, Tennessee</v>
      </c>
    </row>
    <row r="2464" spans="1:15" x14ac:dyDescent="0.25">
      <c r="A2464" s="35" t="s">
        <v>2939</v>
      </c>
      <c r="B2464" s="28" t="str">
        <f t="shared" si="76"/>
        <v>Grundy</v>
      </c>
      <c r="C2464" s="30">
        <v>13703</v>
      </c>
      <c r="D2464" s="30">
        <v>13726</v>
      </c>
      <c r="E2464" s="30">
        <v>13725</v>
      </c>
      <c r="F2464" s="30">
        <v>13588</v>
      </c>
      <c r="G2464" s="30">
        <v>13583</v>
      </c>
      <c r="H2464" s="30">
        <v>13449</v>
      </c>
      <c r="I2464" s="30">
        <v>13340</v>
      </c>
      <c r="J2464" s="30">
        <v>13337</v>
      </c>
      <c r="K2464" s="30">
        <v>13276</v>
      </c>
      <c r="L2464" s="30">
        <v>13332</v>
      </c>
      <c r="M2464" s="30">
        <v>13348</v>
      </c>
      <c r="N2464" s="30">
        <v>13427</v>
      </c>
      <c r="O2464" s="24" t="str">
        <f t="shared" si="77"/>
        <v>Grundy County, Tennessee</v>
      </c>
    </row>
    <row r="2465" spans="1:15" x14ac:dyDescent="0.25">
      <c r="A2465" s="35" t="s">
        <v>2940</v>
      </c>
      <c r="B2465" s="28" t="str">
        <f t="shared" si="76"/>
        <v>Hamblen</v>
      </c>
      <c r="C2465" s="30">
        <v>62544</v>
      </c>
      <c r="D2465" s="30">
        <v>62534</v>
      </c>
      <c r="E2465" s="30">
        <v>62510</v>
      </c>
      <c r="F2465" s="30">
        <v>62899</v>
      </c>
      <c r="G2465" s="30">
        <v>62764</v>
      </c>
      <c r="H2465" s="30">
        <v>63051</v>
      </c>
      <c r="I2465" s="30">
        <v>63010</v>
      </c>
      <c r="J2465" s="30">
        <v>63353</v>
      </c>
      <c r="K2465" s="30">
        <v>63681</v>
      </c>
      <c r="L2465" s="30">
        <v>64062</v>
      </c>
      <c r="M2465" s="30">
        <v>64629</v>
      </c>
      <c r="N2465" s="30">
        <v>64934</v>
      </c>
      <c r="O2465" s="24" t="str">
        <f t="shared" si="77"/>
        <v>Hamblen County, Tennessee</v>
      </c>
    </row>
    <row r="2466" spans="1:15" x14ac:dyDescent="0.25">
      <c r="A2466" s="35" t="s">
        <v>2941</v>
      </c>
      <c r="B2466" s="28" t="str">
        <f t="shared" si="76"/>
        <v>Hamilton</v>
      </c>
      <c r="C2466" s="30">
        <v>336463</v>
      </c>
      <c r="D2466" s="30">
        <v>336477</v>
      </c>
      <c r="E2466" s="30">
        <v>337214</v>
      </c>
      <c r="F2466" s="30">
        <v>341094</v>
      </c>
      <c r="G2466" s="30">
        <v>345693</v>
      </c>
      <c r="H2466" s="30">
        <v>349050</v>
      </c>
      <c r="I2466" s="30">
        <v>350729</v>
      </c>
      <c r="J2466" s="30">
        <v>353690</v>
      </c>
      <c r="K2466" s="30">
        <v>357778</v>
      </c>
      <c r="L2466" s="30">
        <v>361032</v>
      </c>
      <c r="M2466" s="30">
        <v>364293</v>
      </c>
      <c r="N2466" s="30">
        <v>367804</v>
      </c>
      <c r="O2466" s="24" t="str">
        <f t="shared" si="77"/>
        <v>Hamilton County, Tennessee</v>
      </c>
    </row>
    <row r="2467" spans="1:15" x14ac:dyDescent="0.25">
      <c r="A2467" s="35" t="s">
        <v>2942</v>
      </c>
      <c r="B2467" s="28" t="str">
        <f t="shared" si="76"/>
        <v>Hancock</v>
      </c>
      <c r="C2467" s="30">
        <v>6819</v>
      </c>
      <c r="D2467" s="30">
        <v>6811</v>
      </c>
      <c r="E2467" s="30">
        <v>6798</v>
      </c>
      <c r="F2467" s="30">
        <v>6708</v>
      </c>
      <c r="G2467" s="30">
        <v>6657</v>
      </c>
      <c r="H2467" s="30">
        <v>6621</v>
      </c>
      <c r="I2467" s="30">
        <v>6619</v>
      </c>
      <c r="J2467" s="30">
        <v>6577</v>
      </c>
      <c r="K2467" s="30">
        <v>6583</v>
      </c>
      <c r="L2467" s="30">
        <v>6593</v>
      </c>
      <c r="M2467" s="30">
        <v>6561</v>
      </c>
      <c r="N2467" s="30">
        <v>6620</v>
      </c>
      <c r="O2467" s="24" t="str">
        <f t="shared" si="77"/>
        <v>Hancock County, Tennessee</v>
      </c>
    </row>
    <row r="2468" spans="1:15" x14ac:dyDescent="0.25">
      <c r="A2468" s="35" t="s">
        <v>2943</v>
      </c>
      <c r="B2468" s="28" t="str">
        <f t="shared" si="76"/>
        <v>Hardeman</v>
      </c>
      <c r="C2468" s="30">
        <v>27253</v>
      </c>
      <c r="D2468" s="30">
        <v>27245</v>
      </c>
      <c r="E2468" s="30">
        <v>27169</v>
      </c>
      <c r="F2468" s="30">
        <v>26869</v>
      </c>
      <c r="G2468" s="30">
        <v>26612</v>
      </c>
      <c r="H2468" s="30">
        <v>26360</v>
      </c>
      <c r="I2468" s="30">
        <v>25989</v>
      </c>
      <c r="J2468" s="30">
        <v>25817</v>
      </c>
      <c r="K2468" s="30">
        <v>25584</v>
      </c>
      <c r="L2468" s="30">
        <v>25488</v>
      </c>
      <c r="M2468" s="30">
        <v>25276</v>
      </c>
      <c r="N2468" s="30">
        <v>25050</v>
      </c>
      <c r="O2468" s="24" t="str">
        <f t="shared" si="77"/>
        <v>Hardeman County, Tennessee</v>
      </c>
    </row>
    <row r="2469" spans="1:15" x14ac:dyDescent="0.25">
      <c r="A2469" s="35" t="s">
        <v>2944</v>
      </c>
      <c r="B2469" s="28" t="str">
        <f t="shared" si="76"/>
        <v>Hardin</v>
      </c>
      <c r="C2469" s="30">
        <v>26026</v>
      </c>
      <c r="D2469" s="30">
        <v>26008</v>
      </c>
      <c r="E2469" s="30">
        <v>26050</v>
      </c>
      <c r="F2469" s="30">
        <v>25869</v>
      </c>
      <c r="G2469" s="30">
        <v>25962</v>
      </c>
      <c r="H2469" s="30">
        <v>25925</v>
      </c>
      <c r="I2469" s="30">
        <v>25801</v>
      </c>
      <c r="J2469" s="30">
        <v>25754</v>
      </c>
      <c r="K2469" s="30">
        <v>25740</v>
      </c>
      <c r="L2469" s="30">
        <v>25738</v>
      </c>
      <c r="M2469" s="30">
        <v>25693</v>
      </c>
      <c r="N2469" s="30">
        <v>25652</v>
      </c>
      <c r="O2469" s="24" t="str">
        <f t="shared" si="77"/>
        <v>Hardin County, Tennessee</v>
      </c>
    </row>
    <row r="2470" spans="1:15" x14ac:dyDescent="0.25">
      <c r="A2470" s="35" t="s">
        <v>2945</v>
      </c>
      <c r="B2470" s="28" t="str">
        <f t="shared" si="76"/>
        <v>Hawkins</v>
      </c>
      <c r="C2470" s="30">
        <v>56833</v>
      </c>
      <c r="D2470" s="30">
        <v>56826</v>
      </c>
      <c r="E2470" s="30">
        <v>56870</v>
      </c>
      <c r="F2470" s="30">
        <v>56621</v>
      </c>
      <c r="G2470" s="30">
        <v>56560</v>
      </c>
      <c r="H2470" s="30">
        <v>56696</v>
      </c>
      <c r="I2470" s="30">
        <v>56481</v>
      </c>
      <c r="J2470" s="30">
        <v>56370</v>
      </c>
      <c r="K2470" s="30">
        <v>56565</v>
      </c>
      <c r="L2470" s="30">
        <v>56620</v>
      </c>
      <c r="M2470" s="30">
        <v>56713</v>
      </c>
      <c r="N2470" s="30">
        <v>56786</v>
      </c>
      <c r="O2470" s="24" t="str">
        <f t="shared" si="77"/>
        <v>Hawkins County, Tennessee</v>
      </c>
    </row>
    <row r="2471" spans="1:15" x14ac:dyDescent="0.25">
      <c r="A2471" s="35" t="s">
        <v>2946</v>
      </c>
      <c r="B2471" s="28" t="str">
        <f t="shared" si="76"/>
        <v>Haywood</v>
      </c>
      <c r="C2471" s="30">
        <v>18787</v>
      </c>
      <c r="D2471" s="30">
        <v>18807</v>
      </c>
      <c r="E2471" s="30">
        <v>18812</v>
      </c>
      <c r="F2471" s="30">
        <v>18546</v>
      </c>
      <c r="G2471" s="30">
        <v>18276</v>
      </c>
      <c r="H2471" s="30">
        <v>18234</v>
      </c>
      <c r="I2471" s="30">
        <v>18235</v>
      </c>
      <c r="J2471" s="30">
        <v>18036</v>
      </c>
      <c r="K2471" s="30">
        <v>17822</v>
      </c>
      <c r="L2471" s="30">
        <v>17607</v>
      </c>
      <c r="M2471" s="30">
        <v>17347</v>
      </c>
      <c r="N2471" s="30">
        <v>17304</v>
      </c>
      <c r="O2471" s="24" t="str">
        <f t="shared" si="77"/>
        <v>Haywood County, Tennessee</v>
      </c>
    </row>
    <row r="2472" spans="1:15" x14ac:dyDescent="0.25">
      <c r="A2472" s="35" t="s">
        <v>2947</v>
      </c>
      <c r="B2472" s="28" t="str">
        <f t="shared" si="76"/>
        <v>Henderson</v>
      </c>
      <c r="C2472" s="30">
        <v>27769</v>
      </c>
      <c r="D2472" s="30">
        <v>27780</v>
      </c>
      <c r="E2472" s="30">
        <v>27788</v>
      </c>
      <c r="F2472" s="30">
        <v>28039</v>
      </c>
      <c r="G2472" s="30">
        <v>28082</v>
      </c>
      <c r="H2472" s="30">
        <v>28042</v>
      </c>
      <c r="I2472" s="30">
        <v>28093</v>
      </c>
      <c r="J2472" s="30">
        <v>28078</v>
      </c>
      <c r="K2472" s="30">
        <v>27855</v>
      </c>
      <c r="L2472" s="30">
        <v>27851</v>
      </c>
      <c r="M2472" s="30">
        <v>27983</v>
      </c>
      <c r="N2472" s="30">
        <v>28117</v>
      </c>
      <c r="O2472" s="24" t="str">
        <f t="shared" si="77"/>
        <v>Henderson County, Tennessee</v>
      </c>
    </row>
    <row r="2473" spans="1:15" x14ac:dyDescent="0.25">
      <c r="A2473" s="35" t="s">
        <v>2948</v>
      </c>
      <c r="B2473" s="28" t="str">
        <f t="shared" si="76"/>
        <v>Henry</v>
      </c>
      <c r="C2473" s="30">
        <v>32330</v>
      </c>
      <c r="D2473" s="30">
        <v>32349</v>
      </c>
      <c r="E2473" s="30">
        <v>32398</v>
      </c>
      <c r="F2473" s="30">
        <v>32440</v>
      </c>
      <c r="G2473" s="30">
        <v>32377</v>
      </c>
      <c r="H2473" s="30">
        <v>32250</v>
      </c>
      <c r="I2473" s="30">
        <v>32245</v>
      </c>
      <c r="J2473" s="30">
        <v>32127</v>
      </c>
      <c r="K2473" s="30">
        <v>32232</v>
      </c>
      <c r="L2473" s="30">
        <v>32380</v>
      </c>
      <c r="M2473" s="30">
        <v>32336</v>
      </c>
      <c r="N2473" s="30">
        <v>32345</v>
      </c>
      <c r="O2473" s="24" t="str">
        <f t="shared" si="77"/>
        <v>Henry County, Tennessee</v>
      </c>
    </row>
    <row r="2474" spans="1:15" x14ac:dyDescent="0.25">
      <c r="A2474" s="35" t="s">
        <v>2949</v>
      </c>
      <c r="B2474" s="28" t="str">
        <f t="shared" si="76"/>
        <v>Hickman</v>
      </c>
      <c r="C2474" s="30">
        <v>24690</v>
      </c>
      <c r="D2474" s="30">
        <v>24690</v>
      </c>
      <c r="E2474" s="30">
        <v>24647</v>
      </c>
      <c r="F2474" s="30">
        <v>24364</v>
      </c>
      <c r="G2474" s="30">
        <v>24192</v>
      </c>
      <c r="H2474" s="30">
        <v>24207</v>
      </c>
      <c r="I2474" s="30">
        <v>24465</v>
      </c>
      <c r="J2474" s="30">
        <v>24373</v>
      </c>
      <c r="K2474" s="30">
        <v>24666</v>
      </c>
      <c r="L2474" s="30">
        <v>24839</v>
      </c>
      <c r="M2474" s="30">
        <v>25007</v>
      </c>
      <c r="N2474" s="30">
        <v>25178</v>
      </c>
      <c r="O2474" s="24" t="str">
        <f t="shared" si="77"/>
        <v>Hickman County, Tennessee</v>
      </c>
    </row>
    <row r="2475" spans="1:15" x14ac:dyDescent="0.25">
      <c r="A2475" s="35" t="s">
        <v>2950</v>
      </c>
      <c r="B2475" s="28" t="str">
        <f t="shared" si="76"/>
        <v>Houston</v>
      </c>
      <c r="C2475" s="30">
        <v>8426</v>
      </c>
      <c r="D2475" s="30">
        <v>8429</v>
      </c>
      <c r="E2475" s="30">
        <v>8451</v>
      </c>
      <c r="F2475" s="30">
        <v>8347</v>
      </c>
      <c r="G2475" s="30">
        <v>8424</v>
      </c>
      <c r="H2475" s="30">
        <v>8276</v>
      </c>
      <c r="I2475" s="30">
        <v>8221</v>
      </c>
      <c r="J2475" s="30">
        <v>8124</v>
      </c>
      <c r="K2475" s="30">
        <v>8101</v>
      </c>
      <c r="L2475" s="30">
        <v>8158</v>
      </c>
      <c r="M2475" s="30">
        <v>8234</v>
      </c>
      <c r="N2475" s="30">
        <v>8201</v>
      </c>
      <c r="O2475" s="24" t="str">
        <f t="shared" si="77"/>
        <v>Houston County, Tennessee</v>
      </c>
    </row>
    <row r="2476" spans="1:15" x14ac:dyDescent="0.25">
      <c r="A2476" s="35" t="s">
        <v>2951</v>
      </c>
      <c r="B2476" s="28" t="str">
        <f t="shared" si="76"/>
        <v>Humphreys</v>
      </c>
      <c r="C2476" s="30">
        <v>18538</v>
      </c>
      <c r="D2476" s="30">
        <v>18535</v>
      </c>
      <c r="E2476" s="30">
        <v>18558</v>
      </c>
      <c r="F2476" s="30">
        <v>18403</v>
      </c>
      <c r="G2476" s="30">
        <v>18287</v>
      </c>
      <c r="H2476" s="30">
        <v>18244</v>
      </c>
      <c r="I2476" s="30">
        <v>18147</v>
      </c>
      <c r="J2476" s="30">
        <v>18157</v>
      </c>
      <c r="K2476" s="30">
        <v>18383</v>
      </c>
      <c r="L2476" s="30">
        <v>18503</v>
      </c>
      <c r="M2476" s="30">
        <v>18551</v>
      </c>
      <c r="N2476" s="30">
        <v>18582</v>
      </c>
      <c r="O2476" s="24" t="str">
        <f t="shared" si="77"/>
        <v>Humphreys County, Tennessee</v>
      </c>
    </row>
    <row r="2477" spans="1:15" x14ac:dyDescent="0.25">
      <c r="A2477" s="35" t="s">
        <v>2952</v>
      </c>
      <c r="B2477" s="28" t="str">
        <f t="shared" si="76"/>
        <v>Jackson</v>
      </c>
      <c r="C2477" s="30">
        <v>11638</v>
      </c>
      <c r="D2477" s="30">
        <v>11634</v>
      </c>
      <c r="E2477" s="30">
        <v>11625</v>
      </c>
      <c r="F2477" s="30">
        <v>11558</v>
      </c>
      <c r="G2477" s="30">
        <v>11595</v>
      </c>
      <c r="H2477" s="30">
        <v>11561</v>
      </c>
      <c r="I2477" s="30">
        <v>11524</v>
      </c>
      <c r="J2477" s="30">
        <v>11534</v>
      </c>
      <c r="K2477" s="30">
        <v>11611</v>
      </c>
      <c r="L2477" s="30">
        <v>11702</v>
      </c>
      <c r="M2477" s="30">
        <v>11777</v>
      </c>
      <c r="N2477" s="30">
        <v>11786</v>
      </c>
      <c r="O2477" s="24" t="str">
        <f t="shared" si="77"/>
        <v>Jackson County, Tennessee</v>
      </c>
    </row>
    <row r="2478" spans="1:15" x14ac:dyDescent="0.25">
      <c r="A2478" s="35" t="s">
        <v>2953</v>
      </c>
      <c r="B2478" s="28" t="str">
        <f t="shared" si="76"/>
        <v>Jefferson</v>
      </c>
      <c r="C2478" s="30">
        <v>51407</v>
      </c>
      <c r="D2478" s="30">
        <v>51668</v>
      </c>
      <c r="E2478" s="30">
        <v>51714</v>
      </c>
      <c r="F2478" s="30">
        <v>51908</v>
      </c>
      <c r="G2478" s="30">
        <v>52300</v>
      </c>
      <c r="H2478" s="30">
        <v>52134</v>
      </c>
      <c r="I2478" s="30">
        <v>52408</v>
      </c>
      <c r="J2478" s="30">
        <v>53011</v>
      </c>
      <c r="K2478" s="30">
        <v>53148</v>
      </c>
      <c r="L2478" s="30">
        <v>53730</v>
      </c>
      <c r="M2478" s="30">
        <v>54012</v>
      </c>
      <c r="N2478" s="30">
        <v>54495</v>
      </c>
      <c r="O2478" s="24" t="str">
        <f t="shared" si="77"/>
        <v>Jefferson County, Tennessee</v>
      </c>
    </row>
    <row r="2479" spans="1:15" x14ac:dyDescent="0.25">
      <c r="A2479" s="35" t="s">
        <v>2954</v>
      </c>
      <c r="B2479" s="28" t="str">
        <f t="shared" si="76"/>
        <v>Johnson</v>
      </c>
      <c r="C2479" s="30">
        <v>18244</v>
      </c>
      <c r="D2479" s="30">
        <v>18240</v>
      </c>
      <c r="E2479" s="30">
        <v>18286</v>
      </c>
      <c r="F2479" s="30">
        <v>18223</v>
      </c>
      <c r="G2479" s="30">
        <v>18159</v>
      </c>
      <c r="H2479" s="30">
        <v>18014</v>
      </c>
      <c r="I2479" s="30">
        <v>17935</v>
      </c>
      <c r="J2479" s="30">
        <v>17842</v>
      </c>
      <c r="K2479" s="30">
        <v>17759</v>
      </c>
      <c r="L2479" s="30">
        <v>17603</v>
      </c>
      <c r="M2479" s="30">
        <v>17774</v>
      </c>
      <c r="N2479" s="30">
        <v>17788</v>
      </c>
      <c r="O2479" s="24" t="str">
        <f t="shared" si="77"/>
        <v>Johnson County, Tennessee</v>
      </c>
    </row>
    <row r="2480" spans="1:15" x14ac:dyDescent="0.25">
      <c r="A2480" s="35" t="s">
        <v>2955</v>
      </c>
      <c r="B2480" s="28" t="str">
        <f t="shared" si="76"/>
        <v>Knox</v>
      </c>
      <c r="C2480" s="30">
        <v>432226</v>
      </c>
      <c r="D2480" s="30">
        <v>432260</v>
      </c>
      <c r="E2480" s="30">
        <v>432938</v>
      </c>
      <c r="F2480" s="30">
        <v>436776</v>
      </c>
      <c r="G2480" s="30">
        <v>440791</v>
      </c>
      <c r="H2480" s="30">
        <v>444314</v>
      </c>
      <c r="I2480" s="30">
        <v>447903</v>
      </c>
      <c r="J2480" s="30">
        <v>451297</v>
      </c>
      <c r="K2480" s="30">
        <v>456089</v>
      </c>
      <c r="L2480" s="30">
        <v>461565</v>
      </c>
      <c r="M2480" s="30">
        <v>466258</v>
      </c>
      <c r="N2480" s="30">
        <v>470313</v>
      </c>
      <c r="O2480" s="24" t="str">
        <f t="shared" si="77"/>
        <v>Knox County, Tennessee</v>
      </c>
    </row>
    <row r="2481" spans="1:15" x14ac:dyDescent="0.25">
      <c r="A2481" s="35" t="s">
        <v>2956</v>
      </c>
      <c r="B2481" s="28" t="str">
        <f t="shared" si="76"/>
        <v>Lake</v>
      </c>
      <c r="C2481" s="30">
        <v>7832</v>
      </c>
      <c r="D2481" s="30">
        <v>7832</v>
      </c>
      <c r="E2481" s="30">
        <v>7827</v>
      </c>
      <c r="F2481" s="30">
        <v>7793</v>
      </c>
      <c r="G2481" s="30">
        <v>7715</v>
      </c>
      <c r="H2481" s="30">
        <v>7713</v>
      </c>
      <c r="I2481" s="30">
        <v>7680</v>
      </c>
      <c r="J2481" s="30">
        <v>7602</v>
      </c>
      <c r="K2481" s="30">
        <v>7531</v>
      </c>
      <c r="L2481" s="30">
        <v>7451</v>
      </c>
      <c r="M2481" s="30">
        <v>7407</v>
      </c>
      <c r="N2481" s="30">
        <v>7016</v>
      </c>
      <c r="O2481" s="24" t="str">
        <f t="shared" si="77"/>
        <v>Lake County, Tennessee</v>
      </c>
    </row>
    <row r="2482" spans="1:15" x14ac:dyDescent="0.25">
      <c r="A2482" s="35" t="s">
        <v>2957</v>
      </c>
      <c r="B2482" s="28" t="str">
        <f t="shared" si="76"/>
        <v>Lauderdale</v>
      </c>
      <c r="C2482" s="30">
        <v>27815</v>
      </c>
      <c r="D2482" s="30">
        <v>27822</v>
      </c>
      <c r="E2482" s="30">
        <v>27721</v>
      </c>
      <c r="F2482" s="30">
        <v>27701</v>
      </c>
      <c r="G2482" s="30">
        <v>27694</v>
      </c>
      <c r="H2482" s="30">
        <v>27573</v>
      </c>
      <c r="I2482" s="30">
        <v>27357</v>
      </c>
      <c r="J2482" s="30">
        <v>26903</v>
      </c>
      <c r="K2482" s="30">
        <v>25320</v>
      </c>
      <c r="L2482" s="30">
        <v>26093</v>
      </c>
      <c r="M2482" s="30">
        <v>25997</v>
      </c>
      <c r="N2482" s="30">
        <v>25633</v>
      </c>
      <c r="O2482" s="24" t="str">
        <f t="shared" si="77"/>
        <v>Lauderdale County, Tennessee</v>
      </c>
    </row>
    <row r="2483" spans="1:15" x14ac:dyDescent="0.25">
      <c r="A2483" s="35" t="s">
        <v>2958</v>
      </c>
      <c r="B2483" s="28" t="str">
        <f t="shared" si="76"/>
        <v>Lawrence</v>
      </c>
      <c r="C2483" s="30">
        <v>41869</v>
      </c>
      <c r="D2483" s="30">
        <v>41856</v>
      </c>
      <c r="E2483" s="30">
        <v>41967</v>
      </c>
      <c r="F2483" s="30">
        <v>42162</v>
      </c>
      <c r="G2483" s="30">
        <v>42154</v>
      </c>
      <c r="H2483" s="30">
        <v>42028</v>
      </c>
      <c r="I2483" s="30">
        <v>42304</v>
      </c>
      <c r="J2483" s="30">
        <v>42592</v>
      </c>
      <c r="K2483" s="30">
        <v>43056</v>
      </c>
      <c r="L2483" s="30">
        <v>43388</v>
      </c>
      <c r="M2483" s="30">
        <v>43771</v>
      </c>
      <c r="N2483" s="30">
        <v>44142</v>
      </c>
      <c r="O2483" s="24" t="str">
        <f t="shared" si="77"/>
        <v>Lawrence County, Tennessee</v>
      </c>
    </row>
    <row r="2484" spans="1:15" x14ac:dyDescent="0.25">
      <c r="A2484" s="35" t="s">
        <v>2959</v>
      </c>
      <c r="B2484" s="28" t="str">
        <f t="shared" si="76"/>
        <v>Lewis</v>
      </c>
      <c r="C2484" s="30">
        <v>12161</v>
      </c>
      <c r="D2484" s="30">
        <v>12170</v>
      </c>
      <c r="E2484" s="30">
        <v>12173</v>
      </c>
      <c r="F2484" s="30">
        <v>12146</v>
      </c>
      <c r="G2484" s="30">
        <v>11942</v>
      </c>
      <c r="H2484" s="30">
        <v>11994</v>
      </c>
      <c r="I2484" s="30">
        <v>11886</v>
      </c>
      <c r="J2484" s="30">
        <v>11875</v>
      </c>
      <c r="K2484" s="30">
        <v>11891</v>
      </c>
      <c r="L2484" s="30">
        <v>12025</v>
      </c>
      <c r="M2484" s="30">
        <v>12074</v>
      </c>
      <c r="N2484" s="30">
        <v>12268</v>
      </c>
      <c r="O2484" s="24" t="str">
        <f t="shared" si="77"/>
        <v>Lewis County, Tennessee</v>
      </c>
    </row>
    <row r="2485" spans="1:15" x14ac:dyDescent="0.25">
      <c r="A2485" s="35" t="s">
        <v>2960</v>
      </c>
      <c r="B2485" s="28" t="str">
        <f t="shared" si="76"/>
        <v>Lincoln</v>
      </c>
      <c r="C2485" s="30">
        <v>33361</v>
      </c>
      <c r="D2485" s="30">
        <v>33354</v>
      </c>
      <c r="E2485" s="30">
        <v>33382</v>
      </c>
      <c r="F2485" s="30">
        <v>33387</v>
      </c>
      <c r="G2485" s="30">
        <v>33379</v>
      </c>
      <c r="H2485" s="30">
        <v>33499</v>
      </c>
      <c r="I2485" s="30">
        <v>33443</v>
      </c>
      <c r="J2485" s="30">
        <v>33609</v>
      </c>
      <c r="K2485" s="30">
        <v>33564</v>
      </c>
      <c r="L2485" s="30">
        <v>33892</v>
      </c>
      <c r="M2485" s="30">
        <v>34189</v>
      </c>
      <c r="N2485" s="30">
        <v>34366</v>
      </c>
      <c r="O2485" s="24" t="str">
        <f t="shared" si="77"/>
        <v>Lincoln County, Tennessee</v>
      </c>
    </row>
    <row r="2486" spans="1:15" x14ac:dyDescent="0.25">
      <c r="A2486" s="35" t="s">
        <v>2961</v>
      </c>
      <c r="B2486" s="28" t="str">
        <f t="shared" si="76"/>
        <v>Loudon</v>
      </c>
      <c r="C2486" s="30">
        <v>48556</v>
      </c>
      <c r="D2486" s="30">
        <v>48561</v>
      </c>
      <c r="E2486" s="30">
        <v>48710</v>
      </c>
      <c r="F2486" s="30">
        <v>49188</v>
      </c>
      <c r="G2486" s="30">
        <v>49823</v>
      </c>
      <c r="H2486" s="30">
        <v>50386</v>
      </c>
      <c r="I2486" s="30">
        <v>50586</v>
      </c>
      <c r="J2486" s="30">
        <v>50916</v>
      </c>
      <c r="K2486" s="30">
        <v>51373</v>
      </c>
      <c r="L2486" s="30">
        <v>52260</v>
      </c>
      <c r="M2486" s="30">
        <v>53082</v>
      </c>
      <c r="N2486" s="30">
        <v>54068</v>
      </c>
      <c r="O2486" s="24" t="str">
        <f t="shared" si="77"/>
        <v>Loudon County, Tennessee</v>
      </c>
    </row>
    <row r="2487" spans="1:15" x14ac:dyDescent="0.25">
      <c r="A2487" s="35" t="s">
        <v>2962</v>
      </c>
      <c r="B2487" s="28" t="str">
        <f t="shared" si="76"/>
        <v>McMinn</v>
      </c>
      <c r="C2487" s="30">
        <v>52266</v>
      </c>
      <c r="D2487" s="30">
        <v>52287</v>
      </c>
      <c r="E2487" s="30">
        <v>52176</v>
      </c>
      <c r="F2487" s="30">
        <v>52335</v>
      </c>
      <c r="G2487" s="30">
        <v>52441</v>
      </c>
      <c r="H2487" s="30">
        <v>52431</v>
      </c>
      <c r="I2487" s="30">
        <v>52675</v>
      </c>
      <c r="J2487" s="30">
        <v>52502</v>
      </c>
      <c r="K2487" s="30">
        <v>52700</v>
      </c>
      <c r="L2487" s="30">
        <v>52931</v>
      </c>
      <c r="M2487" s="30">
        <v>53336</v>
      </c>
      <c r="N2487" s="30">
        <v>53794</v>
      </c>
      <c r="O2487" s="24" t="str">
        <f t="shared" si="77"/>
        <v>McMinn County, Tennessee</v>
      </c>
    </row>
    <row r="2488" spans="1:15" x14ac:dyDescent="0.25">
      <c r="A2488" s="35" t="s">
        <v>2963</v>
      </c>
      <c r="B2488" s="28" t="str">
        <f t="shared" si="76"/>
        <v>McNairy</v>
      </c>
      <c r="C2488" s="30">
        <v>26075</v>
      </c>
      <c r="D2488" s="30">
        <v>26082</v>
      </c>
      <c r="E2488" s="30">
        <v>26066</v>
      </c>
      <c r="F2488" s="30">
        <v>26077</v>
      </c>
      <c r="G2488" s="30">
        <v>26142</v>
      </c>
      <c r="H2488" s="30">
        <v>26035</v>
      </c>
      <c r="I2488" s="30">
        <v>26032</v>
      </c>
      <c r="J2488" s="30">
        <v>25864</v>
      </c>
      <c r="K2488" s="30">
        <v>25832</v>
      </c>
      <c r="L2488" s="30">
        <v>26001</v>
      </c>
      <c r="M2488" s="30">
        <v>25830</v>
      </c>
      <c r="N2488" s="30">
        <v>25694</v>
      </c>
      <c r="O2488" s="24" t="str">
        <f t="shared" si="77"/>
        <v>McNairy County, Tennessee</v>
      </c>
    </row>
    <row r="2489" spans="1:15" x14ac:dyDescent="0.25">
      <c r="A2489" s="35" t="s">
        <v>2964</v>
      </c>
      <c r="B2489" s="28" t="str">
        <f t="shared" si="76"/>
        <v>Macon</v>
      </c>
      <c r="C2489" s="30">
        <v>22248</v>
      </c>
      <c r="D2489" s="30">
        <v>22226</v>
      </c>
      <c r="E2489" s="30">
        <v>22237</v>
      </c>
      <c r="F2489" s="30">
        <v>22455</v>
      </c>
      <c r="G2489" s="30">
        <v>22488</v>
      </c>
      <c r="H2489" s="30">
        <v>22637</v>
      </c>
      <c r="I2489" s="30">
        <v>22919</v>
      </c>
      <c r="J2489" s="30">
        <v>23076</v>
      </c>
      <c r="K2489" s="30">
        <v>23340</v>
      </c>
      <c r="L2489" s="30">
        <v>23905</v>
      </c>
      <c r="M2489" s="30">
        <v>24289</v>
      </c>
      <c r="N2489" s="30">
        <v>24602</v>
      </c>
      <c r="O2489" s="24" t="str">
        <f t="shared" si="77"/>
        <v>Macon County, Tennessee</v>
      </c>
    </row>
    <row r="2490" spans="1:15" x14ac:dyDescent="0.25">
      <c r="A2490" s="35" t="s">
        <v>2965</v>
      </c>
      <c r="B2490" s="28" t="str">
        <f t="shared" si="76"/>
        <v>Madison</v>
      </c>
      <c r="C2490" s="30">
        <v>98294</v>
      </c>
      <c r="D2490" s="30">
        <v>98303</v>
      </c>
      <c r="E2490" s="30">
        <v>98249</v>
      </c>
      <c r="F2490" s="30">
        <v>98084</v>
      </c>
      <c r="G2490" s="30">
        <v>98505</v>
      </c>
      <c r="H2490" s="30">
        <v>98730</v>
      </c>
      <c r="I2490" s="30">
        <v>98134</v>
      </c>
      <c r="J2490" s="30">
        <v>97569</v>
      </c>
      <c r="K2490" s="30">
        <v>97478</v>
      </c>
      <c r="L2490" s="30">
        <v>97491</v>
      </c>
      <c r="M2490" s="30">
        <v>97603</v>
      </c>
      <c r="N2490" s="30">
        <v>97984</v>
      </c>
      <c r="O2490" s="24" t="str">
        <f t="shared" si="77"/>
        <v>Madison County, Tennessee</v>
      </c>
    </row>
    <row r="2491" spans="1:15" x14ac:dyDescent="0.25">
      <c r="A2491" s="35" t="s">
        <v>2966</v>
      </c>
      <c r="B2491" s="28" t="str">
        <f t="shared" si="76"/>
        <v>Marion</v>
      </c>
      <c r="C2491" s="30">
        <v>28237</v>
      </c>
      <c r="D2491" s="30">
        <v>28222</v>
      </c>
      <c r="E2491" s="30">
        <v>28220</v>
      </c>
      <c r="F2491" s="30">
        <v>28099</v>
      </c>
      <c r="G2491" s="30">
        <v>28226</v>
      </c>
      <c r="H2491" s="30">
        <v>28326</v>
      </c>
      <c r="I2491" s="30">
        <v>28405</v>
      </c>
      <c r="J2491" s="30">
        <v>28397</v>
      </c>
      <c r="K2491" s="30">
        <v>28383</v>
      </c>
      <c r="L2491" s="30">
        <v>28406</v>
      </c>
      <c r="M2491" s="30">
        <v>28598</v>
      </c>
      <c r="N2491" s="30">
        <v>28907</v>
      </c>
      <c r="O2491" s="24" t="str">
        <f t="shared" si="77"/>
        <v>Marion County, Tennessee</v>
      </c>
    </row>
    <row r="2492" spans="1:15" x14ac:dyDescent="0.25">
      <c r="A2492" s="35" t="s">
        <v>2967</v>
      </c>
      <c r="B2492" s="28" t="str">
        <f t="shared" si="76"/>
        <v>Marshall</v>
      </c>
      <c r="C2492" s="30">
        <v>30617</v>
      </c>
      <c r="D2492" s="30">
        <v>30611</v>
      </c>
      <c r="E2492" s="30">
        <v>30687</v>
      </c>
      <c r="F2492" s="30">
        <v>30848</v>
      </c>
      <c r="G2492" s="30">
        <v>30971</v>
      </c>
      <c r="H2492" s="30">
        <v>31140</v>
      </c>
      <c r="I2492" s="30">
        <v>31287</v>
      </c>
      <c r="J2492" s="30">
        <v>31590</v>
      </c>
      <c r="K2492" s="30">
        <v>32035</v>
      </c>
      <c r="L2492" s="30">
        <v>33020</v>
      </c>
      <c r="M2492" s="30">
        <v>33806</v>
      </c>
      <c r="N2492" s="30">
        <v>34375</v>
      </c>
      <c r="O2492" s="24" t="str">
        <f t="shared" si="77"/>
        <v>Marshall County, Tennessee</v>
      </c>
    </row>
    <row r="2493" spans="1:15" x14ac:dyDescent="0.25">
      <c r="A2493" s="35" t="s">
        <v>2968</v>
      </c>
      <c r="B2493" s="28" t="str">
        <f t="shared" si="76"/>
        <v>Maury</v>
      </c>
      <c r="C2493" s="30">
        <v>80956</v>
      </c>
      <c r="D2493" s="30">
        <v>80932</v>
      </c>
      <c r="E2493" s="30">
        <v>81172</v>
      </c>
      <c r="F2493" s="30">
        <v>81528</v>
      </c>
      <c r="G2493" s="30">
        <v>82054</v>
      </c>
      <c r="H2493" s="30">
        <v>83618</v>
      </c>
      <c r="I2493" s="30">
        <v>85384</v>
      </c>
      <c r="J2493" s="30">
        <v>87425</v>
      </c>
      <c r="K2493" s="30">
        <v>89556</v>
      </c>
      <c r="L2493" s="30">
        <v>92237</v>
      </c>
      <c r="M2493" s="30">
        <v>94273</v>
      </c>
      <c r="N2493" s="30">
        <v>96387</v>
      </c>
      <c r="O2493" s="24" t="str">
        <f t="shared" si="77"/>
        <v>Maury County, Tennessee</v>
      </c>
    </row>
    <row r="2494" spans="1:15" x14ac:dyDescent="0.25">
      <c r="A2494" s="35" t="s">
        <v>2969</v>
      </c>
      <c r="B2494" s="28" t="str">
        <f t="shared" si="76"/>
        <v>Meigs</v>
      </c>
      <c r="C2494" s="30">
        <v>11753</v>
      </c>
      <c r="D2494" s="30">
        <v>11766</v>
      </c>
      <c r="E2494" s="30">
        <v>11792</v>
      </c>
      <c r="F2494" s="30">
        <v>11687</v>
      </c>
      <c r="G2494" s="30">
        <v>11668</v>
      </c>
      <c r="H2494" s="30">
        <v>11659</v>
      </c>
      <c r="I2494" s="30">
        <v>11703</v>
      </c>
      <c r="J2494" s="30">
        <v>11804</v>
      </c>
      <c r="K2494" s="30">
        <v>11953</v>
      </c>
      <c r="L2494" s="30">
        <v>12042</v>
      </c>
      <c r="M2494" s="30">
        <v>12297</v>
      </c>
      <c r="N2494" s="30">
        <v>12422</v>
      </c>
      <c r="O2494" s="24" t="str">
        <f t="shared" si="77"/>
        <v>Meigs County, Tennessee</v>
      </c>
    </row>
    <row r="2495" spans="1:15" x14ac:dyDescent="0.25">
      <c r="A2495" s="35" t="s">
        <v>2970</v>
      </c>
      <c r="B2495" s="28" t="str">
        <f t="shared" si="76"/>
        <v>Monroe</v>
      </c>
      <c r="C2495" s="30">
        <v>44519</v>
      </c>
      <c r="D2495" s="30">
        <v>44498</v>
      </c>
      <c r="E2495" s="30">
        <v>44610</v>
      </c>
      <c r="F2495" s="30">
        <v>44903</v>
      </c>
      <c r="G2495" s="30">
        <v>45095</v>
      </c>
      <c r="H2495" s="30">
        <v>45228</v>
      </c>
      <c r="I2495" s="30">
        <v>45391</v>
      </c>
      <c r="J2495" s="30">
        <v>45625</v>
      </c>
      <c r="K2495" s="30">
        <v>45848</v>
      </c>
      <c r="L2495" s="30">
        <v>46035</v>
      </c>
      <c r="M2495" s="30">
        <v>46269</v>
      </c>
      <c r="N2495" s="30">
        <v>46545</v>
      </c>
      <c r="O2495" s="24" t="str">
        <f t="shared" si="77"/>
        <v>Monroe County, Tennessee</v>
      </c>
    </row>
    <row r="2496" spans="1:15" x14ac:dyDescent="0.25">
      <c r="A2496" s="35" t="s">
        <v>2971</v>
      </c>
      <c r="B2496" s="28" t="str">
        <f t="shared" si="76"/>
        <v>Montgomery</v>
      </c>
      <c r="C2496" s="30">
        <v>172331</v>
      </c>
      <c r="D2496" s="30">
        <v>172362</v>
      </c>
      <c r="E2496" s="30">
        <v>173159</v>
      </c>
      <c r="F2496" s="30">
        <v>176504</v>
      </c>
      <c r="G2496" s="30">
        <v>184782</v>
      </c>
      <c r="H2496" s="30">
        <v>184252</v>
      </c>
      <c r="I2496" s="30">
        <v>189005</v>
      </c>
      <c r="J2496" s="30">
        <v>192398</v>
      </c>
      <c r="K2496" s="30">
        <v>194424</v>
      </c>
      <c r="L2496" s="30">
        <v>199771</v>
      </c>
      <c r="M2496" s="30">
        <v>205312</v>
      </c>
      <c r="N2496" s="30">
        <v>208993</v>
      </c>
      <c r="O2496" s="24" t="str">
        <f t="shared" si="77"/>
        <v>Montgomery County, Tennessee</v>
      </c>
    </row>
    <row r="2497" spans="1:15" x14ac:dyDescent="0.25">
      <c r="A2497" s="35" t="s">
        <v>2972</v>
      </c>
      <c r="B2497" s="28" t="str">
        <f t="shared" si="76"/>
        <v>Moore</v>
      </c>
      <c r="C2497" s="30">
        <v>6362</v>
      </c>
      <c r="D2497" s="30">
        <v>6342</v>
      </c>
      <c r="E2497" s="30">
        <v>6330</v>
      </c>
      <c r="F2497" s="30">
        <v>6367</v>
      </c>
      <c r="G2497" s="30">
        <v>6289</v>
      </c>
      <c r="H2497" s="30">
        <v>6274</v>
      </c>
      <c r="I2497" s="30">
        <v>6285</v>
      </c>
      <c r="J2497" s="30">
        <v>6261</v>
      </c>
      <c r="K2497" s="30">
        <v>6293</v>
      </c>
      <c r="L2497" s="30">
        <v>6391</v>
      </c>
      <c r="M2497" s="30">
        <v>6457</v>
      </c>
      <c r="N2497" s="30">
        <v>6488</v>
      </c>
      <c r="O2497" s="24" t="str">
        <f t="shared" si="77"/>
        <v>Moore County, Tennessee</v>
      </c>
    </row>
    <row r="2498" spans="1:15" x14ac:dyDescent="0.25">
      <c r="A2498" s="35" t="s">
        <v>2973</v>
      </c>
      <c r="B2498" s="28" t="str">
        <f t="shared" si="76"/>
        <v>Morgan</v>
      </c>
      <c r="C2498" s="30">
        <v>21987</v>
      </c>
      <c r="D2498" s="30">
        <v>21986</v>
      </c>
      <c r="E2498" s="30">
        <v>22019</v>
      </c>
      <c r="F2498" s="30">
        <v>21998</v>
      </c>
      <c r="G2498" s="30">
        <v>21892</v>
      </c>
      <c r="H2498" s="30">
        <v>21673</v>
      </c>
      <c r="I2498" s="30">
        <v>21699</v>
      </c>
      <c r="J2498" s="30">
        <v>21494</v>
      </c>
      <c r="K2498" s="30">
        <v>21741</v>
      </c>
      <c r="L2498" s="30">
        <v>21555</v>
      </c>
      <c r="M2498" s="30">
        <v>21534</v>
      </c>
      <c r="N2498" s="30">
        <v>21403</v>
      </c>
      <c r="O2498" s="24" t="str">
        <f t="shared" si="77"/>
        <v>Morgan County, Tennessee</v>
      </c>
    </row>
    <row r="2499" spans="1:15" x14ac:dyDescent="0.25">
      <c r="A2499" s="35" t="s">
        <v>2974</v>
      </c>
      <c r="B2499" s="28" t="str">
        <f t="shared" si="76"/>
        <v>Obion</v>
      </c>
      <c r="C2499" s="30">
        <v>31807</v>
      </c>
      <c r="D2499" s="30">
        <v>31807</v>
      </c>
      <c r="E2499" s="30">
        <v>31822</v>
      </c>
      <c r="F2499" s="30">
        <v>31675</v>
      </c>
      <c r="G2499" s="30">
        <v>31310</v>
      </c>
      <c r="H2499" s="30">
        <v>31017</v>
      </c>
      <c r="I2499" s="30">
        <v>30828</v>
      </c>
      <c r="J2499" s="30">
        <v>30561</v>
      </c>
      <c r="K2499" s="30">
        <v>30547</v>
      </c>
      <c r="L2499" s="30">
        <v>30375</v>
      </c>
      <c r="M2499" s="30">
        <v>30274</v>
      </c>
      <c r="N2499" s="30">
        <v>30069</v>
      </c>
      <c r="O2499" s="24" t="str">
        <f t="shared" si="77"/>
        <v>Obion County, Tennessee</v>
      </c>
    </row>
    <row r="2500" spans="1:15" x14ac:dyDescent="0.25">
      <c r="A2500" s="35" t="s">
        <v>2975</v>
      </c>
      <c r="B2500" s="28" t="str">
        <f t="shared" si="76"/>
        <v>Overton</v>
      </c>
      <c r="C2500" s="30">
        <v>22083</v>
      </c>
      <c r="D2500" s="30">
        <v>22082</v>
      </c>
      <c r="E2500" s="30">
        <v>22092</v>
      </c>
      <c r="F2500" s="30">
        <v>22165</v>
      </c>
      <c r="G2500" s="30">
        <v>22164</v>
      </c>
      <c r="H2500" s="30">
        <v>21969</v>
      </c>
      <c r="I2500" s="30">
        <v>21951</v>
      </c>
      <c r="J2500" s="30">
        <v>22067</v>
      </c>
      <c r="K2500" s="30">
        <v>21964</v>
      </c>
      <c r="L2500" s="30">
        <v>21998</v>
      </c>
      <c r="M2500" s="30">
        <v>22068</v>
      </c>
      <c r="N2500" s="30">
        <v>22241</v>
      </c>
      <c r="O2500" s="24" t="str">
        <f t="shared" si="77"/>
        <v>Overton County, Tennessee</v>
      </c>
    </row>
    <row r="2501" spans="1:15" x14ac:dyDescent="0.25">
      <c r="A2501" s="35" t="s">
        <v>2976</v>
      </c>
      <c r="B2501" s="28" t="str">
        <f t="shared" si="76"/>
        <v>Perry</v>
      </c>
      <c r="C2501" s="30">
        <v>7915</v>
      </c>
      <c r="D2501" s="30">
        <v>7930</v>
      </c>
      <c r="E2501" s="30">
        <v>7940</v>
      </c>
      <c r="F2501" s="30">
        <v>7865</v>
      </c>
      <c r="G2501" s="30">
        <v>7852</v>
      </c>
      <c r="H2501" s="30">
        <v>7880</v>
      </c>
      <c r="I2501" s="30">
        <v>7819</v>
      </c>
      <c r="J2501" s="30">
        <v>7852</v>
      </c>
      <c r="K2501" s="30">
        <v>7880</v>
      </c>
      <c r="L2501" s="30">
        <v>7954</v>
      </c>
      <c r="M2501" s="30">
        <v>8050</v>
      </c>
      <c r="N2501" s="30">
        <v>8076</v>
      </c>
      <c r="O2501" s="24" t="str">
        <f t="shared" si="77"/>
        <v>Perry County, Tennessee</v>
      </c>
    </row>
    <row r="2502" spans="1:15" x14ac:dyDescent="0.25">
      <c r="A2502" s="35" t="s">
        <v>2977</v>
      </c>
      <c r="B2502" s="28" t="str">
        <f t="shared" si="76"/>
        <v>Pickett</v>
      </c>
      <c r="C2502" s="30">
        <v>5077</v>
      </c>
      <c r="D2502" s="30">
        <v>5086</v>
      </c>
      <c r="E2502" s="30">
        <v>5082</v>
      </c>
      <c r="F2502" s="30">
        <v>5124</v>
      </c>
      <c r="G2502" s="30">
        <v>5048</v>
      </c>
      <c r="H2502" s="30">
        <v>5013</v>
      </c>
      <c r="I2502" s="30">
        <v>5078</v>
      </c>
      <c r="J2502" s="30">
        <v>5139</v>
      </c>
      <c r="K2502" s="30">
        <v>5091</v>
      </c>
      <c r="L2502" s="30">
        <v>5062</v>
      </c>
      <c r="M2502" s="30">
        <v>5053</v>
      </c>
      <c r="N2502" s="30">
        <v>5048</v>
      </c>
      <c r="O2502" s="24" t="str">
        <f t="shared" si="77"/>
        <v>Pickett County, Tennessee</v>
      </c>
    </row>
    <row r="2503" spans="1:15" x14ac:dyDescent="0.25">
      <c r="A2503" s="35" t="s">
        <v>2978</v>
      </c>
      <c r="B2503" s="28" t="str">
        <f t="shared" ref="B2503:B2566" si="78">LEFT(A2503,FIND("County",A2503,1)-2)</f>
        <v>Polk</v>
      </c>
      <c r="C2503" s="30">
        <v>16825</v>
      </c>
      <c r="D2503" s="30">
        <v>16821</v>
      </c>
      <c r="E2503" s="30">
        <v>16813</v>
      </c>
      <c r="F2503" s="30">
        <v>16771</v>
      </c>
      <c r="G2503" s="30">
        <v>16624</v>
      </c>
      <c r="H2503" s="30">
        <v>16632</v>
      </c>
      <c r="I2503" s="30">
        <v>16684</v>
      </c>
      <c r="J2503" s="30">
        <v>16769</v>
      </c>
      <c r="K2503" s="30">
        <v>16794</v>
      </c>
      <c r="L2503" s="30">
        <v>16759</v>
      </c>
      <c r="M2503" s="30">
        <v>16918</v>
      </c>
      <c r="N2503" s="30">
        <v>16832</v>
      </c>
      <c r="O2503" s="24" t="str">
        <f t="shared" ref="O2503:O2566" si="79">A2503</f>
        <v>Polk County, Tennessee</v>
      </c>
    </row>
    <row r="2504" spans="1:15" x14ac:dyDescent="0.25">
      <c r="A2504" s="35" t="s">
        <v>2979</v>
      </c>
      <c r="B2504" s="28" t="str">
        <f t="shared" si="78"/>
        <v>Putnam</v>
      </c>
      <c r="C2504" s="30">
        <v>72321</v>
      </c>
      <c r="D2504" s="30">
        <v>72339</v>
      </c>
      <c r="E2504" s="30">
        <v>72549</v>
      </c>
      <c r="F2504" s="30">
        <v>73065</v>
      </c>
      <c r="G2504" s="30">
        <v>73529</v>
      </c>
      <c r="H2504" s="30">
        <v>74095</v>
      </c>
      <c r="I2504" s="30">
        <v>74930</v>
      </c>
      <c r="J2504" s="30">
        <v>75074</v>
      </c>
      <c r="K2504" s="30">
        <v>75985</v>
      </c>
      <c r="L2504" s="30">
        <v>77299</v>
      </c>
      <c r="M2504" s="30">
        <v>78631</v>
      </c>
      <c r="N2504" s="30">
        <v>80245</v>
      </c>
      <c r="O2504" s="24" t="str">
        <f t="shared" si="79"/>
        <v>Putnam County, Tennessee</v>
      </c>
    </row>
    <row r="2505" spans="1:15" x14ac:dyDescent="0.25">
      <c r="A2505" s="35" t="s">
        <v>2980</v>
      </c>
      <c r="B2505" s="28" t="str">
        <f t="shared" si="78"/>
        <v>Rhea</v>
      </c>
      <c r="C2505" s="30">
        <v>31809</v>
      </c>
      <c r="D2505" s="30">
        <v>31804</v>
      </c>
      <c r="E2505" s="30">
        <v>31858</v>
      </c>
      <c r="F2505" s="30">
        <v>32082</v>
      </c>
      <c r="G2505" s="30">
        <v>32367</v>
      </c>
      <c r="H2505" s="30">
        <v>32529</v>
      </c>
      <c r="I2505" s="30">
        <v>32623</v>
      </c>
      <c r="J2505" s="30">
        <v>32373</v>
      </c>
      <c r="K2505" s="30">
        <v>32474</v>
      </c>
      <c r="L2505" s="30">
        <v>32671</v>
      </c>
      <c r="M2505" s="30">
        <v>32911</v>
      </c>
      <c r="N2505" s="30">
        <v>33167</v>
      </c>
      <c r="O2505" s="24" t="str">
        <f t="shared" si="79"/>
        <v>Rhea County, Tennessee</v>
      </c>
    </row>
    <row r="2506" spans="1:15" x14ac:dyDescent="0.25">
      <c r="A2506" s="35" t="s">
        <v>2981</v>
      </c>
      <c r="B2506" s="28" t="str">
        <f t="shared" si="78"/>
        <v>Roane</v>
      </c>
      <c r="C2506" s="30">
        <v>54181</v>
      </c>
      <c r="D2506" s="30">
        <v>54208</v>
      </c>
      <c r="E2506" s="30">
        <v>54169</v>
      </c>
      <c r="F2506" s="30">
        <v>53988</v>
      </c>
      <c r="G2506" s="30">
        <v>53615</v>
      </c>
      <c r="H2506" s="30">
        <v>53161</v>
      </c>
      <c r="I2506" s="30">
        <v>52852</v>
      </c>
      <c r="J2506" s="30">
        <v>52770</v>
      </c>
      <c r="K2506" s="30">
        <v>52944</v>
      </c>
      <c r="L2506" s="30">
        <v>53020</v>
      </c>
      <c r="M2506" s="30">
        <v>53258</v>
      </c>
      <c r="N2506" s="30">
        <v>53382</v>
      </c>
      <c r="O2506" s="24" t="str">
        <f t="shared" si="79"/>
        <v>Roane County, Tennessee</v>
      </c>
    </row>
    <row r="2507" spans="1:15" x14ac:dyDescent="0.25">
      <c r="A2507" s="35" t="s">
        <v>2982</v>
      </c>
      <c r="B2507" s="28" t="str">
        <f t="shared" si="78"/>
        <v>Robertson</v>
      </c>
      <c r="C2507" s="30">
        <v>66283</v>
      </c>
      <c r="D2507" s="30">
        <v>66319</v>
      </c>
      <c r="E2507" s="30">
        <v>66322</v>
      </c>
      <c r="F2507" s="30">
        <v>66775</v>
      </c>
      <c r="G2507" s="30">
        <v>66798</v>
      </c>
      <c r="H2507" s="30">
        <v>67412</v>
      </c>
      <c r="I2507" s="30">
        <v>68046</v>
      </c>
      <c r="J2507" s="30">
        <v>68687</v>
      </c>
      <c r="K2507" s="30">
        <v>69393</v>
      </c>
      <c r="L2507" s="30">
        <v>70328</v>
      </c>
      <c r="M2507" s="30">
        <v>71179</v>
      </c>
      <c r="N2507" s="30">
        <v>71813</v>
      </c>
      <c r="O2507" s="24" t="str">
        <f t="shared" si="79"/>
        <v>Robertson County, Tennessee</v>
      </c>
    </row>
    <row r="2508" spans="1:15" x14ac:dyDescent="0.25">
      <c r="A2508" s="35" t="s">
        <v>2983</v>
      </c>
      <c r="B2508" s="28" t="str">
        <f t="shared" si="78"/>
        <v>Rutherford</v>
      </c>
      <c r="C2508" s="30">
        <v>262604</v>
      </c>
      <c r="D2508" s="30">
        <v>262588</v>
      </c>
      <c r="E2508" s="30">
        <v>263708</v>
      </c>
      <c r="F2508" s="30">
        <v>269160</v>
      </c>
      <c r="G2508" s="30">
        <v>274397</v>
      </c>
      <c r="H2508" s="30">
        <v>281148</v>
      </c>
      <c r="I2508" s="30">
        <v>288848</v>
      </c>
      <c r="J2508" s="30">
        <v>298197</v>
      </c>
      <c r="K2508" s="30">
        <v>307415</v>
      </c>
      <c r="L2508" s="30">
        <v>316531</v>
      </c>
      <c r="M2508" s="30">
        <v>324647</v>
      </c>
      <c r="N2508" s="30">
        <v>332285</v>
      </c>
      <c r="O2508" s="24" t="str">
        <f t="shared" si="79"/>
        <v>Rutherford County, Tennessee</v>
      </c>
    </row>
    <row r="2509" spans="1:15" x14ac:dyDescent="0.25">
      <c r="A2509" s="35" t="s">
        <v>2984</v>
      </c>
      <c r="B2509" s="28" t="str">
        <f t="shared" si="78"/>
        <v>Scott</v>
      </c>
      <c r="C2509" s="30">
        <v>22228</v>
      </c>
      <c r="D2509" s="30">
        <v>22232</v>
      </c>
      <c r="E2509" s="30">
        <v>22227</v>
      </c>
      <c r="F2509" s="30">
        <v>22105</v>
      </c>
      <c r="G2509" s="30">
        <v>22175</v>
      </c>
      <c r="H2509" s="30">
        <v>22062</v>
      </c>
      <c r="I2509" s="30">
        <v>21990</v>
      </c>
      <c r="J2509" s="30">
        <v>21893</v>
      </c>
      <c r="K2509" s="30">
        <v>21890</v>
      </c>
      <c r="L2509" s="30">
        <v>21964</v>
      </c>
      <c r="M2509" s="30">
        <v>22028</v>
      </c>
      <c r="N2509" s="30">
        <v>22068</v>
      </c>
      <c r="O2509" s="24" t="str">
        <f t="shared" si="79"/>
        <v>Scott County, Tennessee</v>
      </c>
    </row>
    <row r="2510" spans="1:15" x14ac:dyDescent="0.25">
      <c r="A2510" s="35" t="s">
        <v>2985</v>
      </c>
      <c r="B2510" s="28" t="str">
        <f t="shared" si="78"/>
        <v>Sequatchie</v>
      </c>
      <c r="C2510" s="30">
        <v>14112</v>
      </c>
      <c r="D2510" s="30">
        <v>14121</v>
      </c>
      <c r="E2510" s="30">
        <v>14128</v>
      </c>
      <c r="F2510" s="30">
        <v>14274</v>
      </c>
      <c r="G2510" s="30">
        <v>14350</v>
      </c>
      <c r="H2510" s="30">
        <v>14537</v>
      </c>
      <c r="I2510" s="30">
        <v>14634</v>
      </c>
      <c r="J2510" s="30">
        <v>14641</v>
      </c>
      <c r="K2510" s="30">
        <v>14754</v>
      </c>
      <c r="L2510" s="30">
        <v>14767</v>
      </c>
      <c r="M2510" s="30">
        <v>14891</v>
      </c>
      <c r="N2510" s="30">
        <v>15026</v>
      </c>
      <c r="O2510" s="24" t="str">
        <f t="shared" si="79"/>
        <v>Sequatchie County, Tennessee</v>
      </c>
    </row>
    <row r="2511" spans="1:15" x14ac:dyDescent="0.25">
      <c r="A2511" s="35" t="s">
        <v>2986</v>
      </c>
      <c r="B2511" s="28" t="str">
        <f t="shared" si="78"/>
        <v>Sevier</v>
      </c>
      <c r="C2511" s="30">
        <v>89889</v>
      </c>
      <c r="D2511" s="30">
        <v>89720</v>
      </c>
      <c r="E2511" s="30">
        <v>89923</v>
      </c>
      <c r="F2511" s="30">
        <v>91192</v>
      </c>
      <c r="G2511" s="30">
        <v>92362</v>
      </c>
      <c r="H2511" s="30">
        <v>93477</v>
      </c>
      <c r="I2511" s="30">
        <v>94660</v>
      </c>
      <c r="J2511" s="30">
        <v>95417</v>
      </c>
      <c r="K2511" s="30">
        <v>96470</v>
      </c>
      <c r="L2511" s="30">
        <v>97307</v>
      </c>
      <c r="M2511" s="30">
        <v>97895</v>
      </c>
      <c r="N2511" s="30">
        <v>98250</v>
      </c>
      <c r="O2511" s="24" t="str">
        <f t="shared" si="79"/>
        <v>Sevier County, Tennessee</v>
      </c>
    </row>
    <row r="2512" spans="1:15" x14ac:dyDescent="0.25">
      <c r="A2512" s="35" t="s">
        <v>2987</v>
      </c>
      <c r="B2512" s="28" t="str">
        <f t="shared" si="78"/>
        <v>Shelby</v>
      </c>
      <c r="C2512" s="30">
        <v>927644</v>
      </c>
      <c r="D2512" s="30">
        <v>927682</v>
      </c>
      <c r="E2512" s="30">
        <v>928447</v>
      </c>
      <c r="F2512" s="30">
        <v>933186</v>
      </c>
      <c r="G2512" s="30">
        <v>939168</v>
      </c>
      <c r="H2512" s="30">
        <v>938363</v>
      </c>
      <c r="I2512" s="30">
        <v>937500</v>
      </c>
      <c r="J2512" s="30">
        <v>937067</v>
      </c>
      <c r="K2512" s="30">
        <v>936021</v>
      </c>
      <c r="L2512" s="30">
        <v>935251</v>
      </c>
      <c r="M2512" s="30">
        <v>936365</v>
      </c>
      <c r="N2512" s="30">
        <v>937166</v>
      </c>
      <c r="O2512" s="24" t="str">
        <f t="shared" si="79"/>
        <v>Shelby County, Tennessee</v>
      </c>
    </row>
    <row r="2513" spans="1:15" x14ac:dyDescent="0.25">
      <c r="A2513" s="35" t="s">
        <v>2988</v>
      </c>
      <c r="B2513" s="28" t="str">
        <f t="shared" si="78"/>
        <v>Smith</v>
      </c>
      <c r="C2513" s="30">
        <v>19166</v>
      </c>
      <c r="D2513" s="30">
        <v>19150</v>
      </c>
      <c r="E2513" s="30">
        <v>19126</v>
      </c>
      <c r="F2513" s="30">
        <v>19210</v>
      </c>
      <c r="G2513" s="30">
        <v>19179</v>
      </c>
      <c r="H2513" s="30">
        <v>19117</v>
      </c>
      <c r="I2513" s="30">
        <v>19097</v>
      </c>
      <c r="J2513" s="30">
        <v>19308</v>
      </c>
      <c r="K2513" s="30">
        <v>19526</v>
      </c>
      <c r="L2513" s="30">
        <v>19732</v>
      </c>
      <c r="M2513" s="30">
        <v>19979</v>
      </c>
      <c r="N2513" s="30">
        <v>20157</v>
      </c>
      <c r="O2513" s="24" t="str">
        <f t="shared" si="79"/>
        <v>Smith County, Tennessee</v>
      </c>
    </row>
    <row r="2514" spans="1:15" x14ac:dyDescent="0.25">
      <c r="A2514" s="35" t="s">
        <v>2989</v>
      </c>
      <c r="B2514" s="28" t="str">
        <f t="shared" si="78"/>
        <v>Stewart</v>
      </c>
      <c r="C2514" s="30">
        <v>13324</v>
      </c>
      <c r="D2514" s="30">
        <v>13313</v>
      </c>
      <c r="E2514" s="30">
        <v>13348</v>
      </c>
      <c r="F2514" s="30">
        <v>13223</v>
      </c>
      <c r="G2514" s="30">
        <v>13309</v>
      </c>
      <c r="H2514" s="30">
        <v>13277</v>
      </c>
      <c r="I2514" s="30">
        <v>13210</v>
      </c>
      <c r="J2514" s="30">
        <v>13187</v>
      </c>
      <c r="K2514" s="30">
        <v>13190</v>
      </c>
      <c r="L2514" s="30">
        <v>13422</v>
      </c>
      <c r="M2514" s="30">
        <v>13619</v>
      </c>
      <c r="N2514" s="30">
        <v>13715</v>
      </c>
      <c r="O2514" s="24" t="str">
        <f t="shared" si="79"/>
        <v>Stewart County, Tennessee</v>
      </c>
    </row>
    <row r="2515" spans="1:15" x14ac:dyDescent="0.25">
      <c r="A2515" s="35" t="s">
        <v>2990</v>
      </c>
      <c r="B2515" s="28" t="str">
        <f t="shared" si="78"/>
        <v>Sullivan</v>
      </c>
      <c r="C2515" s="30">
        <v>156823</v>
      </c>
      <c r="D2515" s="30">
        <v>156800</v>
      </c>
      <c r="E2515" s="30">
        <v>156749</v>
      </c>
      <c r="F2515" s="30">
        <v>156876</v>
      </c>
      <c r="G2515" s="30">
        <v>156322</v>
      </c>
      <c r="H2515" s="30">
        <v>156185</v>
      </c>
      <c r="I2515" s="30">
        <v>156404</v>
      </c>
      <c r="J2515" s="30">
        <v>156199</v>
      </c>
      <c r="K2515" s="30">
        <v>156182</v>
      </c>
      <c r="L2515" s="30">
        <v>156924</v>
      </c>
      <c r="M2515" s="30">
        <v>157599</v>
      </c>
      <c r="N2515" s="30">
        <v>158348</v>
      </c>
      <c r="O2515" s="24" t="str">
        <f t="shared" si="79"/>
        <v>Sullivan County, Tennessee</v>
      </c>
    </row>
    <row r="2516" spans="1:15" x14ac:dyDescent="0.25">
      <c r="A2516" s="35" t="s">
        <v>2991</v>
      </c>
      <c r="B2516" s="28" t="str">
        <f t="shared" si="78"/>
        <v>Sumner</v>
      </c>
      <c r="C2516" s="30">
        <v>160645</v>
      </c>
      <c r="D2516" s="30">
        <v>160634</v>
      </c>
      <c r="E2516" s="30">
        <v>161214</v>
      </c>
      <c r="F2516" s="30">
        <v>163680</v>
      </c>
      <c r="G2516" s="30">
        <v>165967</v>
      </c>
      <c r="H2516" s="30">
        <v>168754</v>
      </c>
      <c r="I2516" s="30">
        <v>172269</v>
      </c>
      <c r="J2516" s="30">
        <v>175326</v>
      </c>
      <c r="K2516" s="30">
        <v>179332</v>
      </c>
      <c r="L2516" s="30">
        <v>183756</v>
      </c>
      <c r="M2516" s="30">
        <v>187490</v>
      </c>
      <c r="N2516" s="30">
        <v>191283</v>
      </c>
      <c r="O2516" s="24" t="str">
        <f t="shared" si="79"/>
        <v>Sumner County, Tennessee</v>
      </c>
    </row>
    <row r="2517" spans="1:15" x14ac:dyDescent="0.25">
      <c r="A2517" s="35" t="s">
        <v>2992</v>
      </c>
      <c r="B2517" s="28" t="str">
        <f t="shared" si="78"/>
        <v>Tipton</v>
      </c>
      <c r="C2517" s="30">
        <v>61081</v>
      </c>
      <c r="D2517" s="30">
        <v>61006</v>
      </c>
      <c r="E2517" s="30">
        <v>61065</v>
      </c>
      <c r="F2517" s="30">
        <v>61305</v>
      </c>
      <c r="G2517" s="30">
        <v>61524</v>
      </c>
      <c r="H2517" s="30">
        <v>61572</v>
      </c>
      <c r="I2517" s="30">
        <v>61596</v>
      </c>
      <c r="J2517" s="30">
        <v>61533</v>
      </c>
      <c r="K2517" s="30">
        <v>61223</v>
      </c>
      <c r="L2517" s="30">
        <v>61305</v>
      </c>
      <c r="M2517" s="30">
        <v>61576</v>
      </c>
      <c r="N2517" s="30">
        <v>61599</v>
      </c>
      <c r="O2517" s="24" t="str">
        <f t="shared" si="79"/>
        <v>Tipton County, Tennessee</v>
      </c>
    </row>
    <row r="2518" spans="1:15" x14ac:dyDescent="0.25">
      <c r="A2518" s="35" t="s">
        <v>2993</v>
      </c>
      <c r="B2518" s="28" t="str">
        <f t="shared" si="78"/>
        <v>Trousdale</v>
      </c>
      <c r="C2518" s="30">
        <v>7870</v>
      </c>
      <c r="D2518" s="30">
        <v>7864</v>
      </c>
      <c r="E2518" s="30">
        <v>7874</v>
      </c>
      <c r="F2518" s="30">
        <v>7815</v>
      </c>
      <c r="G2518" s="30">
        <v>7794</v>
      </c>
      <c r="H2518" s="30">
        <v>7810</v>
      </c>
      <c r="I2518" s="30">
        <v>7998</v>
      </c>
      <c r="J2518" s="30">
        <v>8051</v>
      </c>
      <c r="K2518" s="30">
        <v>9955</v>
      </c>
      <c r="L2518" s="30">
        <v>10831</v>
      </c>
      <c r="M2518" s="30">
        <v>11033</v>
      </c>
      <c r="N2518" s="30">
        <v>11284</v>
      </c>
      <c r="O2518" s="24" t="str">
        <f t="shared" si="79"/>
        <v>Trousdale County, Tennessee</v>
      </c>
    </row>
    <row r="2519" spans="1:15" x14ac:dyDescent="0.25">
      <c r="A2519" s="35" t="s">
        <v>2994</v>
      </c>
      <c r="B2519" s="28" t="str">
        <f t="shared" si="78"/>
        <v>Unicoi</v>
      </c>
      <c r="C2519" s="30">
        <v>18313</v>
      </c>
      <c r="D2519" s="30">
        <v>18311</v>
      </c>
      <c r="E2519" s="30">
        <v>18284</v>
      </c>
      <c r="F2519" s="30">
        <v>18302</v>
      </c>
      <c r="G2519" s="30">
        <v>18253</v>
      </c>
      <c r="H2519" s="30">
        <v>18095</v>
      </c>
      <c r="I2519" s="30">
        <v>17951</v>
      </c>
      <c r="J2519" s="30">
        <v>17819</v>
      </c>
      <c r="K2519" s="30">
        <v>17737</v>
      </c>
      <c r="L2519" s="30">
        <v>17796</v>
      </c>
      <c r="M2519" s="30">
        <v>17822</v>
      </c>
      <c r="N2519" s="30">
        <v>17883</v>
      </c>
      <c r="O2519" s="24" t="str">
        <f t="shared" si="79"/>
        <v>Unicoi County, Tennessee</v>
      </c>
    </row>
    <row r="2520" spans="1:15" x14ac:dyDescent="0.25">
      <c r="A2520" s="35" t="s">
        <v>2995</v>
      </c>
      <c r="B2520" s="28" t="str">
        <f t="shared" si="78"/>
        <v>Union</v>
      </c>
      <c r="C2520" s="30">
        <v>19109</v>
      </c>
      <c r="D2520" s="30">
        <v>19107</v>
      </c>
      <c r="E2520" s="30">
        <v>19116</v>
      </c>
      <c r="F2520" s="30">
        <v>19191</v>
      </c>
      <c r="G2520" s="30">
        <v>19105</v>
      </c>
      <c r="H2520" s="30">
        <v>19063</v>
      </c>
      <c r="I2520" s="30">
        <v>18991</v>
      </c>
      <c r="J2520" s="30">
        <v>19159</v>
      </c>
      <c r="K2520" s="30">
        <v>19219</v>
      </c>
      <c r="L2520" s="30">
        <v>19399</v>
      </c>
      <c r="M2520" s="30">
        <v>19689</v>
      </c>
      <c r="N2520" s="30">
        <v>19972</v>
      </c>
      <c r="O2520" s="24" t="str">
        <f t="shared" si="79"/>
        <v>Union County, Tennessee</v>
      </c>
    </row>
    <row r="2521" spans="1:15" x14ac:dyDescent="0.25">
      <c r="A2521" s="35" t="s">
        <v>2996</v>
      </c>
      <c r="B2521" s="28" t="str">
        <f t="shared" si="78"/>
        <v>Van Buren</v>
      </c>
      <c r="C2521" s="30">
        <v>5548</v>
      </c>
      <c r="D2521" s="30">
        <v>5558</v>
      </c>
      <c r="E2521" s="30">
        <v>5569</v>
      </c>
      <c r="F2521" s="30">
        <v>5555</v>
      </c>
      <c r="G2521" s="30">
        <v>5653</v>
      </c>
      <c r="H2521" s="30">
        <v>5574</v>
      </c>
      <c r="I2521" s="30">
        <v>5696</v>
      </c>
      <c r="J2521" s="30">
        <v>5695</v>
      </c>
      <c r="K2521" s="30">
        <v>5721</v>
      </c>
      <c r="L2521" s="30">
        <v>5747</v>
      </c>
      <c r="M2521" s="30">
        <v>5763</v>
      </c>
      <c r="N2521" s="30">
        <v>5872</v>
      </c>
      <c r="O2521" s="24" t="str">
        <f t="shared" si="79"/>
        <v>Van Buren County, Tennessee</v>
      </c>
    </row>
    <row r="2522" spans="1:15" x14ac:dyDescent="0.25">
      <c r="A2522" s="35" t="s">
        <v>2997</v>
      </c>
      <c r="B2522" s="28" t="str">
        <f t="shared" si="78"/>
        <v>Warren</v>
      </c>
      <c r="C2522" s="30">
        <v>39839</v>
      </c>
      <c r="D2522" s="30">
        <v>39824</v>
      </c>
      <c r="E2522" s="30">
        <v>39858</v>
      </c>
      <c r="F2522" s="30">
        <v>39907</v>
      </c>
      <c r="G2522" s="30">
        <v>39744</v>
      </c>
      <c r="H2522" s="30">
        <v>39875</v>
      </c>
      <c r="I2522" s="30">
        <v>39983</v>
      </c>
      <c r="J2522" s="30">
        <v>40262</v>
      </c>
      <c r="K2522" s="30">
        <v>40428</v>
      </c>
      <c r="L2522" s="30">
        <v>40717</v>
      </c>
      <c r="M2522" s="30">
        <v>40826</v>
      </c>
      <c r="N2522" s="30">
        <v>41277</v>
      </c>
      <c r="O2522" s="24" t="str">
        <f t="shared" si="79"/>
        <v>Warren County, Tennessee</v>
      </c>
    </row>
    <row r="2523" spans="1:15" x14ac:dyDescent="0.25">
      <c r="A2523" s="35" t="s">
        <v>2998</v>
      </c>
      <c r="B2523" s="28" t="str">
        <f t="shared" si="78"/>
        <v>Washington</v>
      </c>
      <c r="C2523" s="30">
        <v>122979</v>
      </c>
      <c r="D2523" s="30">
        <v>123063</v>
      </c>
      <c r="E2523" s="30">
        <v>123384</v>
      </c>
      <c r="F2523" s="30">
        <v>123887</v>
      </c>
      <c r="G2523" s="30">
        <v>124873</v>
      </c>
      <c r="H2523" s="30">
        <v>125397</v>
      </c>
      <c r="I2523" s="30">
        <v>125745</v>
      </c>
      <c r="J2523" s="30">
        <v>126137</v>
      </c>
      <c r="K2523" s="30">
        <v>127247</v>
      </c>
      <c r="L2523" s="30">
        <v>127603</v>
      </c>
      <c r="M2523" s="30">
        <v>128661</v>
      </c>
      <c r="N2523" s="30">
        <v>129375</v>
      </c>
      <c r="O2523" s="24" t="str">
        <f t="shared" si="79"/>
        <v>Washington County, Tennessee</v>
      </c>
    </row>
    <row r="2524" spans="1:15" x14ac:dyDescent="0.25">
      <c r="A2524" s="35" t="s">
        <v>2999</v>
      </c>
      <c r="B2524" s="28" t="str">
        <f t="shared" si="78"/>
        <v>Wayne</v>
      </c>
      <c r="C2524" s="30">
        <v>17021</v>
      </c>
      <c r="D2524" s="30">
        <v>17025</v>
      </c>
      <c r="E2524" s="30">
        <v>16985</v>
      </c>
      <c r="F2524" s="30">
        <v>17000</v>
      </c>
      <c r="G2524" s="30">
        <v>16973</v>
      </c>
      <c r="H2524" s="30">
        <v>16920</v>
      </c>
      <c r="I2524" s="30">
        <v>16860</v>
      </c>
      <c r="J2524" s="30">
        <v>16767</v>
      </c>
      <c r="K2524" s="30">
        <v>16747</v>
      </c>
      <c r="L2524" s="30">
        <v>16641</v>
      </c>
      <c r="M2524" s="30">
        <v>16635</v>
      </c>
      <c r="N2524" s="30">
        <v>16673</v>
      </c>
      <c r="O2524" s="24" t="str">
        <f t="shared" si="79"/>
        <v>Wayne County, Tennessee</v>
      </c>
    </row>
    <row r="2525" spans="1:15" x14ac:dyDescent="0.25">
      <c r="A2525" s="35" t="s">
        <v>3000</v>
      </c>
      <c r="B2525" s="28" t="str">
        <f t="shared" si="78"/>
        <v>Weakley</v>
      </c>
      <c r="C2525" s="30">
        <v>35021</v>
      </c>
      <c r="D2525" s="30">
        <v>35015</v>
      </c>
      <c r="E2525" s="30">
        <v>35044</v>
      </c>
      <c r="F2525" s="30">
        <v>34857</v>
      </c>
      <c r="G2525" s="30">
        <v>34554</v>
      </c>
      <c r="H2525" s="30">
        <v>34155</v>
      </c>
      <c r="I2525" s="30">
        <v>34001</v>
      </c>
      <c r="J2525" s="30">
        <v>33872</v>
      </c>
      <c r="K2525" s="30">
        <v>33610</v>
      </c>
      <c r="L2525" s="30">
        <v>33325</v>
      </c>
      <c r="M2525" s="30">
        <v>33413</v>
      </c>
      <c r="N2525" s="30">
        <v>33328</v>
      </c>
      <c r="O2525" s="24" t="str">
        <f t="shared" si="79"/>
        <v>Weakley County, Tennessee</v>
      </c>
    </row>
    <row r="2526" spans="1:15" x14ac:dyDescent="0.25">
      <c r="A2526" s="35" t="s">
        <v>3001</v>
      </c>
      <c r="B2526" s="28" t="str">
        <f t="shared" si="78"/>
        <v>White</v>
      </c>
      <c r="C2526" s="30">
        <v>25841</v>
      </c>
      <c r="D2526" s="30">
        <v>25844</v>
      </c>
      <c r="E2526" s="30">
        <v>25828</v>
      </c>
      <c r="F2526" s="30">
        <v>26050</v>
      </c>
      <c r="G2526" s="30">
        <v>26031</v>
      </c>
      <c r="H2526" s="30">
        <v>26193</v>
      </c>
      <c r="I2526" s="30">
        <v>26264</v>
      </c>
      <c r="J2526" s="30">
        <v>26342</v>
      </c>
      <c r="K2526" s="30">
        <v>26463</v>
      </c>
      <c r="L2526" s="30">
        <v>26764</v>
      </c>
      <c r="M2526" s="30">
        <v>27086</v>
      </c>
      <c r="N2526" s="30">
        <v>27345</v>
      </c>
      <c r="O2526" s="24" t="str">
        <f t="shared" si="79"/>
        <v>White County, Tennessee</v>
      </c>
    </row>
    <row r="2527" spans="1:15" x14ac:dyDescent="0.25">
      <c r="A2527" s="35" t="s">
        <v>3002</v>
      </c>
      <c r="B2527" s="28" t="str">
        <f t="shared" si="78"/>
        <v>Williamson</v>
      </c>
      <c r="C2527" s="30">
        <v>183182</v>
      </c>
      <c r="D2527" s="30">
        <v>183277</v>
      </c>
      <c r="E2527" s="30">
        <v>184143</v>
      </c>
      <c r="F2527" s="30">
        <v>188501</v>
      </c>
      <c r="G2527" s="30">
        <v>193211</v>
      </c>
      <c r="H2527" s="30">
        <v>199143</v>
      </c>
      <c r="I2527" s="30">
        <v>205334</v>
      </c>
      <c r="J2527" s="30">
        <v>211605</v>
      </c>
      <c r="K2527" s="30">
        <v>218903</v>
      </c>
      <c r="L2527" s="30">
        <v>226048</v>
      </c>
      <c r="M2527" s="30">
        <v>231978</v>
      </c>
      <c r="N2527" s="30">
        <v>238412</v>
      </c>
      <c r="O2527" s="24" t="str">
        <f t="shared" si="79"/>
        <v>Williamson County, Tennessee</v>
      </c>
    </row>
    <row r="2528" spans="1:15" x14ac:dyDescent="0.25">
      <c r="A2528" s="35" t="s">
        <v>3003</v>
      </c>
      <c r="B2528" s="28" t="str">
        <f t="shared" si="78"/>
        <v>Wilson</v>
      </c>
      <c r="C2528" s="30">
        <v>113993</v>
      </c>
      <c r="D2528" s="30">
        <v>114062</v>
      </c>
      <c r="E2528" s="30">
        <v>114677</v>
      </c>
      <c r="F2528" s="30">
        <v>116800</v>
      </c>
      <c r="G2528" s="30">
        <v>119143</v>
      </c>
      <c r="H2528" s="30">
        <v>121990</v>
      </c>
      <c r="I2528" s="30">
        <v>125197</v>
      </c>
      <c r="J2528" s="30">
        <v>128536</v>
      </c>
      <c r="K2528" s="30">
        <v>132494</v>
      </c>
      <c r="L2528" s="30">
        <v>136691</v>
      </c>
      <c r="M2528" s="30">
        <v>140954</v>
      </c>
      <c r="N2528" s="30">
        <v>144657</v>
      </c>
      <c r="O2528" s="24" t="str">
        <f t="shared" si="79"/>
        <v>Wilson County, Tennessee</v>
      </c>
    </row>
    <row r="2529" spans="1:15" x14ac:dyDescent="0.25">
      <c r="A2529" s="35" t="s">
        <v>3004</v>
      </c>
      <c r="B2529" s="28" t="str">
        <f t="shared" si="78"/>
        <v>Anderson</v>
      </c>
      <c r="C2529" s="30">
        <v>58458</v>
      </c>
      <c r="D2529" s="30">
        <v>58452</v>
      </c>
      <c r="E2529" s="30">
        <v>58493</v>
      </c>
      <c r="F2529" s="30">
        <v>58394</v>
      </c>
      <c r="G2529" s="30">
        <v>58059</v>
      </c>
      <c r="H2529" s="30">
        <v>57960</v>
      </c>
      <c r="I2529" s="30">
        <v>57829</v>
      </c>
      <c r="J2529" s="30">
        <v>57639</v>
      </c>
      <c r="K2529" s="30">
        <v>57526</v>
      </c>
      <c r="L2529" s="30">
        <v>58175</v>
      </c>
      <c r="M2529" s="30">
        <v>57974</v>
      </c>
      <c r="N2529" s="30">
        <v>57735</v>
      </c>
      <c r="O2529" s="24" t="str">
        <f t="shared" si="79"/>
        <v>Anderson County, Texas</v>
      </c>
    </row>
    <row r="2530" spans="1:15" x14ac:dyDescent="0.25">
      <c r="A2530" s="35" t="s">
        <v>3005</v>
      </c>
      <c r="B2530" s="28" t="str">
        <f t="shared" si="78"/>
        <v>Andrews</v>
      </c>
      <c r="C2530" s="30">
        <v>14786</v>
      </c>
      <c r="D2530" s="30">
        <v>14786</v>
      </c>
      <c r="E2530" s="30">
        <v>14849</v>
      </c>
      <c r="F2530" s="30">
        <v>15386</v>
      </c>
      <c r="G2530" s="30">
        <v>16105</v>
      </c>
      <c r="H2530" s="30">
        <v>16779</v>
      </c>
      <c r="I2530" s="30">
        <v>17435</v>
      </c>
      <c r="J2530" s="30">
        <v>18072</v>
      </c>
      <c r="K2530" s="30">
        <v>17791</v>
      </c>
      <c r="L2530" s="30">
        <v>17603</v>
      </c>
      <c r="M2530" s="30">
        <v>18011</v>
      </c>
      <c r="N2530" s="30">
        <v>18705</v>
      </c>
      <c r="O2530" s="24" t="str">
        <f t="shared" si="79"/>
        <v>Andrews County, Texas</v>
      </c>
    </row>
    <row r="2531" spans="1:15" x14ac:dyDescent="0.25">
      <c r="A2531" s="35" t="s">
        <v>3006</v>
      </c>
      <c r="B2531" s="28" t="str">
        <f t="shared" si="78"/>
        <v>Angelina</v>
      </c>
      <c r="C2531" s="30">
        <v>86771</v>
      </c>
      <c r="D2531" s="30">
        <v>86771</v>
      </c>
      <c r="E2531" s="30">
        <v>86905</v>
      </c>
      <c r="F2531" s="30">
        <v>87297</v>
      </c>
      <c r="G2531" s="30">
        <v>87509</v>
      </c>
      <c r="H2531" s="30">
        <v>87312</v>
      </c>
      <c r="I2531" s="30">
        <v>87567</v>
      </c>
      <c r="J2531" s="30">
        <v>87829</v>
      </c>
      <c r="K2531" s="30">
        <v>87682</v>
      </c>
      <c r="L2531" s="30">
        <v>87572</v>
      </c>
      <c r="M2531" s="30">
        <v>86810</v>
      </c>
      <c r="N2531" s="30">
        <v>86715</v>
      </c>
      <c r="O2531" s="24" t="str">
        <f t="shared" si="79"/>
        <v>Angelina County, Texas</v>
      </c>
    </row>
    <row r="2532" spans="1:15" x14ac:dyDescent="0.25">
      <c r="A2532" s="35" t="s">
        <v>3007</v>
      </c>
      <c r="B2532" s="28" t="str">
        <f t="shared" si="78"/>
        <v>Aransas</v>
      </c>
      <c r="C2532" s="30">
        <v>23158</v>
      </c>
      <c r="D2532" s="30">
        <v>23158</v>
      </c>
      <c r="E2532" s="30">
        <v>23181</v>
      </c>
      <c r="F2532" s="30">
        <v>23216</v>
      </c>
      <c r="G2532" s="30">
        <v>23459</v>
      </c>
      <c r="H2532" s="30">
        <v>23889</v>
      </c>
      <c r="I2532" s="30">
        <v>24566</v>
      </c>
      <c r="J2532" s="30">
        <v>24800</v>
      </c>
      <c r="K2532" s="30">
        <v>25162</v>
      </c>
      <c r="L2532" s="30">
        <v>25392</v>
      </c>
      <c r="M2532" s="30">
        <v>23446</v>
      </c>
      <c r="N2532" s="30">
        <v>23510</v>
      </c>
      <c r="O2532" s="24" t="str">
        <f t="shared" si="79"/>
        <v>Aransas County, Texas</v>
      </c>
    </row>
    <row r="2533" spans="1:15" x14ac:dyDescent="0.25">
      <c r="A2533" s="35" t="s">
        <v>3008</v>
      </c>
      <c r="B2533" s="28" t="str">
        <f t="shared" si="78"/>
        <v>Archer</v>
      </c>
      <c r="C2533" s="30">
        <v>9054</v>
      </c>
      <c r="D2533" s="30">
        <v>9061</v>
      </c>
      <c r="E2533" s="30">
        <v>9118</v>
      </c>
      <c r="F2533" s="30">
        <v>8840</v>
      </c>
      <c r="G2533" s="30">
        <v>8816</v>
      </c>
      <c r="H2533" s="30">
        <v>8801</v>
      </c>
      <c r="I2533" s="30">
        <v>8844</v>
      </c>
      <c r="J2533" s="30">
        <v>8763</v>
      </c>
      <c r="K2533" s="30">
        <v>8781</v>
      </c>
      <c r="L2533" s="30">
        <v>8783</v>
      </c>
      <c r="M2533" s="30">
        <v>8700</v>
      </c>
      <c r="N2533" s="30">
        <v>8553</v>
      </c>
      <c r="O2533" s="24" t="str">
        <f t="shared" si="79"/>
        <v>Archer County, Texas</v>
      </c>
    </row>
    <row r="2534" spans="1:15" x14ac:dyDescent="0.25">
      <c r="A2534" s="35" t="s">
        <v>3009</v>
      </c>
      <c r="B2534" s="28" t="str">
        <f t="shared" si="78"/>
        <v>Armstrong</v>
      </c>
      <c r="C2534" s="30">
        <v>1901</v>
      </c>
      <c r="D2534" s="30">
        <v>1901</v>
      </c>
      <c r="E2534" s="30">
        <v>1902</v>
      </c>
      <c r="F2534" s="30">
        <v>1936</v>
      </c>
      <c r="G2534" s="30">
        <v>1953</v>
      </c>
      <c r="H2534" s="30">
        <v>1940</v>
      </c>
      <c r="I2534" s="30">
        <v>1913</v>
      </c>
      <c r="J2534" s="30">
        <v>1901</v>
      </c>
      <c r="K2534" s="30">
        <v>1843</v>
      </c>
      <c r="L2534" s="30">
        <v>1867</v>
      </c>
      <c r="M2534" s="30">
        <v>1879</v>
      </c>
      <c r="N2534" s="30">
        <v>1887</v>
      </c>
      <c r="O2534" s="24" t="str">
        <f t="shared" si="79"/>
        <v>Armstrong County, Texas</v>
      </c>
    </row>
    <row r="2535" spans="1:15" x14ac:dyDescent="0.25">
      <c r="A2535" s="35" t="s">
        <v>3010</v>
      </c>
      <c r="B2535" s="28" t="str">
        <f t="shared" si="78"/>
        <v>Atascosa</v>
      </c>
      <c r="C2535" s="30">
        <v>44911</v>
      </c>
      <c r="D2535" s="30">
        <v>44923</v>
      </c>
      <c r="E2535" s="30">
        <v>44965</v>
      </c>
      <c r="F2535" s="30">
        <v>45504</v>
      </c>
      <c r="G2535" s="30">
        <v>46438</v>
      </c>
      <c r="H2535" s="30">
        <v>47021</v>
      </c>
      <c r="I2535" s="30">
        <v>47715</v>
      </c>
      <c r="J2535" s="30">
        <v>48363</v>
      </c>
      <c r="K2535" s="30">
        <v>48720</v>
      </c>
      <c r="L2535" s="30">
        <v>49083</v>
      </c>
      <c r="M2535" s="30">
        <v>50322</v>
      </c>
      <c r="N2535" s="30">
        <v>51153</v>
      </c>
      <c r="O2535" s="24" t="str">
        <f t="shared" si="79"/>
        <v>Atascosa County, Texas</v>
      </c>
    </row>
    <row r="2536" spans="1:15" x14ac:dyDescent="0.25">
      <c r="A2536" s="35" t="s">
        <v>3011</v>
      </c>
      <c r="B2536" s="28" t="str">
        <f t="shared" si="78"/>
        <v>Austin</v>
      </c>
      <c r="C2536" s="30">
        <v>28417</v>
      </c>
      <c r="D2536" s="30">
        <v>28412</v>
      </c>
      <c r="E2536" s="30">
        <v>28363</v>
      </c>
      <c r="F2536" s="30">
        <v>28604</v>
      </c>
      <c r="G2536" s="30">
        <v>28562</v>
      </c>
      <c r="H2536" s="30">
        <v>28679</v>
      </c>
      <c r="I2536" s="30">
        <v>28968</v>
      </c>
      <c r="J2536" s="30">
        <v>29471</v>
      </c>
      <c r="K2536" s="30">
        <v>29629</v>
      </c>
      <c r="L2536" s="30">
        <v>29722</v>
      </c>
      <c r="M2536" s="30">
        <v>29965</v>
      </c>
      <c r="N2536" s="30">
        <v>30032</v>
      </c>
      <c r="O2536" s="24" t="str">
        <f t="shared" si="79"/>
        <v>Austin County, Texas</v>
      </c>
    </row>
    <row r="2537" spans="1:15" x14ac:dyDescent="0.25">
      <c r="A2537" s="35" t="s">
        <v>3012</v>
      </c>
      <c r="B2537" s="28" t="str">
        <f t="shared" si="78"/>
        <v>Bailey</v>
      </c>
      <c r="C2537" s="30">
        <v>7165</v>
      </c>
      <c r="D2537" s="30">
        <v>7165</v>
      </c>
      <c r="E2537" s="30">
        <v>7154</v>
      </c>
      <c r="F2537" s="30">
        <v>7175</v>
      </c>
      <c r="G2537" s="30">
        <v>7139</v>
      </c>
      <c r="H2537" s="30">
        <v>7124</v>
      </c>
      <c r="I2537" s="30">
        <v>6966</v>
      </c>
      <c r="J2537" s="30">
        <v>7223</v>
      </c>
      <c r="K2537" s="30">
        <v>7196</v>
      </c>
      <c r="L2537" s="30">
        <v>7066</v>
      </c>
      <c r="M2537" s="30">
        <v>7015</v>
      </c>
      <c r="N2537" s="30">
        <v>7000</v>
      </c>
      <c r="O2537" s="24" t="str">
        <f t="shared" si="79"/>
        <v>Bailey County, Texas</v>
      </c>
    </row>
    <row r="2538" spans="1:15" x14ac:dyDescent="0.25">
      <c r="A2538" s="35" t="s">
        <v>3013</v>
      </c>
      <c r="B2538" s="28" t="str">
        <f t="shared" si="78"/>
        <v>Bandera</v>
      </c>
      <c r="C2538" s="30">
        <v>20485</v>
      </c>
      <c r="D2538" s="30">
        <v>20487</v>
      </c>
      <c r="E2538" s="30">
        <v>20559</v>
      </c>
      <c r="F2538" s="30">
        <v>20541</v>
      </c>
      <c r="G2538" s="30">
        <v>20591</v>
      </c>
      <c r="H2538" s="30">
        <v>20557</v>
      </c>
      <c r="I2538" s="30">
        <v>20813</v>
      </c>
      <c r="J2538" s="30">
        <v>21144</v>
      </c>
      <c r="K2538" s="30">
        <v>21701</v>
      </c>
      <c r="L2538" s="30">
        <v>22327</v>
      </c>
      <c r="M2538" s="30">
        <v>22792</v>
      </c>
      <c r="N2538" s="30">
        <v>23112</v>
      </c>
      <c r="O2538" s="24" t="str">
        <f t="shared" si="79"/>
        <v>Bandera County, Texas</v>
      </c>
    </row>
    <row r="2539" spans="1:15" x14ac:dyDescent="0.25">
      <c r="A2539" s="35" t="s">
        <v>3014</v>
      </c>
      <c r="B2539" s="28" t="str">
        <f t="shared" si="78"/>
        <v>Bastrop</v>
      </c>
      <c r="C2539" s="30">
        <v>74171</v>
      </c>
      <c r="D2539" s="30">
        <v>74217</v>
      </c>
      <c r="E2539" s="30">
        <v>74371</v>
      </c>
      <c r="F2539" s="30">
        <v>75055</v>
      </c>
      <c r="G2539" s="30">
        <v>74749</v>
      </c>
      <c r="H2539" s="30">
        <v>75814</v>
      </c>
      <c r="I2539" s="30">
        <v>77737</v>
      </c>
      <c r="J2539" s="30">
        <v>80115</v>
      </c>
      <c r="K2539" s="30">
        <v>82591</v>
      </c>
      <c r="L2539" s="30">
        <v>84585</v>
      </c>
      <c r="M2539" s="30">
        <v>86595</v>
      </c>
      <c r="N2539" s="30">
        <v>88723</v>
      </c>
      <c r="O2539" s="24" t="str">
        <f t="shared" si="79"/>
        <v>Bastrop County, Texas</v>
      </c>
    </row>
    <row r="2540" spans="1:15" x14ac:dyDescent="0.25">
      <c r="A2540" s="35" t="s">
        <v>3015</v>
      </c>
      <c r="B2540" s="28" t="str">
        <f t="shared" si="78"/>
        <v>Baylor</v>
      </c>
      <c r="C2540" s="30">
        <v>3726</v>
      </c>
      <c r="D2540" s="30">
        <v>3726</v>
      </c>
      <c r="E2540" s="30">
        <v>3708</v>
      </c>
      <c r="F2540" s="30">
        <v>3695</v>
      </c>
      <c r="G2540" s="30">
        <v>3590</v>
      </c>
      <c r="H2540" s="30">
        <v>3577</v>
      </c>
      <c r="I2540" s="30">
        <v>3566</v>
      </c>
      <c r="J2540" s="30">
        <v>3609</v>
      </c>
      <c r="K2540" s="30">
        <v>3638</v>
      </c>
      <c r="L2540" s="30">
        <v>3555</v>
      </c>
      <c r="M2540" s="30">
        <v>3573</v>
      </c>
      <c r="N2540" s="30">
        <v>3509</v>
      </c>
      <c r="O2540" s="24" t="str">
        <f t="shared" si="79"/>
        <v>Baylor County, Texas</v>
      </c>
    </row>
    <row r="2541" spans="1:15" x14ac:dyDescent="0.25">
      <c r="A2541" s="35" t="s">
        <v>3016</v>
      </c>
      <c r="B2541" s="28" t="str">
        <f t="shared" si="78"/>
        <v>Bee</v>
      </c>
      <c r="C2541" s="30">
        <v>31861</v>
      </c>
      <c r="D2541" s="30">
        <v>31861</v>
      </c>
      <c r="E2541" s="30">
        <v>31864</v>
      </c>
      <c r="F2541" s="30">
        <v>32318</v>
      </c>
      <c r="G2541" s="30">
        <v>32480</v>
      </c>
      <c r="H2541" s="30">
        <v>32810</v>
      </c>
      <c r="I2541" s="30">
        <v>32841</v>
      </c>
      <c r="J2541" s="30">
        <v>32617</v>
      </c>
      <c r="K2541" s="30">
        <v>32812</v>
      </c>
      <c r="L2541" s="30">
        <v>32592</v>
      </c>
      <c r="M2541" s="30">
        <v>32467</v>
      </c>
      <c r="N2541" s="30">
        <v>32565</v>
      </c>
      <c r="O2541" s="24" t="str">
        <f t="shared" si="79"/>
        <v>Bee County, Texas</v>
      </c>
    </row>
    <row r="2542" spans="1:15" x14ac:dyDescent="0.25">
      <c r="A2542" s="35" t="s">
        <v>3017</v>
      </c>
      <c r="B2542" s="28" t="str">
        <f t="shared" si="78"/>
        <v>Bell</v>
      </c>
      <c r="C2542" s="30">
        <v>310235</v>
      </c>
      <c r="D2542" s="30">
        <v>310159</v>
      </c>
      <c r="E2542" s="30">
        <v>312849</v>
      </c>
      <c r="F2542" s="30">
        <v>315799</v>
      </c>
      <c r="G2542" s="30">
        <v>324963</v>
      </c>
      <c r="H2542" s="30">
        <v>327028</v>
      </c>
      <c r="I2542" s="30">
        <v>330149</v>
      </c>
      <c r="J2542" s="30">
        <v>336076</v>
      </c>
      <c r="K2542" s="30">
        <v>341094</v>
      </c>
      <c r="L2542" s="30">
        <v>347377</v>
      </c>
      <c r="M2542" s="30">
        <v>355397</v>
      </c>
      <c r="N2542" s="30">
        <v>362924</v>
      </c>
      <c r="O2542" s="24" t="str">
        <f t="shared" si="79"/>
        <v>Bell County, Texas</v>
      </c>
    </row>
    <row r="2543" spans="1:15" x14ac:dyDescent="0.25">
      <c r="A2543" s="35" t="s">
        <v>3018</v>
      </c>
      <c r="B2543" s="28" t="str">
        <f t="shared" si="78"/>
        <v>Bexar</v>
      </c>
      <c r="C2543" s="30">
        <v>1714773</v>
      </c>
      <c r="D2543" s="30">
        <v>1714781</v>
      </c>
      <c r="E2543" s="30">
        <v>1722838</v>
      </c>
      <c r="F2543" s="30">
        <v>1755361</v>
      </c>
      <c r="G2543" s="30">
        <v>1788738</v>
      </c>
      <c r="H2543" s="30">
        <v>1821328</v>
      </c>
      <c r="I2543" s="30">
        <v>1858003</v>
      </c>
      <c r="J2543" s="30">
        <v>1894834</v>
      </c>
      <c r="K2543" s="30">
        <v>1927651</v>
      </c>
      <c r="L2543" s="30">
        <v>1956988</v>
      </c>
      <c r="M2543" s="30">
        <v>1981187</v>
      </c>
      <c r="N2543" s="30">
        <v>2003554</v>
      </c>
      <c r="O2543" s="24" t="str">
        <f t="shared" si="79"/>
        <v>Bexar County, Texas</v>
      </c>
    </row>
    <row r="2544" spans="1:15" x14ac:dyDescent="0.25">
      <c r="A2544" s="35" t="s">
        <v>3019</v>
      </c>
      <c r="B2544" s="28" t="str">
        <f t="shared" si="78"/>
        <v>Blanco</v>
      </c>
      <c r="C2544" s="30">
        <v>10497</v>
      </c>
      <c r="D2544" s="30">
        <v>10483</v>
      </c>
      <c r="E2544" s="30">
        <v>10498</v>
      </c>
      <c r="F2544" s="30">
        <v>10567</v>
      </c>
      <c r="G2544" s="30">
        <v>10616</v>
      </c>
      <c r="H2544" s="30">
        <v>10636</v>
      </c>
      <c r="I2544" s="30">
        <v>10805</v>
      </c>
      <c r="J2544" s="30">
        <v>11029</v>
      </c>
      <c r="K2544" s="30">
        <v>11301</v>
      </c>
      <c r="L2544" s="30">
        <v>11481</v>
      </c>
      <c r="M2544" s="30">
        <v>11648</v>
      </c>
      <c r="N2544" s="30">
        <v>11931</v>
      </c>
      <c r="O2544" s="24" t="str">
        <f t="shared" si="79"/>
        <v>Blanco County, Texas</v>
      </c>
    </row>
    <row r="2545" spans="1:15" x14ac:dyDescent="0.25">
      <c r="A2545" s="35" t="s">
        <v>3020</v>
      </c>
      <c r="B2545" s="28" t="str">
        <f t="shared" si="78"/>
        <v>Borden</v>
      </c>
      <c r="C2545" s="30">
        <v>641</v>
      </c>
      <c r="D2545" s="30">
        <v>641</v>
      </c>
      <c r="E2545" s="30">
        <v>646</v>
      </c>
      <c r="F2545" s="30">
        <v>632</v>
      </c>
      <c r="G2545" s="30">
        <v>613</v>
      </c>
      <c r="H2545" s="30">
        <v>646</v>
      </c>
      <c r="I2545" s="30">
        <v>665</v>
      </c>
      <c r="J2545" s="30">
        <v>655</v>
      </c>
      <c r="K2545" s="30">
        <v>657</v>
      </c>
      <c r="L2545" s="30">
        <v>670</v>
      </c>
      <c r="M2545" s="30">
        <v>647</v>
      </c>
      <c r="N2545" s="30">
        <v>654</v>
      </c>
      <c r="O2545" s="24" t="str">
        <f t="shared" si="79"/>
        <v>Borden County, Texas</v>
      </c>
    </row>
    <row r="2546" spans="1:15" x14ac:dyDescent="0.25">
      <c r="A2546" s="35" t="s">
        <v>3021</v>
      </c>
      <c r="B2546" s="28" t="str">
        <f t="shared" si="78"/>
        <v>Bosque</v>
      </c>
      <c r="C2546" s="30">
        <v>18212</v>
      </c>
      <c r="D2546" s="30">
        <v>18217</v>
      </c>
      <c r="E2546" s="30">
        <v>18269</v>
      </c>
      <c r="F2546" s="30">
        <v>18259</v>
      </c>
      <c r="G2546" s="30">
        <v>18126</v>
      </c>
      <c r="H2546" s="30">
        <v>17863</v>
      </c>
      <c r="I2546" s="30">
        <v>17716</v>
      </c>
      <c r="J2546" s="30">
        <v>17864</v>
      </c>
      <c r="K2546" s="30">
        <v>18009</v>
      </c>
      <c r="L2546" s="30">
        <v>18295</v>
      </c>
      <c r="M2546" s="30">
        <v>18629</v>
      </c>
      <c r="N2546" s="30">
        <v>18685</v>
      </c>
      <c r="O2546" s="24" t="str">
        <f t="shared" si="79"/>
        <v>Bosque County, Texas</v>
      </c>
    </row>
    <row r="2547" spans="1:15" x14ac:dyDescent="0.25">
      <c r="A2547" s="35" t="s">
        <v>3022</v>
      </c>
      <c r="B2547" s="28" t="str">
        <f t="shared" si="78"/>
        <v>Bowie</v>
      </c>
      <c r="C2547" s="30">
        <v>92565</v>
      </c>
      <c r="D2547" s="30">
        <v>92564</v>
      </c>
      <c r="E2547" s="30">
        <v>92638</v>
      </c>
      <c r="F2547" s="30">
        <v>92808</v>
      </c>
      <c r="G2547" s="30">
        <v>93030</v>
      </c>
      <c r="H2547" s="30">
        <v>93374</v>
      </c>
      <c r="I2547" s="30">
        <v>93268</v>
      </c>
      <c r="J2547" s="30">
        <v>93050</v>
      </c>
      <c r="K2547" s="30">
        <v>93424</v>
      </c>
      <c r="L2547" s="30">
        <v>93458</v>
      </c>
      <c r="M2547" s="30">
        <v>93688</v>
      </c>
      <c r="N2547" s="30">
        <v>93245</v>
      </c>
      <c r="O2547" s="24" t="str">
        <f t="shared" si="79"/>
        <v>Bowie County, Texas</v>
      </c>
    </row>
    <row r="2548" spans="1:15" x14ac:dyDescent="0.25">
      <c r="A2548" s="35" t="s">
        <v>3023</v>
      </c>
      <c r="B2548" s="28" t="str">
        <f t="shared" si="78"/>
        <v>Brazoria</v>
      </c>
      <c r="C2548" s="30">
        <v>313166</v>
      </c>
      <c r="D2548" s="30">
        <v>313117</v>
      </c>
      <c r="E2548" s="30">
        <v>314428</v>
      </c>
      <c r="F2548" s="30">
        <v>319147</v>
      </c>
      <c r="G2548" s="30">
        <v>324224</v>
      </c>
      <c r="H2548" s="30">
        <v>329890</v>
      </c>
      <c r="I2548" s="30">
        <v>337570</v>
      </c>
      <c r="J2548" s="30">
        <v>345227</v>
      </c>
      <c r="K2548" s="30">
        <v>353155</v>
      </c>
      <c r="L2548" s="30">
        <v>361853</v>
      </c>
      <c r="M2548" s="30">
        <v>368887</v>
      </c>
      <c r="N2548" s="30">
        <v>374264</v>
      </c>
      <c r="O2548" s="24" t="str">
        <f t="shared" si="79"/>
        <v>Brazoria County, Texas</v>
      </c>
    </row>
    <row r="2549" spans="1:15" x14ac:dyDescent="0.25">
      <c r="A2549" s="35" t="s">
        <v>3024</v>
      </c>
      <c r="B2549" s="28" t="str">
        <f t="shared" si="78"/>
        <v>Brazos</v>
      </c>
      <c r="C2549" s="30">
        <v>194851</v>
      </c>
      <c r="D2549" s="30">
        <v>194861</v>
      </c>
      <c r="E2549" s="30">
        <v>195666</v>
      </c>
      <c r="F2549" s="30">
        <v>197450</v>
      </c>
      <c r="G2549" s="30">
        <v>200260</v>
      </c>
      <c r="H2549" s="30">
        <v>204116</v>
      </c>
      <c r="I2549" s="30">
        <v>208975</v>
      </c>
      <c r="J2549" s="30">
        <v>216258</v>
      </c>
      <c r="K2549" s="30">
        <v>219739</v>
      </c>
      <c r="L2549" s="30">
        <v>223917</v>
      </c>
      <c r="M2549" s="30">
        <v>225781</v>
      </c>
      <c r="N2549" s="30">
        <v>229211</v>
      </c>
      <c r="O2549" s="24" t="str">
        <f t="shared" si="79"/>
        <v>Brazos County, Texas</v>
      </c>
    </row>
    <row r="2550" spans="1:15" x14ac:dyDescent="0.25">
      <c r="A2550" s="35" t="s">
        <v>3025</v>
      </c>
      <c r="B2550" s="28" t="str">
        <f t="shared" si="78"/>
        <v>Brewster</v>
      </c>
      <c r="C2550" s="30">
        <v>9232</v>
      </c>
      <c r="D2550" s="30">
        <v>9232</v>
      </c>
      <c r="E2550" s="30">
        <v>9258</v>
      </c>
      <c r="F2550" s="30">
        <v>9349</v>
      </c>
      <c r="G2550" s="30">
        <v>9259</v>
      </c>
      <c r="H2550" s="30">
        <v>9287</v>
      </c>
      <c r="I2550" s="30">
        <v>9150</v>
      </c>
      <c r="J2550" s="30">
        <v>9143</v>
      </c>
      <c r="K2550" s="30">
        <v>9211</v>
      </c>
      <c r="L2550" s="30">
        <v>9325</v>
      </c>
      <c r="M2550" s="30">
        <v>9272</v>
      </c>
      <c r="N2550" s="30">
        <v>9203</v>
      </c>
      <c r="O2550" s="24" t="str">
        <f t="shared" si="79"/>
        <v>Brewster County, Texas</v>
      </c>
    </row>
    <row r="2551" spans="1:15" x14ac:dyDescent="0.25">
      <c r="A2551" s="35" t="s">
        <v>3026</v>
      </c>
      <c r="B2551" s="28" t="str">
        <f t="shared" si="78"/>
        <v>Briscoe</v>
      </c>
      <c r="C2551" s="30">
        <v>1637</v>
      </c>
      <c r="D2551" s="30">
        <v>1637</v>
      </c>
      <c r="E2551" s="30">
        <v>1633</v>
      </c>
      <c r="F2551" s="30">
        <v>1659</v>
      </c>
      <c r="G2551" s="30">
        <v>1576</v>
      </c>
      <c r="H2551" s="30">
        <v>1562</v>
      </c>
      <c r="I2551" s="30">
        <v>1552</v>
      </c>
      <c r="J2551" s="30">
        <v>1514</v>
      </c>
      <c r="K2551" s="30">
        <v>1483</v>
      </c>
      <c r="L2551" s="30">
        <v>1514</v>
      </c>
      <c r="M2551" s="30">
        <v>1512</v>
      </c>
      <c r="N2551" s="30">
        <v>1546</v>
      </c>
      <c r="O2551" s="24" t="str">
        <f t="shared" si="79"/>
        <v>Briscoe County, Texas</v>
      </c>
    </row>
    <row r="2552" spans="1:15" x14ac:dyDescent="0.25">
      <c r="A2552" s="35" t="s">
        <v>3027</v>
      </c>
      <c r="B2552" s="28" t="str">
        <f t="shared" si="78"/>
        <v>Brooks</v>
      </c>
      <c r="C2552" s="30">
        <v>7223</v>
      </c>
      <c r="D2552" s="30">
        <v>7223</v>
      </c>
      <c r="E2552" s="30">
        <v>7208</v>
      </c>
      <c r="F2552" s="30">
        <v>7216</v>
      </c>
      <c r="G2552" s="30">
        <v>7196</v>
      </c>
      <c r="H2552" s="30">
        <v>7259</v>
      </c>
      <c r="I2552" s="30">
        <v>7228</v>
      </c>
      <c r="J2552" s="30">
        <v>7190</v>
      </c>
      <c r="K2552" s="30">
        <v>7190</v>
      </c>
      <c r="L2552" s="30">
        <v>7132</v>
      </c>
      <c r="M2552" s="30">
        <v>7099</v>
      </c>
      <c r="N2552" s="30">
        <v>7093</v>
      </c>
      <c r="O2552" s="24" t="str">
        <f t="shared" si="79"/>
        <v>Brooks County, Texas</v>
      </c>
    </row>
    <row r="2553" spans="1:15" x14ac:dyDescent="0.25">
      <c r="A2553" s="35" t="s">
        <v>3028</v>
      </c>
      <c r="B2553" s="28" t="str">
        <f t="shared" si="78"/>
        <v>Brown</v>
      </c>
      <c r="C2553" s="30">
        <v>38106</v>
      </c>
      <c r="D2553" s="30">
        <v>38106</v>
      </c>
      <c r="E2553" s="30">
        <v>38076</v>
      </c>
      <c r="F2553" s="30">
        <v>38000</v>
      </c>
      <c r="G2553" s="30">
        <v>37808</v>
      </c>
      <c r="H2553" s="30">
        <v>37671</v>
      </c>
      <c r="I2553" s="30">
        <v>37553</v>
      </c>
      <c r="J2553" s="30">
        <v>37736</v>
      </c>
      <c r="K2553" s="30">
        <v>38039</v>
      </c>
      <c r="L2553" s="30">
        <v>37815</v>
      </c>
      <c r="M2553" s="30">
        <v>37820</v>
      </c>
      <c r="N2553" s="30">
        <v>37864</v>
      </c>
      <c r="O2553" s="24" t="str">
        <f t="shared" si="79"/>
        <v>Brown County, Texas</v>
      </c>
    </row>
    <row r="2554" spans="1:15" x14ac:dyDescent="0.25">
      <c r="A2554" s="35" t="s">
        <v>3029</v>
      </c>
      <c r="B2554" s="28" t="str">
        <f t="shared" si="78"/>
        <v>Burleson</v>
      </c>
      <c r="C2554" s="30">
        <v>17187</v>
      </c>
      <c r="D2554" s="30">
        <v>17187</v>
      </c>
      <c r="E2554" s="30">
        <v>17237</v>
      </c>
      <c r="F2554" s="30">
        <v>17328</v>
      </c>
      <c r="G2554" s="30">
        <v>17433</v>
      </c>
      <c r="H2554" s="30">
        <v>17269</v>
      </c>
      <c r="I2554" s="30">
        <v>17387</v>
      </c>
      <c r="J2554" s="30">
        <v>17611</v>
      </c>
      <c r="K2554" s="30">
        <v>17848</v>
      </c>
      <c r="L2554" s="30">
        <v>18053</v>
      </c>
      <c r="M2554" s="30">
        <v>18335</v>
      </c>
      <c r="N2554" s="30">
        <v>18443</v>
      </c>
      <c r="O2554" s="24" t="str">
        <f t="shared" si="79"/>
        <v>Burleson County, Texas</v>
      </c>
    </row>
    <row r="2555" spans="1:15" x14ac:dyDescent="0.25">
      <c r="A2555" s="35" t="s">
        <v>3030</v>
      </c>
      <c r="B2555" s="28" t="str">
        <f t="shared" si="78"/>
        <v>Burnet</v>
      </c>
      <c r="C2555" s="30">
        <v>42750</v>
      </c>
      <c r="D2555" s="30">
        <v>42711</v>
      </c>
      <c r="E2555" s="30">
        <v>42762</v>
      </c>
      <c r="F2555" s="30">
        <v>43216</v>
      </c>
      <c r="G2555" s="30">
        <v>43377</v>
      </c>
      <c r="H2555" s="30">
        <v>43580</v>
      </c>
      <c r="I2555" s="30">
        <v>43954</v>
      </c>
      <c r="J2555" s="30">
        <v>44734</v>
      </c>
      <c r="K2555" s="30">
        <v>45817</v>
      </c>
      <c r="L2555" s="30">
        <v>46600</v>
      </c>
      <c r="M2555" s="30">
        <v>47344</v>
      </c>
      <c r="N2555" s="30">
        <v>48155</v>
      </c>
      <c r="O2555" s="24" t="str">
        <f t="shared" si="79"/>
        <v>Burnet County, Texas</v>
      </c>
    </row>
    <row r="2556" spans="1:15" x14ac:dyDescent="0.25">
      <c r="A2556" s="35" t="s">
        <v>3031</v>
      </c>
      <c r="B2556" s="28" t="str">
        <f t="shared" si="78"/>
        <v>Caldwell</v>
      </c>
      <c r="C2556" s="30">
        <v>38066</v>
      </c>
      <c r="D2556" s="30">
        <v>38055</v>
      </c>
      <c r="E2556" s="30">
        <v>38127</v>
      </c>
      <c r="F2556" s="30">
        <v>38470</v>
      </c>
      <c r="G2556" s="30">
        <v>38682</v>
      </c>
      <c r="H2556" s="30">
        <v>39201</v>
      </c>
      <c r="I2556" s="30">
        <v>39703</v>
      </c>
      <c r="J2556" s="30">
        <v>40419</v>
      </c>
      <c r="K2556" s="30">
        <v>41147</v>
      </c>
      <c r="L2556" s="30">
        <v>42328</v>
      </c>
      <c r="M2556" s="30">
        <v>43161</v>
      </c>
      <c r="N2556" s="30">
        <v>43664</v>
      </c>
      <c r="O2556" s="24" t="str">
        <f t="shared" si="79"/>
        <v>Caldwell County, Texas</v>
      </c>
    </row>
    <row r="2557" spans="1:15" x14ac:dyDescent="0.25">
      <c r="A2557" s="35" t="s">
        <v>3032</v>
      </c>
      <c r="B2557" s="28" t="str">
        <f t="shared" si="78"/>
        <v>Calhoun</v>
      </c>
      <c r="C2557" s="30">
        <v>21381</v>
      </c>
      <c r="D2557" s="30">
        <v>21382</v>
      </c>
      <c r="E2557" s="30">
        <v>21313</v>
      </c>
      <c r="F2557" s="30">
        <v>21359</v>
      </c>
      <c r="G2557" s="30">
        <v>21575</v>
      </c>
      <c r="H2557" s="30">
        <v>21729</v>
      </c>
      <c r="I2557" s="30">
        <v>21812</v>
      </c>
      <c r="J2557" s="30">
        <v>21887</v>
      </c>
      <c r="K2557" s="30">
        <v>21948</v>
      </c>
      <c r="L2557" s="30">
        <v>21712</v>
      </c>
      <c r="M2557" s="30">
        <v>21504</v>
      </c>
      <c r="N2557" s="30">
        <v>21290</v>
      </c>
      <c r="O2557" s="24" t="str">
        <f t="shared" si="79"/>
        <v>Calhoun County, Texas</v>
      </c>
    </row>
    <row r="2558" spans="1:15" x14ac:dyDescent="0.25">
      <c r="A2558" s="35" t="s">
        <v>3033</v>
      </c>
      <c r="B2558" s="28" t="str">
        <f t="shared" si="78"/>
        <v>Callahan</v>
      </c>
      <c r="C2558" s="30">
        <v>13544</v>
      </c>
      <c r="D2558" s="30">
        <v>13545</v>
      </c>
      <c r="E2558" s="30">
        <v>13512</v>
      </c>
      <c r="F2558" s="30">
        <v>13511</v>
      </c>
      <c r="G2558" s="30">
        <v>13488</v>
      </c>
      <c r="H2558" s="30">
        <v>13502</v>
      </c>
      <c r="I2558" s="30">
        <v>13505</v>
      </c>
      <c r="J2558" s="30">
        <v>13589</v>
      </c>
      <c r="K2558" s="30">
        <v>13789</v>
      </c>
      <c r="L2558" s="30">
        <v>13968</v>
      </c>
      <c r="M2558" s="30">
        <v>13990</v>
      </c>
      <c r="N2558" s="30">
        <v>13943</v>
      </c>
      <c r="O2558" s="24" t="str">
        <f t="shared" si="79"/>
        <v>Callahan County, Texas</v>
      </c>
    </row>
    <row r="2559" spans="1:15" x14ac:dyDescent="0.25">
      <c r="A2559" s="35" t="s">
        <v>3034</v>
      </c>
      <c r="B2559" s="28" t="str">
        <f t="shared" si="78"/>
        <v>Cameron</v>
      </c>
      <c r="C2559" s="30">
        <v>406220</v>
      </c>
      <c r="D2559" s="30">
        <v>406215</v>
      </c>
      <c r="E2559" s="30">
        <v>407630</v>
      </c>
      <c r="F2559" s="30">
        <v>413201</v>
      </c>
      <c r="G2559" s="30">
        <v>415877</v>
      </c>
      <c r="H2559" s="30">
        <v>417357</v>
      </c>
      <c r="I2559" s="30">
        <v>419005</v>
      </c>
      <c r="J2559" s="30">
        <v>419450</v>
      </c>
      <c r="K2559" s="30">
        <v>421350</v>
      </c>
      <c r="L2559" s="30">
        <v>422227</v>
      </c>
      <c r="M2559" s="30">
        <v>422139</v>
      </c>
      <c r="N2559" s="30">
        <v>423163</v>
      </c>
      <c r="O2559" s="24" t="str">
        <f t="shared" si="79"/>
        <v>Cameron County, Texas</v>
      </c>
    </row>
    <row r="2560" spans="1:15" x14ac:dyDescent="0.25">
      <c r="A2560" s="35" t="s">
        <v>3035</v>
      </c>
      <c r="B2560" s="28" t="str">
        <f t="shared" si="78"/>
        <v>Camp</v>
      </c>
      <c r="C2560" s="30">
        <v>12401</v>
      </c>
      <c r="D2560" s="30">
        <v>12401</v>
      </c>
      <c r="E2560" s="30">
        <v>12398</v>
      </c>
      <c r="F2560" s="30">
        <v>12422</v>
      </c>
      <c r="G2560" s="30">
        <v>12487</v>
      </c>
      <c r="H2560" s="30">
        <v>12462</v>
      </c>
      <c r="I2560" s="30">
        <v>12657</v>
      </c>
      <c r="J2560" s="30">
        <v>12699</v>
      </c>
      <c r="K2560" s="30">
        <v>12771</v>
      </c>
      <c r="L2560" s="30">
        <v>12845</v>
      </c>
      <c r="M2560" s="30">
        <v>12983</v>
      </c>
      <c r="N2560" s="30">
        <v>13094</v>
      </c>
      <c r="O2560" s="24" t="str">
        <f t="shared" si="79"/>
        <v>Camp County, Texas</v>
      </c>
    </row>
    <row r="2561" spans="1:15" x14ac:dyDescent="0.25">
      <c r="A2561" s="35" t="s">
        <v>3036</v>
      </c>
      <c r="B2561" s="28" t="str">
        <f t="shared" si="78"/>
        <v>Carson</v>
      </c>
      <c r="C2561" s="30">
        <v>6182</v>
      </c>
      <c r="D2561" s="30">
        <v>6184</v>
      </c>
      <c r="E2561" s="30">
        <v>6162</v>
      </c>
      <c r="F2561" s="30">
        <v>6238</v>
      </c>
      <c r="G2561" s="30">
        <v>6089</v>
      </c>
      <c r="H2561" s="30">
        <v>5988</v>
      </c>
      <c r="I2561" s="30">
        <v>6036</v>
      </c>
      <c r="J2561" s="30">
        <v>6013</v>
      </c>
      <c r="K2561" s="30">
        <v>6096</v>
      </c>
      <c r="L2561" s="30">
        <v>6005</v>
      </c>
      <c r="M2561" s="30">
        <v>6007</v>
      </c>
      <c r="N2561" s="30">
        <v>5926</v>
      </c>
      <c r="O2561" s="24" t="str">
        <f t="shared" si="79"/>
        <v>Carson County, Texas</v>
      </c>
    </row>
    <row r="2562" spans="1:15" x14ac:dyDescent="0.25">
      <c r="A2562" s="35" t="s">
        <v>3037</v>
      </c>
      <c r="B2562" s="28" t="str">
        <f t="shared" si="78"/>
        <v>Cass</v>
      </c>
      <c r="C2562" s="30">
        <v>30464</v>
      </c>
      <c r="D2562" s="30">
        <v>30469</v>
      </c>
      <c r="E2562" s="30">
        <v>30457</v>
      </c>
      <c r="F2562" s="30">
        <v>30281</v>
      </c>
      <c r="G2562" s="30">
        <v>30031</v>
      </c>
      <c r="H2562" s="30">
        <v>30237</v>
      </c>
      <c r="I2562" s="30">
        <v>30123</v>
      </c>
      <c r="J2562" s="30">
        <v>30140</v>
      </c>
      <c r="K2562" s="30">
        <v>30058</v>
      </c>
      <c r="L2562" s="30">
        <v>29966</v>
      </c>
      <c r="M2562" s="30">
        <v>30106</v>
      </c>
      <c r="N2562" s="30">
        <v>30026</v>
      </c>
      <c r="O2562" s="24" t="str">
        <f t="shared" si="79"/>
        <v>Cass County, Texas</v>
      </c>
    </row>
    <row r="2563" spans="1:15" x14ac:dyDescent="0.25">
      <c r="A2563" s="35" t="s">
        <v>3038</v>
      </c>
      <c r="B2563" s="28" t="str">
        <f t="shared" si="78"/>
        <v>Castro</v>
      </c>
      <c r="C2563" s="30">
        <v>8062</v>
      </c>
      <c r="D2563" s="30">
        <v>8063</v>
      </c>
      <c r="E2563" s="30">
        <v>8126</v>
      </c>
      <c r="F2563" s="30">
        <v>8094</v>
      </c>
      <c r="G2563" s="30">
        <v>8262</v>
      </c>
      <c r="H2563" s="30">
        <v>8120</v>
      </c>
      <c r="I2563" s="30">
        <v>7927</v>
      </c>
      <c r="J2563" s="30">
        <v>7787</v>
      </c>
      <c r="K2563" s="30">
        <v>7765</v>
      </c>
      <c r="L2563" s="30">
        <v>7696</v>
      </c>
      <c r="M2563" s="30">
        <v>7588</v>
      </c>
      <c r="N2563" s="30">
        <v>7530</v>
      </c>
      <c r="O2563" s="24" t="str">
        <f t="shared" si="79"/>
        <v>Castro County, Texas</v>
      </c>
    </row>
    <row r="2564" spans="1:15" x14ac:dyDescent="0.25">
      <c r="A2564" s="35" t="s">
        <v>3039</v>
      </c>
      <c r="B2564" s="28" t="str">
        <f t="shared" si="78"/>
        <v>Chambers</v>
      </c>
      <c r="C2564" s="30">
        <v>35096</v>
      </c>
      <c r="D2564" s="30">
        <v>35107</v>
      </c>
      <c r="E2564" s="30">
        <v>35456</v>
      </c>
      <c r="F2564" s="30">
        <v>35699</v>
      </c>
      <c r="G2564" s="30">
        <v>36508</v>
      </c>
      <c r="H2564" s="30">
        <v>37367</v>
      </c>
      <c r="I2564" s="30">
        <v>38296</v>
      </c>
      <c r="J2564" s="30">
        <v>39028</v>
      </c>
      <c r="K2564" s="30">
        <v>40163</v>
      </c>
      <c r="L2564" s="30">
        <v>41269</v>
      </c>
      <c r="M2564" s="30">
        <v>42227</v>
      </c>
      <c r="N2564" s="30">
        <v>43837</v>
      </c>
      <c r="O2564" s="24" t="str">
        <f t="shared" si="79"/>
        <v>Chambers County, Texas</v>
      </c>
    </row>
    <row r="2565" spans="1:15" x14ac:dyDescent="0.25">
      <c r="A2565" s="35" t="s">
        <v>3040</v>
      </c>
      <c r="B2565" s="28" t="str">
        <f t="shared" si="78"/>
        <v>Cherokee</v>
      </c>
      <c r="C2565" s="30">
        <v>50845</v>
      </c>
      <c r="D2565" s="30">
        <v>50834</v>
      </c>
      <c r="E2565" s="30">
        <v>50941</v>
      </c>
      <c r="F2565" s="30">
        <v>51090</v>
      </c>
      <c r="G2565" s="30">
        <v>51277</v>
      </c>
      <c r="H2565" s="30">
        <v>51093</v>
      </c>
      <c r="I2565" s="30">
        <v>51189</v>
      </c>
      <c r="J2565" s="30">
        <v>51568</v>
      </c>
      <c r="K2565" s="30">
        <v>51879</v>
      </c>
      <c r="L2565" s="30">
        <v>52116</v>
      </c>
      <c r="M2565" s="30">
        <v>52381</v>
      </c>
      <c r="N2565" s="30">
        <v>52646</v>
      </c>
      <c r="O2565" s="24" t="str">
        <f t="shared" si="79"/>
        <v>Cherokee County, Texas</v>
      </c>
    </row>
    <row r="2566" spans="1:15" x14ac:dyDescent="0.25">
      <c r="A2566" s="35" t="s">
        <v>3041</v>
      </c>
      <c r="B2566" s="28" t="str">
        <f t="shared" si="78"/>
        <v>Childress</v>
      </c>
      <c r="C2566" s="30">
        <v>7041</v>
      </c>
      <c r="D2566" s="30">
        <v>7041</v>
      </c>
      <c r="E2566" s="30">
        <v>7070</v>
      </c>
      <c r="F2566" s="30">
        <v>7027</v>
      </c>
      <c r="G2566" s="30">
        <v>7100</v>
      </c>
      <c r="H2566" s="30">
        <v>7055</v>
      </c>
      <c r="I2566" s="30">
        <v>7196</v>
      </c>
      <c r="J2566" s="30">
        <v>7169</v>
      </c>
      <c r="K2566" s="30">
        <v>7204</v>
      </c>
      <c r="L2566" s="30">
        <v>7269</v>
      </c>
      <c r="M2566" s="30">
        <v>7315</v>
      </c>
      <c r="N2566" s="30">
        <v>7306</v>
      </c>
      <c r="O2566" s="24" t="str">
        <f t="shared" si="79"/>
        <v>Childress County, Texas</v>
      </c>
    </row>
    <row r="2567" spans="1:15" x14ac:dyDescent="0.25">
      <c r="A2567" s="35" t="s">
        <v>3042</v>
      </c>
      <c r="B2567" s="28" t="str">
        <f t="shared" ref="B2567:B2630" si="80">LEFT(A2567,FIND("County",A2567,1)-2)</f>
        <v>Clay</v>
      </c>
      <c r="C2567" s="30">
        <v>10752</v>
      </c>
      <c r="D2567" s="30">
        <v>10754</v>
      </c>
      <c r="E2567" s="30">
        <v>10737</v>
      </c>
      <c r="F2567" s="30">
        <v>10668</v>
      </c>
      <c r="G2567" s="30">
        <v>10523</v>
      </c>
      <c r="H2567" s="30">
        <v>10455</v>
      </c>
      <c r="I2567" s="30">
        <v>10377</v>
      </c>
      <c r="J2567" s="30">
        <v>10359</v>
      </c>
      <c r="K2567" s="30">
        <v>10251</v>
      </c>
      <c r="L2567" s="30">
        <v>10484</v>
      </c>
      <c r="M2567" s="30">
        <v>10448</v>
      </c>
      <c r="N2567" s="30">
        <v>10471</v>
      </c>
      <c r="O2567" s="24" t="str">
        <f t="shared" ref="O2567:O2630" si="81">A2567</f>
        <v>Clay County, Texas</v>
      </c>
    </row>
    <row r="2568" spans="1:15" x14ac:dyDescent="0.25">
      <c r="A2568" s="35" t="s">
        <v>3043</v>
      </c>
      <c r="B2568" s="28" t="str">
        <f t="shared" si="80"/>
        <v>Cochran</v>
      </c>
      <c r="C2568" s="30">
        <v>3127</v>
      </c>
      <c r="D2568" s="30">
        <v>3127</v>
      </c>
      <c r="E2568" s="30">
        <v>3147</v>
      </c>
      <c r="F2568" s="30">
        <v>3082</v>
      </c>
      <c r="G2568" s="30">
        <v>3028</v>
      </c>
      <c r="H2568" s="30">
        <v>3009</v>
      </c>
      <c r="I2568" s="30">
        <v>2945</v>
      </c>
      <c r="J2568" s="30">
        <v>2977</v>
      </c>
      <c r="K2568" s="30">
        <v>2921</v>
      </c>
      <c r="L2568" s="30">
        <v>2853</v>
      </c>
      <c r="M2568" s="30">
        <v>2831</v>
      </c>
      <c r="N2568" s="30">
        <v>2853</v>
      </c>
      <c r="O2568" s="24" t="str">
        <f t="shared" si="81"/>
        <v>Cochran County, Texas</v>
      </c>
    </row>
    <row r="2569" spans="1:15" x14ac:dyDescent="0.25">
      <c r="A2569" s="35" t="s">
        <v>3044</v>
      </c>
      <c r="B2569" s="28" t="str">
        <f t="shared" si="80"/>
        <v>Coke</v>
      </c>
      <c r="C2569" s="30">
        <v>3320</v>
      </c>
      <c r="D2569" s="30">
        <v>3317</v>
      </c>
      <c r="E2569" s="30">
        <v>3319</v>
      </c>
      <c r="F2569" s="30">
        <v>3266</v>
      </c>
      <c r="G2569" s="30">
        <v>3202</v>
      </c>
      <c r="H2569" s="30">
        <v>3180</v>
      </c>
      <c r="I2569" s="30">
        <v>3217</v>
      </c>
      <c r="J2569" s="30">
        <v>3227</v>
      </c>
      <c r="K2569" s="30">
        <v>3259</v>
      </c>
      <c r="L2569" s="30">
        <v>3285</v>
      </c>
      <c r="M2569" s="30">
        <v>3355</v>
      </c>
      <c r="N2569" s="30">
        <v>3387</v>
      </c>
      <c r="O2569" s="24" t="str">
        <f t="shared" si="81"/>
        <v>Coke County, Texas</v>
      </c>
    </row>
    <row r="2570" spans="1:15" x14ac:dyDescent="0.25">
      <c r="A2570" s="35" t="s">
        <v>3045</v>
      </c>
      <c r="B2570" s="28" t="str">
        <f t="shared" si="80"/>
        <v>Coleman</v>
      </c>
      <c r="C2570" s="30">
        <v>8895</v>
      </c>
      <c r="D2570" s="30">
        <v>8893</v>
      </c>
      <c r="E2570" s="30">
        <v>8870</v>
      </c>
      <c r="F2570" s="30">
        <v>8743</v>
      </c>
      <c r="G2570" s="30">
        <v>8667</v>
      </c>
      <c r="H2570" s="30">
        <v>8526</v>
      </c>
      <c r="I2570" s="30">
        <v>8416</v>
      </c>
      <c r="J2570" s="30">
        <v>8316</v>
      </c>
      <c r="K2570" s="30">
        <v>8412</v>
      </c>
      <c r="L2570" s="30">
        <v>8399</v>
      </c>
      <c r="M2570" s="30">
        <v>8367</v>
      </c>
      <c r="N2570" s="30">
        <v>8175</v>
      </c>
      <c r="O2570" s="24" t="str">
        <f t="shared" si="81"/>
        <v>Coleman County, Texas</v>
      </c>
    </row>
    <row r="2571" spans="1:15" x14ac:dyDescent="0.25">
      <c r="A2571" s="35" t="s">
        <v>3046</v>
      </c>
      <c r="B2571" s="28" t="str">
        <f t="shared" si="80"/>
        <v>Collin</v>
      </c>
      <c r="C2571" s="30">
        <v>782341</v>
      </c>
      <c r="D2571" s="30">
        <v>781419</v>
      </c>
      <c r="E2571" s="30">
        <v>787614</v>
      </c>
      <c r="F2571" s="30">
        <v>812540</v>
      </c>
      <c r="G2571" s="30">
        <v>835230</v>
      </c>
      <c r="H2571" s="30">
        <v>856398</v>
      </c>
      <c r="I2571" s="30">
        <v>884688</v>
      </c>
      <c r="J2571" s="30">
        <v>915243</v>
      </c>
      <c r="K2571" s="30">
        <v>943742</v>
      </c>
      <c r="L2571" s="30">
        <v>971864</v>
      </c>
      <c r="M2571" s="30">
        <v>1004307</v>
      </c>
      <c r="N2571" s="30">
        <v>1034730</v>
      </c>
      <c r="O2571" s="24" t="str">
        <f t="shared" si="81"/>
        <v>Collin County, Texas</v>
      </c>
    </row>
    <row r="2572" spans="1:15" x14ac:dyDescent="0.25">
      <c r="A2572" s="35" t="s">
        <v>3047</v>
      </c>
      <c r="B2572" s="28" t="str">
        <f t="shared" si="80"/>
        <v>Collingsworth</v>
      </c>
      <c r="C2572" s="30">
        <v>3057</v>
      </c>
      <c r="D2572" s="30">
        <v>3057</v>
      </c>
      <c r="E2572" s="30">
        <v>3054</v>
      </c>
      <c r="F2572" s="30">
        <v>3085</v>
      </c>
      <c r="G2572" s="30">
        <v>3024</v>
      </c>
      <c r="H2572" s="30">
        <v>3100</v>
      </c>
      <c r="I2572" s="30">
        <v>3016</v>
      </c>
      <c r="J2572" s="30">
        <v>3010</v>
      </c>
      <c r="K2572" s="30">
        <v>3007</v>
      </c>
      <c r="L2572" s="30">
        <v>2964</v>
      </c>
      <c r="M2572" s="30">
        <v>2942</v>
      </c>
      <c r="N2572" s="30">
        <v>2920</v>
      </c>
      <c r="O2572" s="24" t="str">
        <f t="shared" si="81"/>
        <v>Collingsworth County, Texas</v>
      </c>
    </row>
    <row r="2573" spans="1:15" x14ac:dyDescent="0.25">
      <c r="A2573" s="35" t="s">
        <v>3048</v>
      </c>
      <c r="B2573" s="28" t="str">
        <f t="shared" si="80"/>
        <v>Colorado</v>
      </c>
      <c r="C2573" s="30">
        <v>20874</v>
      </c>
      <c r="D2573" s="30">
        <v>20872</v>
      </c>
      <c r="E2573" s="30">
        <v>20872</v>
      </c>
      <c r="F2573" s="30">
        <v>20806</v>
      </c>
      <c r="G2573" s="30">
        <v>20724</v>
      </c>
      <c r="H2573" s="30">
        <v>20717</v>
      </c>
      <c r="I2573" s="30">
        <v>20696</v>
      </c>
      <c r="J2573" s="30">
        <v>20951</v>
      </c>
      <c r="K2573" s="30">
        <v>21081</v>
      </c>
      <c r="L2573" s="30">
        <v>21291</v>
      </c>
      <c r="M2573" s="30">
        <v>21305</v>
      </c>
      <c r="N2573" s="30">
        <v>21493</v>
      </c>
      <c r="O2573" s="24" t="str">
        <f t="shared" si="81"/>
        <v>Colorado County, Texas</v>
      </c>
    </row>
    <row r="2574" spans="1:15" x14ac:dyDescent="0.25">
      <c r="A2574" s="35" t="s">
        <v>3049</v>
      </c>
      <c r="B2574" s="28" t="str">
        <f t="shared" si="80"/>
        <v>Comal</v>
      </c>
      <c r="C2574" s="30">
        <v>108472</v>
      </c>
      <c r="D2574" s="30">
        <v>108520</v>
      </c>
      <c r="E2574" s="30">
        <v>109306</v>
      </c>
      <c r="F2574" s="30">
        <v>112113</v>
      </c>
      <c r="G2574" s="30">
        <v>114873</v>
      </c>
      <c r="H2574" s="30">
        <v>118627</v>
      </c>
      <c r="I2574" s="30">
        <v>123214</v>
      </c>
      <c r="J2574" s="30">
        <v>128795</v>
      </c>
      <c r="K2574" s="30">
        <v>134343</v>
      </c>
      <c r="L2574" s="30">
        <v>140721</v>
      </c>
      <c r="M2574" s="30">
        <v>148141</v>
      </c>
      <c r="N2574" s="30">
        <v>156209</v>
      </c>
      <c r="O2574" s="24" t="str">
        <f t="shared" si="81"/>
        <v>Comal County, Texas</v>
      </c>
    </row>
    <row r="2575" spans="1:15" x14ac:dyDescent="0.25">
      <c r="A2575" s="35" t="s">
        <v>3050</v>
      </c>
      <c r="B2575" s="28" t="str">
        <f t="shared" si="80"/>
        <v>Comanche</v>
      </c>
      <c r="C2575" s="30">
        <v>13974</v>
      </c>
      <c r="D2575" s="30">
        <v>13960</v>
      </c>
      <c r="E2575" s="30">
        <v>13953</v>
      </c>
      <c r="F2575" s="30">
        <v>13867</v>
      </c>
      <c r="G2575" s="30">
        <v>13723</v>
      </c>
      <c r="H2575" s="30">
        <v>13554</v>
      </c>
      <c r="I2575" s="30">
        <v>13472</v>
      </c>
      <c r="J2575" s="30">
        <v>13395</v>
      </c>
      <c r="K2575" s="30">
        <v>13543</v>
      </c>
      <c r="L2575" s="30">
        <v>13533</v>
      </c>
      <c r="M2575" s="30">
        <v>13540</v>
      </c>
      <c r="N2575" s="30">
        <v>13635</v>
      </c>
      <c r="O2575" s="24" t="str">
        <f t="shared" si="81"/>
        <v>Comanche County, Texas</v>
      </c>
    </row>
    <row r="2576" spans="1:15" x14ac:dyDescent="0.25">
      <c r="A2576" s="35" t="s">
        <v>3051</v>
      </c>
      <c r="B2576" s="28" t="str">
        <f t="shared" si="80"/>
        <v>Concho</v>
      </c>
      <c r="C2576" s="30">
        <v>4087</v>
      </c>
      <c r="D2576" s="30">
        <v>4087</v>
      </c>
      <c r="E2576" s="30">
        <v>4102</v>
      </c>
      <c r="F2576" s="30">
        <v>4124</v>
      </c>
      <c r="G2576" s="30">
        <v>4085</v>
      </c>
      <c r="H2576" s="30">
        <v>4122</v>
      </c>
      <c r="I2576" s="30">
        <v>4089</v>
      </c>
      <c r="J2576" s="30">
        <v>4072</v>
      </c>
      <c r="K2576" s="30">
        <v>4140</v>
      </c>
      <c r="L2576" s="30">
        <v>2707</v>
      </c>
      <c r="M2576" s="30">
        <v>2683</v>
      </c>
      <c r="N2576" s="30">
        <v>2726</v>
      </c>
      <c r="O2576" s="24" t="str">
        <f t="shared" si="81"/>
        <v>Concho County, Texas</v>
      </c>
    </row>
    <row r="2577" spans="1:15" x14ac:dyDescent="0.25">
      <c r="A2577" s="35" t="s">
        <v>3052</v>
      </c>
      <c r="B2577" s="28" t="str">
        <f t="shared" si="80"/>
        <v>Cooke</v>
      </c>
      <c r="C2577" s="30">
        <v>38437</v>
      </c>
      <c r="D2577" s="30">
        <v>38436</v>
      </c>
      <c r="E2577" s="30">
        <v>38472</v>
      </c>
      <c r="F2577" s="30">
        <v>38443</v>
      </c>
      <c r="G2577" s="30">
        <v>38717</v>
      </c>
      <c r="H2577" s="30">
        <v>38456</v>
      </c>
      <c r="I2577" s="30">
        <v>38764</v>
      </c>
      <c r="J2577" s="30">
        <v>39170</v>
      </c>
      <c r="K2577" s="30">
        <v>39343</v>
      </c>
      <c r="L2577" s="30">
        <v>39932</v>
      </c>
      <c r="M2577" s="30">
        <v>40504</v>
      </c>
      <c r="N2577" s="30">
        <v>41257</v>
      </c>
      <c r="O2577" s="24" t="str">
        <f t="shared" si="81"/>
        <v>Cooke County, Texas</v>
      </c>
    </row>
    <row r="2578" spans="1:15" x14ac:dyDescent="0.25">
      <c r="A2578" s="35" t="s">
        <v>3053</v>
      </c>
      <c r="B2578" s="28" t="str">
        <f t="shared" si="80"/>
        <v>Coryell</v>
      </c>
      <c r="C2578" s="30">
        <v>75388</v>
      </c>
      <c r="D2578" s="30">
        <v>75474</v>
      </c>
      <c r="E2578" s="30">
        <v>75651</v>
      </c>
      <c r="F2578" s="30">
        <v>76625</v>
      </c>
      <c r="G2578" s="30">
        <v>78458</v>
      </c>
      <c r="H2578" s="30">
        <v>76761</v>
      </c>
      <c r="I2578" s="30">
        <v>76166</v>
      </c>
      <c r="J2578" s="30">
        <v>76145</v>
      </c>
      <c r="K2578" s="30">
        <v>74803</v>
      </c>
      <c r="L2578" s="30">
        <v>74760</v>
      </c>
      <c r="M2578" s="30">
        <v>74741</v>
      </c>
      <c r="N2578" s="30">
        <v>75951</v>
      </c>
      <c r="O2578" s="24" t="str">
        <f t="shared" si="81"/>
        <v>Coryell County, Texas</v>
      </c>
    </row>
    <row r="2579" spans="1:15" x14ac:dyDescent="0.25">
      <c r="A2579" s="35" t="s">
        <v>3054</v>
      </c>
      <c r="B2579" s="28" t="str">
        <f t="shared" si="80"/>
        <v>Cottle</v>
      </c>
      <c r="C2579" s="30">
        <v>1505</v>
      </c>
      <c r="D2579" s="30">
        <v>1506</v>
      </c>
      <c r="E2579" s="30">
        <v>1512</v>
      </c>
      <c r="F2579" s="30">
        <v>1507</v>
      </c>
      <c r="G2579" s="30">
        <v>1485</v>
      </c>
      <c r="H2579" s="30">
        <v>1442</v>
      </c>
      <c r="I2579" s="30">
        <v>1429</v>
      </c>
      <c r="J2579" s="30">
        <v>1439</v>
      </c>
      <c r="K2579" s="30">
        <v>1402</v>
      </c>
      <c r="L2579" s="30">
        <v>1375</v>
      </c>
      <c r="M2579" s="30">
        <v>1382</v>
      </c>
      <c r="N2579" s="30">
        <v>1398</v>
      </c>
      <c r="O2579" s="24" t="str">
        <f t="shared" si="81"/>
        <v>Cottle County, Texas</v>
      </c>
    </row>
    <row r="2580" spans="1:15" x14ac:dyDescent="0.25">
      <c r="A2580" s="35" t="s">
        <v>3055</v>
      </c>
      <c r="B2580" s="28" t="str">
        <f t="shared" si="80"/>
        <v>Crane</v>
      </c>
      <c r="C2580" s="30">
        <v>4375</v>
      </c>
      <c r="D2580" s="30">
        <v>4375</v>
      </c>
      <c r="E2580" s="30">
        <v>4382</v>
      </c>
      <c r="F2580" s="30">
        <v>4358</v>
      </c>
      <c r="G2580" s="30">
        <v>4525</v>
      </c>
      <c r="H2580" s="30">
        <v>4718</v>
      </c>
      <c r="I2580" s="30">
        <v>4897</v>
      </c>
      <c r="J2580" s="30">
        <v>4995</v>
      </c>
      <c r="K2580" s="30">
        <v>4779</v>
      </c>
      <c r="L2580" s="30">
        <v>4685</v>
      </c>
      <c r="M2580" s="30">
        <v>4755</v>
      </c>
      <c r="N2580" s="30">
        <v>4797</v>
      </c>
      <c r="O2580" s="24" t="str">
        <f t="shared" si="81"/>
        <v>Crane County, Texas</v>
      </c>
    </row>
    <row r="2581" spans="1:15" x14ac:dyDescent="0.25">
      <c r="A2581" s="35" t="s">
        <v>3056</v>
      </c>
      <c r="B2581" s="28" t="str">
        <f t="shared" si="80"/>
        <v>Crockett</v>
      </c>
      <c r="C2581" s="30">
        <v>3719</v>
      </c>
      <c r="D2581" s="30">
        <v>3719</v>
      </c>
      <c r="E2581" s="30">
        <v>3701</v>
      </c>
      <c r="F2581" s="30">
        <v>3652</v>
      </c>
      <c r="G2581" s="30">
        <v>3705</v>
      </c>
      <c r="H2581" s="30">
        <v>3763</v>
      </c>
      <c r="I2581" s="30">
        <v>3790</v>
      </c>
      <c r="J2581" s="30">
        <v>3735</v>
      </c>
      <c r="K2581" s="30">
        <v>3642</v>
      </c>
      <c r="L2581" s="30">
        <v>3535</v>
      </c>
      <c r="M2581" s="30">
        <v>3439</v>
      </c>
      <c r="N2581" s="30">
        <v>3464</v>
      </c>
      <c r="O2581" s="24" t="str">
        <f t="shared" si="81"/>
        <v>Crockett County, Texas</v>
      </c>
    </row>
    <row r="2582" spans="1:15" x14ac:dyDescent="0.25">
      <c r="A2582" s="35" t="s">
        <v>3057</v>
      </c>
      <c r="B2582" s="28" t="str">
        <f t="shared" si="80"/>
        <v>Crosby</v>
      </c>
      <c r="C2582" s="30">
        <v>6059</v>
      </c>
      <c r="D2582" s="30">
        <v>6056</v>
      </c>
      <c r="E2582" s="30">
        <v>6026</v>
      </c>
      <c r="F2582" s="30">
        <v>6044</v>
      </c>
      <c r="G2582" s="30">
        <v>6036</v>
      </c>
      <c r="H2582" s="30">
        <v>5924</v>
      </c>
      <c r="I2582" s="30">
        <v>5825</v>
      </c>
      <c r="J2582" s="30">
        <v>5918</v>
      </c>
      <c r="K2582" s="30">
        <v>5911</v>
      </c>
      <c r="L2582" s="30">
        <v>5849</v>
      </c>
      <c r="M2582" s="30">
        <v>5764</v>
      </c>
      <c r="N2582" s="30">
        <v>5737</v>
      </c>
      <c r="O2582" s="24" t="str">
        <f t="shared" si="81"/>
        <v>Crosby County, Texas</v>
      </c>
    </row>
    <row r="2583" spans="1:15" x14ac:dyDescent="0.25">
      <c r="A2583" s="35" t="s">
        <v>3058</v>
      </c>
      <c r="B2583" s="28" t="str">
        <f t="shared" si="80"/>
        <v>Culberson</v>
      </c>
      <c r="C2583" s="30">
        <v>2398</v>
      </c>
      <c r="D2583" s="30">
        <v>2398</v>
      </c>
      <c r="E2583" s="30">
        <v>2403</v>
      </c>
      <c r="F2583" s="30">
        <v>2393</v>
      </c>
      <c r="G2583" s="30">
        <v>2316</v>
      </c>
      <c r="H2583" s="30">
        <v>2306</v>
      </c>
      <c r="I2583" s="30">
        <v>2282</v>
      </c>
      <c r="J2583" s="30">
        <v>2254</v>
      </c>
      <c r="K2583" s="30">
        <v>2220</v>
      </c>
      <c r="L2583" s="30">
        <v>2230</v>
      </c>
      <c r="M2583" s="30">
        <v>2194</v>
      </c>
      <c r="N2583" s="30">
        <v>2171</v>
      </c>
      <c r="O2583" s="24" t="str">
        <f t="shared" si="81"/>
        <v>Culberson County, Texas</v>
      </c>
    </row>
    <row r="2584" spans="1:15" x14ac:dyDescent="0.25">
      <c r="A2584" s="35" t="s">
        <v>3059</v>
      </c>
      <c r="B2584" s="28" t="str">
        <f t="shared" si="80"/>
        <v>Dallam</v>
      </c>
      <c r="C2584" s="30">
        <v>6703</v>
      </c>
      <c r="D2584" s="30">
        <v>6700</v>
      </c>
      <c r="E2584" s="30">
        <v>6747</v>
      </c>
      <c r="F2584" s="30">
        <v>6888</v>
      </c>
      <c r="G2584" s="30">
        <v>7059</v>
      </c>
      <c r="H2584" s="30">
        <v>7110</v>
      </c>
      <c r="I2584" s="30">
        <v>7214</v>
      </c>
      <c r="J2584" s="30">
        <v>7301</v>
      </c>
      <c r="K2584" s="30">
        <v>7357</v>
      </c>
      <c r="L2584" s="30">
        <v>7272</v>
      </c>
      <c r="M2584" s="30">
        <v>7303</v>
      </c>
      <c r="N2584" s="30">
        <v>7287</v>
      </c>
      <c r="O2584" s="24" t="str">
        <f t="shared" si="81"/>
        <v>Dallam County, Texas</v>
      </c>
    </row>
    <row r="2585" spans="1:15" x14ac:dyDescent="0.25">
      <c r="A2585" s="35" t="s">
        <v>3060</v>
      </c>
      <c r="B2585" s="28" t="str">
        <f t="shared" si="80"/>
        <v>Dallas</v>
      </c>
      <c r="C2585" s="30">
        <v>2368139</v>
      </c>
      <c r="D2585" s="30">
        <v>2367430</v>
      </c>
      <c r="E2585" s="30">
        <v>2372993</v>
      </c>
      <c r="F2585" s="30">
        <v>2408697</v>
      </c>
      <c r="G2585" s="30">
        <v>2455930</v>
      </c>
      <c r="H2585" s="30">
        <v>2484486</v>
      </c>
      <c r="I2585" s="30">
        <v>2519410</v>
      </c>
      <c r="J2585" s="30">
        <v>2557830</v>
      </c>
      <c r="K2585" s="30">
        <v>2591488</v>
      </c>
      <c r="L2585" s="30">
        <v>2620154</v>
      </c>
      <c r="M2585" s="30">
        <v>2629350</v>
      </c>
      <c r="N2585" s="30">
        <v>2635516</v>
      </c>
      <c r="O2585" s="24" t="str">
        <f t="shared" si="81"/>
        <v>Dallas County, Texas</v>
      </c>
    </row>
    <row r="2586" spans="1:15" x14ac:dyDescent="0.25">
      <c r="A2586" s="35" t="s">
        <v>3061</v>
      </c>
      <c r="B2586" s="28" t="str">
        <f t="shared" si="80"/>
        <v>Dawson</v>
      </c>
      <c r="C2586" s="30">
        <v>13833</v>
      </c>
      <c r="D2586" s="30">
        <v>13833</v>
      </c>
      <c r="E2586" s="30">
        <v>13826</v>
      </c>
      <c r="F2586" s="30">
        <v>13747</v>
      </c>
      <c r="G2586" s="30">
        <v>13611</v>
      </c>
      <c r="H2586" s="30">
        <v>13219</v>
      </c>
      <c r="I2586" s="30">
        <v>13445</v>
      </c>
      <c r="J2586" s="30">
        <v>12987</v>
      </c>
      <c r="K2586" s="30">
        <v>12999</v>
      </c>
      <c r="L2586" s="30">
        <v>12744</v>
      </c>
      <c r="M2586" s="30">
        <v>12605</v>
      </c>
      <c r="N2586" s="30">
        <v>12728</v>
      </c>
      <c r="O2586" s="24" t="str">
        <f t="shared" si="81"/>
        <v>Dawson County, Texas</v>
      </c>
    </row>
    <row r="2587" spans="1:15" x14ac:dyDescent="0.25">
      <c r="A2587" s="35" t="s">
        <v>3062</v>
      </c>
      <c r="B2587" s="28" t="str">
        <f t="shared" si="80"/>
        <v>Deaf Smith</v>
      </c>
      <c r="C2587" s="30">
        <v>19372</v>
      </c>
      <c r="D2587" s="30">
        <v>19372</v>
      </c>
      <c r="E2587" s="30">
        <v>19467</v>
      </c>
      <c r="F2587" s="30">
        <v>19522</v>
      </c>
      <c r="G2587" s="30">
        <v>19373</v>
      </c>
      <c r="H2587" s="30">
        <v>19180</v>
      </c>
      <c r="I2587" s="30">
        <v>19123</v>
      </c>
      <c r="J2587" s="30">
        <v>18825</v>
      </c>
      <c r="K2587" s="30">
        <v>18846</v>
      </c>
      <c r="L2587" s="30">
        <v>18753</v>
      </c>
      <c r="M2587" s="30">
        <v>18711</v>
      </c>
      <c r="N2587" s="30">
        <v>18546</v>
      </c>
      <c r="O2587" s="24" t="str">
        <f t="shared" si="81"/>
        <v>Deaf Smith County, Texas</v>
      </c>
    </row>
    <row r="2588" spans="1:15" x14ac:dyDescent="0.25">
      <c r="A2588" s="35" t="s">
        <v>3063</v>
      </c>
      <c r="B2588" s="28" t="str">
        <f t="shared" si="80"/>
        <v>Delta</v>
      </c>
      <c r="C2588" s="30">
        <v>5231</v>
      </c>
      <c r="D2588" s="30">
        <v>5232</v>
      </c>
      <c r="E2588" s="30">
        <v>5242</v>
      </c>
      <c r="F2588" s="30">
        <v>5147</v>
      </c>
      <c r="G2588" s="30">
        <v>5242</v>
      </c>
      <c r="H2588" s="30">
        <v>5120</v>
      </c>
      <c r="I2588" s="30">
        <v>5142</v>
      </c>
      <c r="J2588" s="30">
        <v>5159</v>
      </c>
      <c r="K2588" s="30">
        <v>5147</v>
      </c>
      <c r="L2588" s="30">
        <v>5276</v>
      </c>
      <c r="M2588" s="30">
        <v>5332</v>
      </c>
      <c r="N2588" s="30">
        <v>5331</v>
      </c>
      <c r="O2588" s="24" t="str">
        <f t="shared" si="81"/>
        <v>Delta County, Texas</v>
      </c>
    </row>
    <row r="2589" spans="1:15" x14ac:dyDescent="0.25">
      <c r="A2589" s="35" t="s">
        <v>3064</v>
      </c>
      <c r="B2589" s="28" t="str">
        <f t="shared" si="80"/>
        <v>Denton</v>
      </c>
      <c r="C2589" s="30">
        <v>662614</v>
      </c>
      <c r="D2589" s="30">
        <v>662557</v>
      </c>
      <c r="E2589" s="30">
        <v>666760</v>
      </c>
      <c r="F2589" s="30">
        <v>685740</v>
      </c>
      <c r="G2589" s="30">
        <v>707892</v>
      </c>
      <c r="H2589" s="30">
        <v>728624</v>
      </c>
      <c r="I2589" s="30">
        <v>753188</v>
      </c>
      <c r="J2589" s="30">
        <v>779584</v>
      </c>
      <c r="K2589" s="30">
        <v>808212</v>
      </c>
      <c r="L2589" s="30">
        <v>835364</v>
      </c>
      <c r="M2589" s="30">
        <v>858741</v>
      </c>
      <c r="N2589" s="30">
        <v>887207</v>
      </c>
      <c r="O2589" s="24" t="str">
        <f t="shared" si="81"/>
        <v>Denton County, Texas</v>
      </c>
    </row>
    <row r="2590" spans="1:15" x14ac:dyDescent="0.25">
      <c r="A2590" s="35" t="s">
        <v>3065</v>
      </c>
      <c r="B2590" s="28" t="str">
        <f t="shared" si="80"/>
        <v>DeWitt</v>
      </c>
      <c r="C2590" s="30">
        <v>20097</v>
      </c>
      <c r="D2590" s="30">
        <v>20097</v>
      </c>
      <c r="E2590" s="30">
        <v>20054</v>
      </c>
      <c r="F2590" s="30">
        <v>20205</v>
      </c>
      <c r="G2590" s="30">
        <v>20358</v>
      </c>
      <c r="H2590" s="30">
        <v>20377</v>
      </c>
      <c r="I2590" s="30">
        <v>20518</v>
      </c>
      <c r="J2590" s="30">
        <v>20632</v>
      </c>
      <c r="K2590" s="30">
        <v>20623</v>
      </c>
      <c r="L2590" s="30">
        <v>20180</v>
      </c>
      <c r="M2590" s="30">
        <v>20106</v>
      </c>
      <c r="N2590" s="30">
        <v>20160</v>
      </c>
      <c r="O2590" s="24" t="str">
        <f t="shared" si="81"/>
        <v>DeWitt County, Texas</v>
      </c>
    </row>
    <row r="2591" spans="1:15" x14ac:dyDescent="0.25">
      <c r="A2591" s="35" t="s">
        <v>3066</v>
      </c>
      <c r="B2591" s="28" t="str">
        <f t="shared" si="80"/>
        <v>Dickens</v>
      </c>
      <c r="C2591" s="30">
        <v>2444</v>
      </c>
      <c r="D2591" s="30">
        <v>2441</v>
      </c>
      <c r="E2591" s="30">
        <v>2447</v>
      </c>
      <c r="F2591" s="30">
        <v>2401</v>
      </c>
      <c r="G2591" s="30">
        <v>2322</v>
      </c>
      <c r="H2591" s="30">
        <v>2297</v>
      </c>
      <c r="I2591" s="30">
        <v>2215</v>
      </c>
      <c r="J2591" s="30">
        <v>2204</v>
      </c>
      <c r="K2591" s="30">
        <v>2193</v>
      </c>
      <c r="L2591" s="30">
        <v>2190</v>
      </c>
      <c r="M2591" s="30">
        <v>2218</v>
      </c>
      <c r="N2591" s="30">
        <v>2211</v>
      </c>
      <c r="O2591" s="24" t="str">
        <f t="shared" si="81"/>
        <v>Dickens County, Texas</v>
      </c>
    </row>
    <row r="2592" spans="1:15" x14ac:dyDescent="0.25">
      <c r="A2592" s="35" t="s">
        <v>3067</v>
      </c>
      <c r="B2592" s="28" t="str">
        <f t="shared" si="80"/>
        <v>Dimmit</v>
      </c>
      <c r="C2592" s="30">
        <v>9996</v>
      </c>
      <c r="D2592" s="30">
        <v>9996</v>
      </c>
      <c r="E2592" s="30">
        <v>10043</v>
      </c>
      <c r="F2592" s="30">
        <v>10109</v>
      </c>
      <c r="G2592" s="30">
        <v>10471</v>
      </c>
      <c r="H2592" s="30">
        <v>10894</v>
      </c>
      <c r="I2592" s="30">
        <v>10987</v>
      </c>
      <c r="J2592" s="30">
        <v>10910</v>
      </c>
      <c r="K2592" s="30">
        <v>10679</v>
      </c>
      <c r="L2592" s="30">
        <v>10282</v>
      </c>
      <c r="M2592" s="30">
        <v>10195</v>
      </c>
      <c r="N2592" s="30">
        <v>10124</v>
      </c>
      <c r="O2592" s="24" t="str">
        <f t="shared" si="81"/>
        <v>Dimmit County, Texas</v>
      </c>
    </row>
    <row r="2593" spans="1:15" x14ac:dyDescent="0.25">
      <c r="A2593" s="35" t="s">
        <v>3068</v>
      </c>
      <c r="B2593" s="28" t="str">
        <f t="shared" si="80"/>
        <v>Donley</v>
      </c>
      <c r="C2593" s="30">
        <v>3677</v>
      </c>
      <c r="D2593" s="30">
        <v>3726</v>
      </c>
      <c r="E2593" s="30">
        <v>3734</v>
      </c>
      <c r="F2593" s="30">
        <v>3686</v>
      </c>
      <c r="G2593" s="30">
        <v>3645</v>
      </c>
      <c r="H2593" s="30">
        <v>3561</v>
      </c>
      <c r="I2593" s="30">
        <v>3483</v>
      </c>
      <c r="J2593" s="30">
        <v>3391</v>
      </c>
      <c r="K2593" s="30">
        <v>3387</v>
      </c>
      <c r="L2593" s="30">
        <v>3340</v>
      </c>
      <c r="M2593" s="30">
        <v>3315</v>
      </c>
      <c r="N2593" s="30">
        <v>3278</v>
      </c>
      <c r="O2593" s="24" t="str">
        <f t="shared" si="81"/>
        <v>Donley County, Texas</v>
      </c>
    </row>
    <row r="2594" spans="1:15" x14ac:dyDescent="0.25">
      <c r="A2594" s="35" t="s">
        <v>3069</v>
      </c>
      <c r="B2594" s="28" t="str">
        <f t="shared" si="80"/>
        <v>Duval</v>
      </c>
      <c r="C2594" s="30">
        <v>11782</v>
      </c>
      <c r="D2594" s="30">
        <v>11777</v>
      </c>
      <c r="E2594" s="30">
        <v>11724</v>
      </c>
      <c r="F2594" s="30">
        <v>11796</v>
      </c>
      <c r="G2594" s="30">
        <v>11582</v>
      </c>
      <c r="H2594" s="30">
        <v>11581</v>
      </c>
      <c r="I2594" s="30">
        <v>11509</v>
      </c>
      <c r="J2594" s="30">
        <v>11336</v>
      </c>
      <c r="K2594" s="30">
        <v>11431</v>
      </c>
      <c r="L2594" s="30">
        <v>11270</v>
      </c>
      <c r="M2594" s="30">
        <v>11147</v>
      </c>
      <c r="N2594" s="30">
        <v>11157</v>
      </c>
      <c r="O2594" s="24" t="str">
        <f t="shared" si="81"/>
        <v>Duval County, Texas</v>
      </c>
    </row>
    <row r="2595" spans="1:15" x14ac:dyDescent="0.25">
      <c r="A2595" s="35" t="s">
        <v>3070</v>
      </c>
      <c r="B2595" s="28" t="str">
        <f t="shared" si="80"/>
        <v>Eastland</v>
      </c>
      <c r="C2595" s="30">
        <v>18583</v>
      </c>
      <c r="D2595" s="30">
        <v>18582</v>
      </c>
      <c r="E2595" s="30">
        <v>18594</v>
      </c>
      <c r="F2595" s="30">
        <v>18582</v>
      </c>
      <c r="G2595" s="30">
        <v>18459</v>
      </c>
      <c r="H2595" s="30">
        <v>18279</v>
      </c>
      <c r="I2595" s="30">
        <v>18257</v>
      </c>
      <c r="J2595" s="30">
        <v>18152</v>
      </c>
      <c r="K2595" s="30">
        <v>18240</v>
      </c>
      <c r="L2595" s="30">
        <v>18294</v>
      </c>
      <c r="M2595" s="30">
        <v>18319</v>
      </c>
      <c r="N2595" s="30">
        <v>18360</v>
      </c>
      <c r="O2595" s="24" t="str">
        <f t="shared" si="81"/>
        <v>Eastland County, Texas</v>
      </c>
    </row>
    <row r="2596" spans="1:15" x14ac:dyDescent="0.25">
      <c r="A2596" s="35" t="s">
        <v>3071</v>
      </c>
      <c r="B2596" s="28" t="str">
        <f t="shared" si="80"/>
        <v>Ector</v>
      </c>
      <c r="C2596" s="30">
        <v>137130</v>
      </c>
      <c r="D2596" s="30">
        <v>137136</v>
      </c>
      <c r="E2596" s="30">
        <v>137075</v>
      </c>
      <c r="F2596" s="30">
        <v>139642</v>
      </c>
      <c r="G2596" s="30">
        <v>144495</v>
      </c>
      <c r="H2596" s="30">
        <v>149656</v>
      </c>
      <c r="I2596" s="30">
        <v>154588</v>
      </c>
      <c r="J2596" s="30">
        <v>159903</v>
      </c>
      <c r="K2596" s="30">
        <v>157858</v>
      </c>
      <c r="L2596" s="30">
        <v>156951</v>
      </c>
      <c r="M2596" s="30">
        <v>161960</v>
      </c>
      <c r="N2596" s="30">
        <v>166223</v>
      </c>
      <c r="O2596" s="24" t="str">
        <f t="shared" si="81"/>
        <v>Ector County, Texas</v>
      </c>
    </row>
    <row r="2597" spans="1:15" x14ac:dyDescent="0.25">
      <c r="A2597" s="35" t="s">
        <v>3072</v>
      </c>
      <c r="B2597" s="28" t="str">
        <f t="shared" si="80"/>
        <v>Edwards</v>
      </c>
      <c r="C2597" s="30">
        <v>2002</v>
      </c>
      <c r="D2597" s="30">
        <v>2002</v>
      </c>
      <c r="E2597" s="30">
        <v>1999</v>
      </c>
      <c r="F2597" s="30">
        <v>1979</v>
      </c>
      <c r="G2597" s="30">
        <v>1990</v>
      </c>
      <c r="H2597" s="30">
        <v>1899</v>
      </c>
      <c r="I2597" s="30">
        <v>1904</v>
      </c>
      <c r="J2597" s="30">
        <v>1910</v>
      </c>
      <c r="K2597" s="30">
        <v>1908</v>
      </c>
      <c r="L2597" s="30">
        <v>1929</v>
      </c>
      <c r="M2597" s="30">
        <v>1908</v>
      </c>
      <c r="N2597" s="30">
        <v>1932</v>
      </c>
      <c r="O2597" s="24" t="str">
        <f t="shared" si="81"/>
        <v>Edwards County, Texas</v>
      </c>
    </row>
    <row r="2598" spans="1:15" x14ac:dyDescent="0.25">
      <c r="A2598" s="35" t="s">
        <v>3073</v>
      </c>
      <c r="B2598" s="28" t="str">
        <f t="shared" si="80"/>
        <v>Ellis</v>
      </c>
      <c r="C2598" s="30">
        <v>149610</v>
      </c>
      <c r="D2598" s="30">
        <v>149610</v>
      </c>
      <c r="E2598" s="30">
        <v>150367</v>
      </c>
      <c r="F2598" s="30">
        <v>152373</v>
      </c>
      <c r="G2598" s="30">
        <v>153739</v>
      </c>
      <c r="H2598" s="30">
        <v>155928</v>
      </c>
      <c r="I2598" s="30">
        <v>159204</v>
      </c>
      <c r="J2598" s="30">
        <v>163292</v>
      </c>
      <c r="K2598" s="30">
        <v>168332</v>
      </c>
      <c r="L2598" s="30">
        <v>173405</v>
      </c>
      <c r="M2598" s="30">
        <v>179006</v>
      </c>
      <c r="N2598" s="30">
        <v>184826</v>
      </c>
      <c r="O2598" s="24" t="str">
        <f t="shared" si="81"/>
        <v>Ellis County, Texas</v>
      </c>
    </row>
    <row r="2599" spans="1:15" x14ac:dyDescent="0.25">
      <c r="A2599" s="35" t="s">
        <v>3074</v>
      </c>
      <c r="B2599" s="28" t="str">
        <f t="shared" si="80"/>
        <v>El Paso</v>
      </c>
      <c r="C2599" s="30">
        <v>800647</v>
      </c>
      <c r="D2599" s="30">
        <v>800633</v>
      </c>
      <c r="E2599" s="30">
        <v>803576</v>
      </c>
      <c r="F2599" s="30">
        <v>819896</v>
      </c>
      <c r="G2599" s="30">
        <v>832310</v>
      </c>
      <c r="H2599" s="30">
        <v>830864</v>
      </c>
      <c r="I2599" s="30">
        <v>833783</v>
      </c>
      <c r="J2599" s="30">
        <v>831898</v>
      </c>
      <c r="K2599" s="30">
        <v>834949</v>
      </c>
      <c r="L2599" s="30">
        <v>837401</v>
      </c>
      <c r="M2599" s="30">
        <v>836825</v>
      </c>
      <c r="N2599" s="30">
        <v>839238</v>
      </c>
      <c r="O2599" s="24" t="str">
        <f t="shared" si="81"/>
        <v>El Paso County, Texas</v>
      </c>
    </row>
    <row r="2600" spans="1:15" x14ac:dyDescent="0.25">
      <c r="A2600" s="35" t="s">
        <v>3075</v>
      </c>
      <c r="B2600" s="28" t="str">
        <f t="shared" si="80"/>
        <v>Erath</v>
      </c>
      <c r="C2600" s="30">
        <v>37890</v>
      </c>
      <c r="D2600" s="30">
        <v>37895</v>
      </c>
      <c r="E2600" s="30">
        <v>37912</v>
      </c>
      <c r="F2600" s="30">
        <v>38922</v>
      </c>
      <c r="G2600" s="30">
        <v>39405</v>
      </c>
      <c r="H2600" s="30">
        <v>39886</v>
      </c>
      <c r="I2600" s="30">
        <v>40514</v>
      </c>
      <c r="J2600" s="30">
        <v>41191</v>
      </c>
      <c r="K2600" s="30">
        <v>41372</v>
      </c>
      <c r="L2600" s="30">
        <v>41723</v>
      </c>
      <c r="M2600" s="30">
        <v>42223</v>
      </c>
      <c r="N2600" s="30">
        <v>42698</v>
      </c>
      <c r="O2600" s="24" t="str">
        <f t="shared" si="81"/>
        <v>Erath County, Texas</v>
      </c>
    </row>
    <row r="2601" spans="1:15" x14ac:dyDescent="0.25">
      <c r="A2601" s="35" t="s">
        <v>3076</v>
      </c>
      <c r="B2601" s="28" t="str">
        <f t="shared" si="80"/>
        <v>Falls</v>
      </c>
      <c r="C2601" s="30">
        <v>17866</v>
      </c>
      <c r="D2601" s="30">
        <v>17863</v>
      </c>
      <c r="E2601" s="30">
        <v>17891</v>
      </c>
      <c r="F2601" s="30">
        <v>17848</v>
      </c>
      <c r="G2601" s="30">
        <v>17570</v>
      </c>
      <c r="H2601" s="30">
        <v>17242</v>
      </c>
      <c r="I2601" s="30">
        <v>17210</v>
      </c>
      <c r="J2601" s="30">
        <v>17216</v>
      </c>
      <c r="K2601" s="30">
        <v>17276</v>
      </c>
      <c r="L2601" s="30">
        <v>17340</v>
      </c>
      <c r="M2601" s="30">
        <v>17231</v>
      </c>
      <c r="N2601" s="30">
        <v>17297</v>
      </c>
      <c r="O2601" s="24" t="str">
        <f t="shared" si="81"/>
        <v>Falls County, Texas</v>
      </c>
    </row>
    <row r="2602" spans="1:15" x14ac:dyDescent="0.25">
      <c r="A2602" s="35" t="s">
        <v>3077</v>
      </c>
      <c r="B2602" s="28" t="str">
        <f t="shared" si="80"/>
        <v>Fannin</v>
      </c>
      <c r="C2602" s="30">
        <v>33915</v>
      </c>
      <c r="D2602" s="30">
        <v>33910</v>
      </c>
      <c r="E2602" s="30">
        <v>33920</v>
      </c>
      <c r="F2602" s="30">
        <v>33878</v>
      </c>
      <c r="G2602" s="30">
        <v>33601</v>
      </c>
      <c r="H2602" s="30">
        <v>33510</v>
      </c>
      <c r="I2602" s="30">
        <v>33593</v>
      </c>
      <c r="J2602" s="30">
        <v>33502</v>
      </c>
      <c r="K2602" s="30">
        <v>33933</v>
      </c>
      <c r="L2602" s="30">
        <v>34550</v>
      </c>
      <c r="M2602" s="30">
        <v>35185</v>
      </c>
      <c r="N2602" s="30">
        <v>35514</v>
      </c>
      <c r="O2602" s="24" t="str">
        <f t="shared" si="81"/>
        <v>Fannin County, Texas</v>
      </c>
    </row>
    <row r="2603" spans="1:15" x14ac:dyDescent="0.25">
      <c r="A2603" s="35" t="s">
        <v>3078</v>
      </c>
      <c r="B2603" s="28" t="str">
        <f t="shared" si="80"/>
        <v>Fayette</v>
      </c>
      <c r="C2603" s="30">
        <v>24554</v>
      </c>
      <c r="D2603" s="30">
        <v>24552</v>
      </c>
      <c r="E2603" s="30">
        <v>24556</v>
      </c>
      <c r="F2603" s="30">
        <v>24749</v>
      </c>
      <c r="G2603" s="30">
        <v>24661</v>
      </c>
      <c r="H2603" s="30">
        <v>24721</v>
      </c>
      <c r="I2603" s="30">
        <v>24782</v>
      </c>
      <c r="J2603" s="30">
        <v>24945</v>
      </c>
      <c r="K2603" s="30">
        <v>25018</v>
      </c>
      <c r="L2603" s="30">
        <v>25119</v>
      </c>
      <c r="M2603" s="30">
        <v>25278</v>
      </c>
      <c r="N2603" s="30">
        <v>25346</v>
      </c>
      <c r="O2603" s="24" t="str">
        <f t="shared" si="81"/>
        <v>Fayette County, Texas</v>
      </c>
    </row>
    <row r="2604" spans="1:15" x14ac:dyDescent="0.25">
      <c r="A2604" s="35" t="s">
        <v>3079</v>
      </c>
      <c r="B2604" s="28" t="str">
        <f t="shared" si="80"/>
        <v>Fisher</v>
      </c>
      <c r="C2604" s="30">
        <v>3974</v>
      </c>
      <c r="D2604" s="30">
        <v>3978</v>
      </c>
      <c r="E2604" s="30">
        <v>3959</v>
      </c>
      <c r="F2604" s="30">
        <v>3947</v>
      </c>
      <c r="G2604" s="30">
        <v>3838</v>
      </c>
      <c r="H2604" s="30">
        <v>3859</v>
      </c>
      <c r="I2604" s="30">
        <v>3874</v>
      </c>
      <c r="J2604" s="30">
        <v>3877</v>
      </c>
      <c r="K2604" s="30">
        <v>3877</v>
      </c>
      <c r="L2604" s="30">
        <v>3874</v>
      </c>
      <c r="M2604" s="30">
        <v>3821</v>
      </c>
      <c r="N2604" s="30">
        <v>3830</v>
      </c>
      <c r="O2604" s="24" t="str">
        <f t="shared" si="81"/>
        <v>Fisher County, Texas</v>
      </c>
    </row>
    <row r="2605" spans="1:15" x14ac:dyDescent="0.25">
      <c r="A2605" s="35" t="s">
        <v>3080</v>
      </c>
      <c r="B2605" s="28" t="str">
        <f t="shared" si="80"/>
        <v>Floyd</v>
      </c>
      <c r="C2605" s="30">
        <v>6446</v>
      </c>
      <c r="D2605" s="30">
        <v>6446</v>
      </c>
      <c r="E2605" s="30">
        <v>6403</v>
      </c>
      <c r="F2605" s="30">
        <v>6368</v>
      </c>
      <c r="G2605" s="30">
        <v>6348</v>
      </c>
      <c r="H2605" s="30">
        <v>6245</v>
      </c>
      <c r="I2605" s="30">
        <v>5947</v>
      </c>
      <c r="J2605" s="30">
        <v>5843</v>
      </c>
      <c r="K2605" s="30">
        <v>5847</v>
      </c>
      <c r="L2605" s="30">
        <v>5830</v>
      </c>
      <c r="M2605" s="30">
        <v>5783</v>
      </c>
      <c r="N2605" s="30">
        <v>5712</v>
      </c>
      <c r="O2605" s="24" t="str">
        <f t="shared" si="81"/>
        <v>Floyd County, Texas</v>
      </c>
    </row>
    <row r="2606" spans="1:15" x14ac:dyDescent="0.25">
      <c r="A2606" s="35" t="s">
        <v>3081</v>
      </c>
      <c r="B2606" s="28" t="str">
        <f t="shared" si="80"/>
        <v>Foard</v>
      </c>
      <c r="C2606" s="30">
        <v>1336</v>
      </c>
      <c r="D2606" s="30">
        <v>1336</v>
      </c>
      <c r="E2606" s="30">
        <v>1344</v>
      </c>
      <c r="F2606" s="30">
        <v>1361</v>
      </c>
      <c r="G2606" s="30">
        <v>1310</v>
      </c>
      <c r="H2606" s="30">
        <v>1286</v>
      </c>
      <c r="I2606" s="30">
        <v>1275</v>
      </c>
      <c r="J2606" s="30">
        <v>1225</v>
      </c>
      <c r="K2606" s="30">
        <v>1200</v>
      </c>
      <c r="L2606" s="30">
        <v>1202</v>
      </c>
      <c r="M2606" s="30">
        <v>1191</v>
      </c>
      <c r="N2606" s="30">
        <v>1155</v>
      </c>
      <c r="O2606" s="24" t="str">
        <f t="shared" si="81"/>
        <v>Foard County, Texas</v>
      </c>
    </row>
    <row r="2607" spans="1:15" x14ac:dyDescent="0.25">
      <c r="A2607" s="35" t="s">
        <v>3082</v>
      </c>
      <c r="B2607" s="28" t="str">
        <f t="shared" si="80"/>
        <v>Fort Bend</v>
      </c>
      <c r="C2607" s="30">
        <v>585375</v>
      </c>
      <c r="D2607" s="30">
        <v>584699</v>
      </c>
      <c r="E2607" s="30">
        <v>590253</v>
      </c>
      <c r="F2607" s="30">
        <v>606064</v>
      </c>
      <c r="G2607" s="30">
        <v>624824</v>
      </c>
      <c r="H2607" s="30">
        <v>651847</v>
      </c>
      <c r="I2607" s="30">
        <v>684048</v>
      </c>
      <c r="J2607" s="30">
        <v>715331</v>
      </c>
      <c r="K2607" s="30">
        <v>744160</v>
      </c>
      <c r="L2607" s="30">
        <v>767712</v>
      </c>
      <c r="M2607" s="30">
        <v>788081</v>
      </c>
      <c r="N2607" s="30">
        <v>811688</v>
      </c>
      <c r="O2607" s="24" t="str">
        <f t="shared" si="81"/>
        <v>Fort Bend County, Texas</v>
      </c>
    </row>
    <row r="2608" spans="1:15" x14ac:dyDescent="0.25">
      <c r="A2608" s="35" t="s">
        <v>3083</v>
      </c>
      <c r="B2608" s="28" t="str">
        <f t="shared" si="80"/>
        <v>Franklin</v>
      </c>
      <c r="C2608" s="30">
        <v>10605</v>
      </c>
      <c r="D2608" s="30">
        <v>10601</v>
      </c>
      <c r="E2608" s="30">
        <v>10607</v>
      </c>
      <c r="F2608" s="30">
        <v>10562</v>
      </c>
      <c r="G2608" s="30">
        <v>10637</v>
      </c>
      <c r="H2608" s="30">
        <v>10615</v>
      </c>
      <c r="I2608" s="30">
        <v>10563</v>
      </c>
      <c r="J2608" s="30">
        <v>10603</v>
      </c>
      <c r="K2608" s="30">
        <v>10677</v>
      </c>
      <c r="L2608" s="30">
        <v>10798</v>
      </c>
      <c r="M2608" s="30">
        <v>10778</v>
      </c>
      <c r="N2608" s="30">
        <v>10725</v>
      </c>
      <c r="O2608" s="24" t="str">
        <f t="shared" si="81"/>
        <v>Franklin County, Texas</v>
      </c>
    </row>
    <row r="2609" spans="1:15" x14ac:dyDescent="0.25">
      <c r="A2609" s="35" t="s">
        <v>3084</v>
      </c>
      <c r="B2609" s="28" t="str">
        <f t="shared" si="80"/>
        <v>Freestone</v>
      </c>
      <c r="C2609" s="30">
        <v>19816</v>
      </c>
      <c r="D2609" s="30">
        <v>19817</v>
      </c>
      <c r="E2609" s="30">
        <v>19803</v>
      </c>
      <c r="F2609" s="30">
        <v>19602</v>
      </c>
      <c r="G2609" s="30">
        <v>19484</v>
      </c>
      <c r="H2609" s="30">
        <v>19597</v>
      </c>
      <c r="I2609" s="30">
        <v>19677</v>
      </c>
      <c r="J2609" s="30">
        <v>19746</v>
      </c>
      <c r="K2609" s="30">
        <v>19669</v>
      </c>
      <c r="L2609" s="30">
        <v>19649</v>
      </c>
      <c r="M2609" s="30">
        <v>19789</v>
      </c>
      <c r="N2609" s="30">
        <v>19717</v>
      </c>
      <c r="O2609" s="24" t="str">
        <f t="shared" si="81"/>
        <v>Freestone County, Texas</v>
      </c>
    </row>
    <row r="2610" spans="1:15" x14ac:dyDescent="0.25">
      <c r="A2610" s="35" t="s">
        <v>3085</v>
      </c>
      <c r="B2610" s="28" t="str">
        <f t="shared" si="80"/>
        <v>Frio</v>
      </c>
      <c r="C2610" s="30">
        <v>17217</v>
      </c>
      <c r="D2610" s="30">
        <v>17217</v>
      </c>
      <c r="E2610" s="30">
        <v>17256</v>
      </c>
      <c r="F2610" s="30">
        <v>17492</v>
      </c>
      <c r="G2610" s="30">
        <v>17931</v>
      </c>
      <c r="H2610" s="30">
        <v>18400</v>
      </c>
      <c r="I2610" s="30">
        <v>18938</v>
      </c>
      <c r="J2610" s="30">
        <v>19361</v>
      </c>
      <c r="K2610" s="30">
        <v>19584</v>
      </c>
      <c r="L2610" s="30">
        <v>19895</v>
      </c>
      <c r="M2610" s="30">
        <v>20211</v>
      </c>
      <c r="N2610" s="30">
        <v>20306</v>
      </c>
      <c r="O2610" s="24" t="str">
        <f t="shared" si="81"/>
        <v>Frio County, Texas</v>
      </c>
    </row>
    <row r="2611" spans="1:15" x14ac:dyDescent="0.25">
      <c r="A2611" s="35" t="s">
        <v>3086</v>
      </c>
      <c r="B2611" s="28" t="str">
        <f t="shared" si="80"/>
        <v>Gaines</v>
      </c>
      <c r="C2611" s="30">
        <v>17526</v>
      </c>
      <c r="D2611" s="30">
        <v>17526</v>
      </c>
      <c r="E2611" s="30">
        <v>17588</v>
      </c>
      <c r="F2611" s="30">
        <v>17908</v>
      </c>
      <c r="G2611" s="30">
        <v>18307</v>
      </c>
      <c r="H2611" s="30">
        <v>18807</v>
      </c>
      <c r="I2611" s="30">
        <v>19335</v>
      </c>
      <c r="J2611" s="30">
        <v>20217</v>
      </c>
      <c r="K2611" s="30">
        <v>20446</v>
      </c>
      <c r="L2611" s="30">
        <v>20553</v>
      </c>
      <c r="M2611" s="30">
        <v>20820</v>
      </c>
      <c r="N2611" s="30">
        <v>21492</v>
      </c>
      <c r="O2611" s="24" t="str">
        <f t="shared" si="81"/>
        <v>Gaines County, Texas</v>
      </c>
    </row>
    <row r="2612" spans="1:15" x14ac:dyDescent="0.25">
      <c r="A2612" s="35" t="s">
        <v>3087</v>
      </c>
      <c r="B2612" s="28" t="str">
        <f t="shared" si="80"/>
        <v>Galveston</v>
      </c>
      <c r="C2612" s="30">
        <v>291309</v>
      </c>
      <c r="D2612" s="30">
        <v>291312</v>
      </c>
      <c r="E2612" s="30">
        <v>292484</v>
      </c>
      <c r="F2612" s="30">
        <v>295605</v>
      </c>
      <c r="G2612" s="30">
        <v>301049</v>
      </c>
      <c r="H2612" s="30">
        <v>306589</v>
      </c>
      <c r="I2612" s="30">
        <v>313367</v>
      </c>
      <c r="J2612" s="30">
        <v>320974</v>
      </c>
      <c r="K2612" s="30">
        <v>328820</v>
      </c>
      <c r="L2612" s="30">
        <v>334633</v>
      </c>
      <c r="M2612" s="30">
        <v>337858</v>
      </c>
      <c r="N2612" s="30">
        <v>342139</v>
      </c>
      <c r="O2612" s="24" t="str">
        <f t="shared" si="81"/>
        <v>Galveston County, Texas</v>
      </c>
    </row>
    <row r="2613" spans="1:15" x14ac:dyDescent="0.25">
      <c r="A2613" s="35" t="s">
        <v>3088</v>
      </c>
      <c r="B2613" s="28" t="str">
        <f t="shared" si="80"/>
        <v>Garza</v>
      </c>
      <c r="C2613" s="30">
        <v>6461</v>
      </c>
      <c r="D2613" s="30">
        <v>6461</v>
      </c>
      <c r="E2613" s="30">
        <v>6467</v>
      </c>
      <c r="F2613" s="30">
        <v>6560</v>
      </c>
      <c r="G2613" s="30">
        <v>6418</v>
      </c>
      <c r="H2613" s="30">
        <v>6371</v>
      </c>
      <c r="I2613" s="30">
        <v>6417</v>
      </c>
      <c r="J2613" s="30">
        <v>6391</v>
      </c>
      <c r="K2613" s="30">
        <v>6212</v>
      </c>
      <c r="L2613" s="30">
        <v>6490</v>
      </c>
      <c r="M2613" s="30">
        <v>6243</v>
      </c>
      <c r="N2613" s="30">
        <v>6229</v>
      </c>
      <c r="O2613" s="24" t="str">
        <f t="shared" si="81"/>
        <v>Garza County, Texas</v>
      </c>
    </row>
    <row r="2614" spans="1:15" x14ac:dyDescent="0.25">
      <c r="A2614" s="35" t="s">
        <v>3089</v>
      </c>
      <c r="B2614" s="28" t="str">
        <f t="shared" si="80"/>
        <v>Gillespie</v>
      </c>
      <c r="C2614" s="30">
        <v>24837</v>
      </c>
      <c r="D2614" s="30">
        <v>24828</v>
      </c>
      <c r="E2614" s="30">
        <v>24874</v>
      </c>
      <c r="F2614" s="30">
        <v>25039</v>
      </c>
      <c r="G2614" s="30">
        <v>25175</v>
      </c>
      <c r="H2614" s="30">
        <v>25363</v>
      </c>
      <c r="I2614" s="30">
        <v>25473</v>
      </c>
      <c r="J2614" s="30">
        <v>25916</v>
      </c>
      <c r="K2614" s="30">
        <v>26206</v>
      </c>
      <c r="L2614" s="30">
        <v>26483</v>
      </c>
      <c r="M2614" s="30">
        <v>26702</v>
      </c>
      <c r="N2614" s="30">
        <v>26988</v>
      </c>
      <c r="O2614" s="24" t="str">
        <f t="shared" si="81"/>
        <v>Gillespie County, Texas</v>
      </c>
    </row>
    <row r="2615" spans="1:15" x14ac:dyDescent="0.25">
      <c r="A2615" s="35" t="s">
        <v>3090</v>
      </c>
      <c r="B2615" s="28" t="str">
        <f t="shared" si="80"/>
        <v>Glasscock</v>
      </c>
      <c r="C2615" s="30">
        <v>1226</v>
      </c>
      <c r="D2615" s="30">
        <v>1226</v>
      </c>
      <c r="E2615" s="30">
        <v>1232</v>
      </c>
      <c r="F2615" s="30">
        <v>1238</v>
      </c>
      <c r="G2615" s="30">
        <v>1280</v>
      </c>
      <c r="H2615" s="30">
        <v>1271</v>
      </c>
      <c r="I2615" s="30">
        <v>1328</v>
      </c>
      <c r="J2615" s="30">
        <v>1380</v>
      </c>
      <c r="K2615" s="30">
        <v>1365</v>
      </c>
      <c r="L2615" s="30">
        <v>1363</v>
      </c>
      <c r="M2615" s="30">
        <v>1391</v>
      </c>
      <c r="N2615" s="30">
        <v>1409</v>
      </c>
      <c r="O2615" s="24" t="str">
        <f t="shared" si="81"/>
        <v>Glasscock County, Texas</v>
      </c>
    </row>
    <row r="2616" spans="1:15" x14ac:dyDescent="0.25">
      <c r="A2616" s="35" t="s">
        <v>3091</v>
      </c>
      <c r="B2616" s="28" t="str">
        <f t="shared" si="80"/>
        <v>Goliad</v>
      </c>
      <c r="C2616" s="30">
        <v>7210</v>
      </c>
      <c r="D2616" s="30">
        <v>7210</v>
      </c>
      <c r="E2616" s="30">
        <v>7219</v>
      </c>
      <c r="F2616" s="30">
        <v>7208</v>
      </c>
      <c r="G2616" s="30">
        <v>7331</v>
      </c>
      <c r="H2616" s="30">
        <v>7452</v>
      </c>
      <c r="I2616" s="30">
        <v>7506</v>
      </c>
      <c r="J2616" s="30">
        <v>7513</v>
      </c>
      <c r="K2616" s="30">
        <v>7512</v>
      </c>
      <c r="L2616" s="30">
        <v>7552</v>
      </c>
      <c r="M2616" s="30">
        <v>7588</v>
      </c>
      <c r="N2616" s="30">
        <v>7658</v>
      </c>
      <c r="O2616" s="24" t="str">
        <f t="shared" si="81"/>
        <v>Goliad County, Texas</v>
      </c>
    </row>
    <row r="2617" spans="1:15" x14ac:dyDescent="0.25">
      <c r="A2617" s="35" t="s">
        <v>3092</v>
      </c>
      <c r="B2617" s="28" t="str">
        <f t="shared" si="80"/>
        <v>Gonzales</v>
      </c>
      <c r="C2617" s="30">
        <v>19807</v>
      </c>
      <c r="D2617" s="30">
        <v>19811</v>
      </c>
      <c r="E2617" s="30">
        <v>19797</v>
      </c>
      <c r="F2617" s="30">
        <v>19755</v>
      </c>
      <c r="G2617" s="30">
        <v>19930</v>
      </c>
      <c r="H2617" s="30">
        <v>20143</v>
      </c>
      <c r="I2617" s="30">
        <v>20347</v>
      </c>
      <c r="J2617" s="30">
        <v>20510</v>
      </c>
      <c r="K2617" s="30">
        <v>20787</v>
      </c>
      <c r="L2617" s="30">
        <v>20742</v>
      </c>
      <c r="M2617" s="30">
        <v>20781</v>
      </c>
      <c r="N2617" s="30">
        <v>20837</v>
      </c>
      <c r="O2617" s="24" t="str">
        <f t="shared" si="81"/>
        <v>Gonzales County, Texas</v>
      </c>
    </row>
    <row r="2618" spans="1:15" x14ac:dyDescent="0.25">
      <c r="A2618" s="35" t="s">
        <v>3093</v>
      </c>
      <c r="B2618" s="28" t="str">
        <f t="shared" si="80"/>
        <v>Gray</v>
      </c>
      <c r="C2618" s="30">
        <v>22535</v>
      </c>
      <c r="D2618" s="30">
        <v>22537</v>
      </c>
      <c r="E2618" s="30">
        <v>22470</v>
      </c>
      <c r="F2618" s="30">
        <v>22661</v>
      </c>
      <c r="G2618" s="30">
        <v>22920</v>
      </c>
      <c r="H2618" s="30">
        <v>22996</v>
      </c>
      <c r="I2618" s="30">
        <v>23432</v>
      </c>
      <c r="J2618" s="30">
        <v>23265</v>
      </c>
      <c r="K2618" s="30">
        <v>22741</v>
      </c>
      <c r="L2618" s="30">
        <v>22106</v>
      </c>
      <c r="M2618" s="30">
        <v>22051</v>
      </c>
      <c r="N2618" s="30">
        <v>21886</v>
      </c>
      <c r="O2618" s="24" t="str">
        <f t="shared" si="81"/>
        <v>Gray County, Texas</v>
      </c>
    </row>
    <row r="2619" spans="1:15" x14ac:dyDescent="0.25">
      <c r="A2619" s="35" t="s">
        <v>3094</v>
      </c>
      <c r="B2619" s="28" t="str">
        <f t="shared" si="80"/>
        <v>Grayson</v>
      </c>
      <c r="C2619" s="30">
        <v>120877</v>
      </c>
      <c r="D2619" s="30">
        <v>120877</v>
      </c>
      <c r="E2619" s="30">
        <v>121034</v>
      </c>
      <c r="F2619" s="30">
        <v>121430</v>
      </c>
      <c r="G2619" s="30">
        <v>121854</v>
      </c>
      <c r="H2619" s="30">
        <v>122362</v>
      </c>
      <c r="I2619" s="30">
        <v>123599</v>
      </c>
      <c r="J2619" s="30">
        <v>125628</v>
      </c>
      <c r="K2619" s="30">
        <v>128291</v>
      </c>
      <c r="L2619" s="30">
        <v>131152</v>
      </c>
      <c r="M2619" s="30">
        <v>133787</v>
      </c>
      <c r="N2619" s="30">
        <v>136212</v>
      </c>
      <c r="O2619" s="24" t="str">
        <f t="shared" si="81"/>
        <v>Grayson County, Texas</v>
      </c>
    </row>
    <row r="2620" spans="1:15" x14ac:dyDescent="0.25">
      <c r="A2620" s="35" t="s">
        <v>3095</v>
      </c>
      <c r="B2620" s="28" t="str">
        <f t="shared" si="80"/>
        <v>Gregg</v>
      </c>
      <c r="C2620" s="30">
        <v>121730</v>
      </c>
      <c r="D2620" s="30">
        <v>121747</v>
      </c>
      <c r="E2620" s="30">
        <v>121984</v>
      </c>
      <c r="F2620" s="30">
        <v>122656</v>
      </c>
      <c r="G2620" s="30">
        <v>123089</v>
      </c>
      <c r="H2620" s="30">
        <v>123233</v>
      </c>
      <c r="I2620" s="30">
        <v>123146</v>
      </c>
      <c r="J2620" s="30">
        <v>123800</v>
      </c>
      <c r="K2620" s="30">
        <v>123367</v>
      </c>
      <c r="L2620" s="30">
        <v>122852</v>
      </c>
      <c r="M2620" s="30">
        <v>123251</v>
      </c>
      <c r="N2620" s="30">
        <v>123945</v>
      </c>
      <c r="O2620" s="24" t="str">
        <f t="shared" si="81"/>
        <v>Gregg County, Texas</v>
      </c>
    </row>
    <row r="2621" spans="1:15" x14ac:dyDescent="0.25">
      <c r="A2621" s="35" t="s">
        <v>3096</v>
      </c>
      <c r="B2621" s="28" t="str">
        <f t="shared" si="80"/>
        <v>Grimes</v>
      </c>
      <c r="C2621" s="30">
        <v>26604</v>
      </c>
      <c r="D2621" s="30">
        <v>26581</v>
      </c>
      <c r="E2621" s="30">
        <v>26616</v>
      </c>
      <c r="F2621" s="30">
        <v>26655</v>
      </c>
      <c r="G2621" s="30">
        <v>26679</v>
      </c>
      <c r="H2621" s="30">
        <v>26792</v>
      </c>
      <c r="I2621" s="30">
        <v>26997</v>
      </c>
      <c r="J2621" s="30">
        <v>27299</v>
      </c>
      <c r="K2621" s="30">
        <v>27494</v>
      </c>
      <c r="L2621" s="30">
        <v>27955</v>
      </c>
      <c r="M2621" s="30">
        <v>28291</v>
      </c>
      <c r="N2621" s="30">
        <v>28880</v>
      </c>
      <c r="O2621" s="24" t="str">
        <f t="shared" si="81"/>
        <v>Grimes County, Texas</v>
      </c>
    </row>
    <row r="2622" spans="1:15" x14ac:dyDescent="0.25">
      <c r="A2622" s="35" t="s">
        <v>3097</v>
      </c>
      <c r="B2622" s="28" t="str">
        <f t="shared" si="80"/>
        <v>Guadalupe</v>
      </c>
      <c r="C2622" s="30">
        <v>131533</v>
      </c>
      <c r="D2622" s="30">
        <v>131527</v>
      </c>
      <c r="E2622" s="30">
        <v>132587</v>
      </c>
      <c r="F2622" s="30">
        <v>135809</v>
      </c>
      <c r="G2622" s="30">
        <v>139641</v>
      </c>
      <c r="H2622" s="30">
        <v>142881</v>
      </c>
      <c r="I2622" s="30">
        <v>146811</v>
      </c>
      <c r="J2622" s="30">
        <v>150578</v>
      </c>
      <c r="K2622" s="30">
        <v>154492</v>
      </c>
      <c r="L2622" s="30">
        <v>159639</v>
      </c>
      <c r="M2622" s="30">
        <v>163276</v>
      </c>
      <c r="N2622" s="30">
        <v>166847</v>
      </c>
      <c r="O2622" s="24" t="str">
        <f t="shared" si="81"/>
        <v>Guadalupe County, Texas</v>
      </c>
    </row>
    <row r="2623" spans="1:15" x14ac:dyDescent="0.25">
      <c r="A2623" s="35" t="s">
        <v>3098</v>
      </c>
      <c r="B2623" s="28" t="str">
        <f t="shared" si="80"/>
        <v>Hale</v>
      </c>
      <c r="C2623" s="30">
        <v>36273</v>
      </c>
      <c r="D2623" s="30">
        <v>36206</v>
      </c>
      <c r="E2623" s="30">
        <v>36269</v>
      </c>
      <c r="F2623" s="30">
        <v>36381</v>
      </c>
      <c r="G2623" s="30">
        <v>36258</v>
      </c>
      <c r="H2623" s="30">
        <v>35676</v>
      </c>
      <c r="I2623" s="30">
        <v>34451</v>
      </c>
      <c r="J2623" s="30">
        <v>34034</v>
      </c>
      <c r="K2623" s="30">
        <v>34107</v>
      </c>
      <c r="L2623" s="30">
        <v>33954</v>
      </c>
      <c r="M2623" s="30">
        <v>33631</v>
      </c>
      <c r="N2623" s="30">
        <v>33406</v>
      </c>
      <c r="O2623" s="24" t="str">
        <f t="shared" si="81"/>
        <v>Hale County, Texas</v>
      </c>
    </row>
    <row r="2624" spans="1:15" x14ac:dyDescent="0.25">
      <c r="A2624" s="35" t="s">
        <v>3099</v>
      </c>
      <c r="B2624" s="28" t="str">
        <f t="shared" si="80"/>
        <v>Hall</v>
      </c>
      <c r="C2624" s="30">
        <v>3353</v>
      </c>
      <c r="D2624" s="30">
        <v>3353</v>
      </c>
      <c r="E2624" s="30">
        <v>3359</v>
      </c>
      <c r="F2624" s="30">
        <v>3312</v>
      </c>
      <c r="G2624" s="30">
        <v>3268</v>
      </c>
      <c r="H2624" s="30">
        <v>3164</v>
      </c>
      <c r="I2624" s="30">
        <v>3075</v>
      </c>
      <c r="J2624" s="30">
        <v>3094</v>
      </c>
      <c r="K2624" s="30">
        <v>3113</v>
      </c>
      <c r="L2624" s="30">
        <v>3042</v>
      </c>
      <c r="M2624" s="30">
        <v>3025</v>
      </c>
      <c r="N2624" s="30">
        <v>2964</v>
      </c>
      <c r="O2624" s="24" t="str">
        <f t="shared" si="81"/>
        <v>Hall County, Texas</v>
      </c>
    </row>
    <row r="2625" spans="1:15" x14ac:dyDescent="0.25">
      <c r="A2625" s="35" t="s">
        <v>3100</v>
      </c>
      <c r="B2625" s="28" t="str">
        <f t="shared" si="80"/>
        <v>Hamilton</v>
      </c>
      <c r="C2625" s="30">
        <v>8517</v>
      </c>
      <c r="D2625" s="30">
        <v>8512</v>
      </c>
      <c r="E2625" s="30">
        <v>8465</v>
      </c>
      <c r="F2625" s="30">
        <v>8389</v>
      </c>
      <c r="G2625" s="30">
        <v>8249</v>
      </c>
      <c r="H2625" s="30">
        <v>8241</v>
      </c>
      <c r="I2625" s="30">
        <v>8160</v>
      </c>
      <c r="J2625" s="30">
        <v>8080</v>
      </c>
      <c r="K2625" s="30">
        <v>8237</v>
      </c>
      <c r="L2625" s="30">
        <v>8407</v>
      </c>
      <c r="M2625" s="30">
        <v>8477</v>
      </c>
      <c r="N2625" s="30">
        <v>8461</v>
      </c>
      <c r="O2625" s="24" t="str">
        <f t="shared" si="81"/>
        <v>Hamilton County, Texas</v>
      </c>
    </row>
    <row r="2626" spans="1:15" x14ac:dyDescent="0.25">
      <c r="A2626" s="35" t="s">
        <v>3101</v>
      </c>
      <c r="B2626" s="28" t="str">
        <f t="shared" si="80"/>
        <v>Hansford</v>
      </c>
      <c r="C2626" s="30">
        <v>5613</v>
      </c>
      <c r="D2626" s="30">
        <v>5613</v>
      </c>
      <c r="E2626" s="30">
        <v>5599</v>
      </c>
      <c r="F2626" s="30">
        <v>5580</v>
      </c>
      <c r="G2626" s="30">
        <v>5534</v>
      </c>
      <c r="H2626" s="30">
        <v>5547</v>
      </c>
      <c r="I2626" s="30">
        <v>5561</v>
      </c>
      <c r="J2626" s="30">
        <v>5654</v>
      </c>
      <c r="K2626" s="30">
        <v>5592</v>
      </c>
      <c r="L2626" s="30">
        <v>5485</v>
      </c>
      <c r="M2626" s="30">
        <v>5470</v>
      </c>
      <c r="N2626" s="30">
        <v>5399</v>
      </c>
      <c r="O2626" s="24" t="str">
        <f t="shared" si="81"/>
        <v>Hansford County, Texas</v>
      </c>
    </row>
    <row r="2627" spans="1:15" x14ac:dyDescent="0.25">
      <c r="A2627" s="35" t="s">
        <v>3102</v>
      </c>
      <c r="B2627" s="28" t="str">
        <f t="shared" si="80"/>
        <v>Hardeman</v>
      </c>
      <c r="C2627" s="30">
        <v>4139</v>
      </c>
      <c r="D2627" s="30">
        <v>4139</v>
      </c>
      <c r="E2627" s="30">
        <v>4159</v>
      </c>
      <c r="F2627" s="30">
        <v>4159</v>
      </c>
      <c r="G2627" s="30">
        <v>4097</v>
      </c>
      <c r="H2627" s="30">
        <v>4065</v>
      </c>
      <c r="I2627" s="30">
        <v>3990</v>
      </c>
      <c r="J2627" s="30">
        <v>3920</v>
      </c>
      <c r="K2627" s="30">
        <v>3982</v>
      </c>
      <c r="L2627" s="30">
        <v>3959</v>
      </c>
      <c r="M2627" s="30">
        <v>3929</v>
      </c>
      <c r="N2627" s="30">
        <v>3933</v>
      </c>
      <c r="O2627" s="24" t="str">
        <f t="shared" si="81"/>
        <v>Hardeman County, Texas</v>
      </c>
    </row>
    <row r="2628" spans="1:15" x14ac:dyDescent="0.25">
      <c r="A2628" s="35" t="s">
        <v>3103</v>
      </c>
      <c r="B2628" s="28" t="str">
        <f t="shared" si="80"/>
        <v>Hardin</v>
      </c>
      <c r="C2628" s="30">
        <v>54635</v>
      </c>
      <c r="D2628" s="30">
        <v>54635</v>
      </c>
      <c r="E2628" s="30">
        <v>54784</v>
      </c>
      <c r="F2628" s="30">
        <v>55070</v>
      </c>
      <c r="G2628" s="30">
        <v>55122</v>
      </c>
      <c r="H2628" s="30">
        <v>55305</v>
      </c>
      <c r="I2628" s="30">
        <v>55510</v>
      </c>
      <c r="J2628" s="30">
        <v>55758</v>
      </c>
      <c r="K2628" s="30">
        <v>56242</v>
      </c>
      <c r="L2628" s="30">
        <v>57117</v>
      </c>
      <c r="M2628" s="30">
        <v>57107</v>
      </c>
      <c r="N2628" s="30">
        <v>57602</v>
      </c>
      <c r="O2628" s="24" t="str">
        <f t="shared" si="81"/>
        <v>Hardin County, Texas</v>
      </c>
    </row>
    <row r="2629" spans="1:15" x14ac:dyDescent="0.25">
      <c r="A2629" s="35" t="s">
        <v>3104</v>
      </c>
      <c r="B2629" s="28" t="str">
        <f t="shared" si="80"/>
        <v>Harris</v>
      </c>
      <c r="C2629" s="30">
        <v>4092459</v>
      </c>
      <c r="D2629" s="30">
        <v>4093176</v>
      </c>
      <c r="E2629" s="30">
        <v>4107666</v>
      </c>
      <c r="F2629" s="30">
        <v>4179568</v>
      </c>
      <c r="G2629" s="30">
        <v>4263094</v>
      </c>
      <c r="H2629" s="30">
        <v>4353187</v>
      </c>
      <c r="I2629" s="30">
        <v>4455994</v>
      </c>
      <c r="J2629" s="30">
        <v>4557846</v>
      </c>
      <c r="K2629" s="30">
        <v>4623960</v>
      </c>
      <c r="L2629" s="30">
        <v>4657972</v>
      </c>
      <c r="M2629" s="30">
        <v>4680045</v>
      </c>
      <c r="N2629" s="30">
        <v>4713325</v>
      </c>
      <c r="O2629" s="24" t="str">
        <f t="shared" si="81"/>
        <v>Harris County, Texas</v>
      </c>
    </row>
    <row r="2630" spans="1:15" x14ac:dyDescent="0.25">
      <c r="A2630" s="35" t="s">
        <v>3105</v>
      </c>
      <c r="B2630" s="28" t="str">
        <f t="shared" si="80"/>
        <v>Harrison</v>
      </c>
      <c r="C2630" s="30">
        <v>65631</v>
      </c>
      <c r="D2630" s="30">
        <v>65640</v>
      </c>
      <c r="E2630" s="30">
        <v>65765</v>
      </c>
      <c r="F2630" s="30">
        <v>66338</v>
      </c>
      <c r="G2630" s="30">
        <v>66256</v>
      </c>
      <c r="H2630" s="30">
        <v>66267</v>
      </c>
      <c r="I2630" s="30">
        <v>66581</v>
      </c>
      <c r="J2630" s="30">
        <v>66685</v>
      </c>
      <c r="K2630" s="30">
        <v>66611</v>
      </c>
      <c r="L2630" s="30">
        <v>66468</v>
      </c>
      <c r="M2630" s="30">
        <v>66584</v>
      </c>
      <c r="N2630" s="30">
        <v>66553</v>
      </c>
      <c r="O2630" s="24" t="str">
        <f t="shared" si="81"/>
        <v>Harrison County, Texas</v>
      </c>
    </row>
    <row r="2631" spans="1:15" x14ac:dyDescent="0.25">
      <c r="A2631" s="35" t="s">
        <v>3106</v>
      </c>
      <c r="B2631" s="28" t="str">
        <f t="shared" ref="B2631:B2694" si="82">LEFT(A2631,FIND("County",A2631,1)-2)</f>
        <v>Hartley</v>
      </c>
      <c r="C2631" s="30">
        <v>6062</v>
      </c>
      <c r="D2631" s="30">
        <v>6062</v>
      </c>
      <c r="E2631" s="30">
        <v>6064</v>
      </c>
      <c r="F2631" s="30">
        <v>6031</v>
      </c>
      <c r="G2631" s="30">
        <v>6090</v>
      </c>
      <c r="H2631" s="30">
        <v>5999</v>
      </c>
      <c r="I2631" s="30">
        <v>6055</v>
      </c>
      <c r="J2631" s="30">
        <v>5702</v>
      </c>
      <c r="K2631" s="30">
        <v>5740</v>
      </c>
      <c r="L2631" s="30">
        <v>5716</v>
      </c>
      <c r="M2631" s="30">
        <v>5611</v>
      </c>
      <c r="N2631" s="30">
        <v>5576</v>
      </c>
      <c r="O2631" s="24" t="str">
        <f t="shared" ref="O2631:O2694" si="83">A2631</f>
        <v>Hartley County, Texas</v>
      </c>
    </row>
    <row r="2632" spans="1:15" x14ac:dyDescent="0.25">
      <c r="A2632" s="35" t="s">
        <v>3107</v>
      </c>
      <c r="B2632" s="28" t="str">
        <f t="shared" si="82"/>
        <v>Haskell</v>
      </c>
      <c r="C2632" s="30">
        <v>5899</v>
      </c>
      <c r="D2632" s="30">
        <v>5902</v>
      </c>
      <c r="E2632" s="30">
        <v>5879</v>
      </c>
      <c r="F2632" s="30">
        <v>5959</v>
      </c>
      <c r="G2632" s="30">
        <v>5885</v>
      </c>
      <c r="H2632" s="30">
        <v>5901</v>
      </c>
      <c r="I2632" s="30">
        <v>5811</v>
      </c>
      <c r="J2632" s="30">
        <v>5821</v>
      </c>
      <c r="K2632" s="30">
        <v>5751</v>
      </c>
      <c r="L2632" s="30">
        <v>5699</v>
      </c>
      <c r="M2632" s="30">
        <v>5699</v>
      </c>
      <c r="N2632" s="30">
        <v>5658</v>
      </c>
      <c r="O2632" s="24" t="str">
        <f t="shared" si="83"/>
        <v>Haskell County, Texas</v>
      </c>
    </row>
    <row r="2633" spans="1:15" x14ac:dyDescent="0.25">
      <c r="A2633" s="35" t="s">
        <v>3108</v>
      </c>
      <c r="B2633" s="28" t="str">
        <f t="shared" si="82"/>
        <v>Hays</v>
      </c>
      <c r="C2633" s="30">
        <v>157107</v>
      </c>
      <c r="D2633" s="30">
        <v>157103</v>
      </c>
      <c r="E2633" s="30">
        <v>158214</v>
      </c>
      <c r="F2633" s="30">
        <v>163270</v>
      </c>
      <c r="G2633" s="30">
        <v>168519</v>
      </c>
      <c r="H2633" s="30">
        <v>176035</v>
      </c>
      <c r="I2633" s="30">
        <v>184854</v>
      </c>
      <c r="J2633" s="30">
        <v>194662</v>
      </c>
      <c r="K2633" s="30">
        <v>204546</v>
      </c>
      <c r="L2633" s="30">
        <v>214726</v>
      </c>
      <c r="M2633" s="30">
        <v>222706</v>
      </c>
      <c r="N2633" s="30">
        <v>230191</v>
      </c>
      <c r="O2633" s="24" t="str">
        <f t="shared" si="83"/>
        <v>Hays County, Texas</v>
      </c>
    </row>
    <row r="2634" spans="1:15" x14ac:dyDescent="0.25">
      <c r="A2634" s="35" t="s">
        <v>3109</v>
      </c>
      <c r="B2634" s="28" t="str">
        <f t="shared" si="82"/>
        <v>Hemphill</v>
      </c>
      <c r="C2634" s="30">
        <v>3807</v>
      </c>
      <c r="D2634" s="30">
        <v>3807</v>
      </c>
      <c r="E2634" s="30">
        <v>3795</v>
      </c>
      <c r="F2634" s="30">
        <v>3956</v>
      </c>
      <c r="G2634" s="30">
        <v>4093</v>
      </c>
      <c r="H2634" s="30">
        <v>4153</v>
      </c>
      <c r="I2634" s="30">
        <v>4165</v>
      </c>
      <c r="J2634" s="30">
        <v>4277</v>
      </c>
      <c r="K2634" s="30">
        <v>4101</v>
      </c>
      <c r="L2634" s="30">
        <v>3929</v>
      </c>
      <c r="M2634" s="30">
        <v>3845</v>
      </c>
      <c r="N2634" s="30">
        <v>3819</v>
      </c>
      <c r="O2634" s="24" t="str">
        <f t="shared" si="83"/>
        <v>Hemphill County, Texas</v>
      </c>
    </row>
    <row r="2635" spans="1:15" x14ac:dyDescent="0.25">
      <c r="A2635" s="35" t="s">
        <v>3110</v>
      </c>
      <c r="B2635" s="28" t="str">
        <f t="shared" si="82"/>
        <v>Henderson</v>
      </c>
      <c r="C2635" s="30">
        <v>78532</v>
      </c>
      <c r="D2635" s="30">
        <v>78578</v>
      </c>
      <c r="E2635" s="30">
        <v>78665</v>
      </c>
      <c r="F2635" s="30">
        <v>78837</v>
      </c>
      <c r="G2635" s="30">
        <v>78992</v>
      </c>
      <c r="H2635" s="30">
        <v>78669</v>
      </c>
      <c r="I2635" s="30">
        <v>79324</v>
      </c>
      <c r="J2635" s="30">
        <v>79492</v>
      </c>
      <c r="K2635" s="30">
        <v>80062</v>
      </c>
      <c r="L2635" s="30">
        <v>80954</v>
      </c>
      <c r="M2635" s="30">
        <v>82103</v>
      </c>
      <c r="N2635" s="30">
        <v>82737</v>
      </c>
      <c r="O2635" s="24" t="str">
        <f t="shared" si="83"/>
        <v>Henderson County, Texas</v>
      </c>
    </row>
    <row r="2636" spans="1:15" x14ac:dyDescent="0.25">
      <c r="A2636" s="35" t="s">
        <v>3111</v>
      </c>
      <c r="B2636" s="28" t="str">
        <f t="shared" si="82"/>
        <v>Hidalgo</v>
      </c>
      <c r="C2636" s="30">
        <v>774769</v>
      </c>
      <c r="D2636" s="30">
        <v>774764</v>
      </c>
      <c r="E2636" s="30">
        <v>779149</v>
      </c>
      <c r="F2636" s="30">
        <v>795517</v>
      </c>
      <c r="G2636" s="30">
        <v>808334</v>
      </c>
      <c r="H2636" s="30">
        <v>818619</v>
      </c>
      <c r="I2636" s="30">
        <v>829819</v>
      </c>
      <c r="J2636" s="30">
        <v>839667</v>
      </c>
      <c r="K2636" s="30">
        <v>848960</v>
      </c>
      <c r="L2636" s="30">
        <v>856249</v>
      </c>
      <c r="M2636" s="30">
        <v>862298</v>
      </c>
      <c r="N2636" s="30">
        <v>868707</v>
      </c>
      <c r="O2636" s="24" t="str">
        <f t="shared" si="83"/>
        <v>Hidalgo County, Texas</v>
      </c>
    </row>
    <row r="2637" spans="1:15" x14ac:dyDescent="0.25">
      <c r="A2637" s="35" t="s">
        <v>3112</v>
      </c>
      <c r="B2637" s="28" t="str">
        <f t="shared" si="82"/>
        <v>Hill</v>
      </c>
      <c r="C2637" s="30">
        <v>35089</v>
      </c>
      <c r="D2637" s="30">
        <v>35088</v>
      </c>
      <c r="E2637" s="30">
        <v>35144</v>
      </c>
      <c r="F2637" s="30">
        <v>35200</v>
      </c>
      <c r="G2637" s="30">
        <v>35157</v>
      </c>
      <c r="H2637" s="30">
        <v>34851</v>
      </c>
      <c r="I2637" s="30">
        <v>34767</v>
      </c>
      <c r="J2637" s="30">
        <v>34828</v>
      </c>
      <c r="K2637" s="30">
        <v>35102</v>
      </c>
      <c r="L2637" s="30">
        <v>35703</v>
      </c>
      <c r="M2637" s="30">
        <v>36165</v>
      </c>
      <c r="N2637" s="30">
        <v>36649</v>
      </c>
      <c r="O2637" s="24" t="str">
        <f t="shared" si="83"/>
        <v>Hill County, Texas</v>
      </c>
    </row>
    <row r="2638" spans="1:15" x14ac:dyDescent="0.25">
      <c r="A2638" s="35" t="s">
        <v>3113</v>
      </c>
      <c r="B2638" s="28" t="str">
        <f t="shared" si="82"/>
        <v>Hockley</v>
      </c>
      <c r="C2638" s="30">
        <v>22935</v>
      </c>
      <c r="D2638" s="30">
        <v>22927</v>
      </c>
      <c r="E2638" s="30">
        <v>22853</v>
      </c>
      <c r="F2638" s="30">
        <v>22931</v>
      </c>
      <c r="G2638" s="30">
        <v>23074</v>
      </c>
      <c r="H2638" s="30">
        <v>23408</v>
      </c>
      <c r="I2638" s="30">
        <v>23463</v>
      </c>
      <c r="J2638" s="30">
        <v>23310</v>
      </c>
      <c r="K2638" s="30">
        <v>23043</v>
      </c>
      <c r="L2638" s="30">
        <v>22977</v>
      </c>
      <c r="M2638" s="30">
        <v>22971</v>
      </c>
      <c r="N2638" s="30">
        <v>23021</v>
      </c>
      <c r="O2638" s="24" t="str">
        <f t="shared" si="83"/>
        <v>Hockley County, Texas</v>
      </c>
    </row>
    <row r="2639" spans="1:15" x14ac:dyDescent="0.25">
      <c r="A2639" s="35" t="s">
        <v>3114</v>
      </c>
      <c r="B2639" s="28" t="str">
        <f t="shared" si="82"/>
        <v>Hood</v>
      </c>
      <c r="C2639" s="30">
        <v>51182</v>
      </c>
      <c r="D2639" s="30">
        <v>51163</v>
      </c>
      <c r="E2639" s="30">
        <v>51268</v>
      </c>
      <c r="F2639" s="30">
        <v>51563</v>
      </c>
      <c r="G2639" s="30">
        <v>52129</v>
      </c>
      <c r="H2639" s="30">
        <v>52860</v>
      </c>
      <c r="I2639" s="30">
        <v>53812</v>
      </c>
      <c r="J2639" s="30">
        <v>55227</v>
      </c>
      <c r="K2639" s="30">
        <v>56569</v>
      </c>
      <c r="L2639" s="30">
        <v>57973</v>
      </c>
      <c r="M2639" s="30">
        <v>60177</v>
      </c>
      <c r="N2639" s="30">
        <v>61643</v>
      </c>
      <c r="O2639" s="24" t="str">
        <f t="shared" si="83"/>
        <v>Hood County, Texas</v>
      </c>
    </row>
    <row r="2640" spans="1:15" x14ac:dyDescent="0.25">
      <c r="A2640" s="35" t="s">
        <v>3115</v>
      </c>
      <c r="B2640" s="28" t="str">
        <f t="shared" si="82"/>
        <v>Hopkins</v>
      </c>
      <c r="C2640" s="30">
        <v>35161</v>
      </c>
      <c r="D2640" s="30">
        <v>35163</v>
      </c>
      <c r="E2640" s="30">
        <v>35208</v>
      </c>
      <c r="F2640" s="30">
        <v>35259</v>
      </c>
      <c r="G2640" s="30">
        <v>35312</v>
      </c>
      <c r="H2640" s="30">
        <v>35299</v>
      </c>
      <c r="I2640" s="30">
        <v>35686</v>
      </c>
      <c r="J2640" s="30">
        <v>35973</v>
      </c>
      <c r="K2640" s="30">
        <v>36184</v>
      </c>
      <c r="L2640" s="30">
        <v>36451</v>
      </c>
      <c r="M2640" s="30">
        <v>36738</v>
      </c>
      <c r="N2640" s="30">
        <v>37084</v>
      </c>
      <c r="O2640" s="24" t="str">
        <f t="shared" si="83"/>
        <v>Hopkins County, Texas</v>
      </c>
    </row>
    <row r="2641" spans="1:15" x14ac:dyDescent="0.25">
      <c r="A2641" s="35" t="s">
        <v>3116</v>
      </c>
      <c r="B2641" s="28" t="str">
        <f t="shared" si="82"/>
        <v>Houston</v>
      </c>
      <c r="C2641" s="30">
        <v>23732</v>
      </c>
      <c r="D2641" s="30">
        <v>23731</v>
      </c>
      <c r="E2641" s="30">
        <v>23682</v>
      </c>
      <c r="F2641" s="30">
        <v>23434</v>
      </c>
      <c r="G2641" s="30">
        <v>23213</v>
      </c>
      <c r="H2641" s="30">
        <v>22809</v>
      </c>
      <c r="I2641" s="30">
        <v>22809</v>
      </c>
      <c r="J2641" s="30">
        <v>22747</v>
      </c>
      <c r="K2641" s="30">
        <v>22897</v>
      </c>
      <c r="L2641" s="30">
        <v>23089</v>
      </c>
      <c r="M2641" s="30">
        <v>23068</v>
      </c>
      <c r="N2641" s="30">
        <v>22968</v>
      </c>
      <c r="O2641" s="24" t="str">
        <f t="shared" si="83"/>
        <v>Houston County, Texas</v>
      </c>
    </row>
    <row r="2642" spans="1:15" x14ac:dyDescent="0.25">
      <c r="A2642" s="35" t="s">
        <v>3117</v>
      </c>
      <c r="B2642" s="28" t="str">
        <f t="shared" si="82"/>
        <v>Howard</v>
      </c>
      <c r="C2642" s="30">
        <v>35012</v>
      </c>
      <c r="D2642" s="30">
        <v>35012</v>
      </c>
      <c r="E2642" s="30">
        <v>34993</v>
      </c>
      <c r="F2642" s="30">
        <v>34990</v>
      </c>
      <c r="G2642" s="30">
        <v>35495</v>
      </c>
      <c r="H2642" s="30">
        <v>36185</v>
      </c>
      <c r="I2642" s="30">
        <v>36542</v>
      </c>
      <c r="J2642" s="30">
        <v>37123</v>
      </c>
      <c r="K2642" s="30">
        <v>36214</v>
      </c>
      <c r="L2642" s="30">
        <v>35817</v>
      </c>
      <c r="M2642" s="30">
        <v>35925</v>
      </c>
      <c r="N2642" s="30">
        <v>36664</v>
      </c>
      <c r="O2642" s="24" t="str">
        <f t="shared" si="83"/>
        <v>Howard County, Texas</v>
      </c>
    </row>
    <row r="2643" spans="1:15" x14ac:dyDescent="0.25">
      <c r="A2643" s="35" t="s">
        <v>3118</v>
      </c>
      <c r="B2643" s="28" t="str">
        <f t="shared" si="82"/>
        <v>Hudspeth</v>
      </c>
      <c r="C2643" s="30">
        <v>3476</v>
      </c>
      <c r="D2643" s="30">
        <v>3476</v>
      </c>
      <c r="E2643" s="30">
        <v>3472</v>
      </c>
      <c r="F2643" s="30">
        <v>3412</v>
      </c>
      <c r="G2643" s="30">
        <v>3357</v>
      </c>
      <c r="H2643" s="30">
        <v>3339</v>
      </c>
      <c r="I2643" s="30">
        <v>3306</v>
      </c>
      <c r="J2643" s="30">
        <v>3541</v>
      </c>
      <c r="K2643" s="30">
        <v>4254</v>
      </c>
      <c r="L2643" s="30">
        <v>4604</v>
      </c>
      <c r="M2643" s="30">
        <v>4788</v>
      </c>
      <c r="N2643" s="30">
        <v>4886</v>
      </c>
      <c r="O2643" s="24" t="str">
        <f t="shared" si="83"/>
        <v>Hudspeth County, Texas</v>
      </c>
    </row>
    <row r="2644" spans="1:15" x14ac:dyDescent="0.25">
      <c r="A2644" s="35" t="s">
        <v>3119</v>
      </c>
      <c r="B2644" s="28" t="str">
        <f t="shared" si="82"/>
        <v>Hunt</v>
      </c>
      <c r="C2644" s="30">
        <v>86129</v>
      </c>
      <c r="D2644" s="30">
        <v>86144</v>
      </c>
      <c r="E2644" s="30">
        <v>86365</v>
      </c>
      <c r="F2644" s="30">
        <v>86687</v>
      </c>
      <c r="G2644" s="30">
        <v>86979</v>
      </c>
      <c r="H2644" s="30">
        <v>87429</v>
      </c>
      <c r="I2644" s="30">
        <v>88639</v>
      </c>
      <c r="J2644" s="30">
        <v>89670</v>
      </c>
      <c r="K2644" s="30">
        <v>91895</v>
      </c>
      <c r="L2644" s="30">
        <v>94046</v>
      </c>
      <c r="M2644" s="30">
        <v>96606</v>
      </c>
      <c r="N2644" s="30">
        <v>98594</v>
      </c>
      <c r="O2644" s="24" t="str">
        <f t="shared" si="83"/>
        <v>Hunt County, Texas</v>
      </c>
    </row>
    <row r="2645" spans="1:15" x14ac:dyDescent="0.25">
      <c r="A2645" s="35" t="s">
        <v>3120</v>
      </c>
      <c r="B2645" s="28" t="str">
        <f t="shared" si="82"/>
        <v>Hutchinson</v>
      </c>
      <c r="C2645" s="30">
        <v>22150</v>
      </c>
      <c r="D2645" s="30">
        <v>22251</v>
      </c>
      <c r="E2645" s="30">
        <v>22214</v>
      </c>
      <c r="F2645" s="30">
        <v>22024</v>
      </c>
      <c r="G2645" s="30">
        <v>22022</v>
      </c>
      <c r="H2645" s="30">
        <v>21921</v>
      </c>
      <c r="I2645" s="30">
        <v>21915</v>
      </c>
      <c r="J2645" s="30">
        <v>21793</v>
      </c>
      <c r="K2645" s="30">
        <v>21528</v>
      </c>
      <c r="L2645" s="30">
        <v>21343</v>
      </c>
      <c r="M2645" s="30">
        <v>21119</v>
      </c>
      <c r="N2645" s="30">
        <v>20938</v>
      </c>
      <c r="O2645" s="24" t="str">
        <f t="shared" si="83"/>
        <v>Hutchinson County, Texas</v>
      </c>
    </row>
    <row r="2646" spans="1:15" x14ac:dyDescent="0.25">
      <c r="A2646" s="35" t="s">
        <v>3121</v>
      </c>
      <c r="B2646" s="28" t="str">
        <f t="shared" si="82"/>
        <v>Irion</v>
      </c>
      <c r="C2646" s="30">
        <v>1599</v>
      </c>
      <c r="D2646" s="30">
        <v>1597</v>
      </c>
      <c r="E2646" s="30">
        <v>1607</v>
      </c>
      <c r="F2646" s="30">
        <v>1592</v>
      </c>
      <c r="G2646" s="30">
        <v>1573</v>
      </c>
      <c r="H2646" s="30">
        <v>1610</v>
      </c>
      <c r="I2646" s="30">
        <v>1574</v>
      </c>
      <c r="J2646" s="30">
        <v>1543</v>
      </c>
      <c r="K2646" s="30">
        <v>1562</v>
      </c>
      <c r="L2646" s="30">
        <v>1512</v>
      </c>
      <c r="M2646" s="30">
        <v>1516</v>
      </c>
      <c r="N2646" s="30">
        <v>1536</v>
      </c>
      <c r="O2646" s="24" t="str">
        <f t="shared" si="83"/>
        <v>Irion County, Texas</v>
      </c>
    </row>
    <row r="2647" spans="1:15" x14ac:dyDescent="0.25">
      <c r="A2647" s="35" t="s">
        <v>3122</v>
      </c>
      <c r="B2647" s="28" t="str">
        <f t="shared" si="82"/>
        <v>Jack</v>
      </c>
      <c r="C2647" s="30">
        <v>9044</v>
      </c>
      <c r="D2647" s="30">
        <v>9041</v>
      </c>
      <c r="E2647" s="30">
        <v>9004</v>
      </c>
      <c r="F2647" s="30">
        <v>9030</v>
      </c>
      <c r="G2647" s="30">
        <v>8992</v>
      </c>
      <c r="H2647" s="30">
        <v>8951</v>
      </c>
      <c r="I2647" s="30">
        <v>8880</v>
      </c>
      <c r="J2647" s="30">
        <v>8883</v>
      </c>
      <c r="K2647" s="30">
        <v>8789</v>
      </c>
      <c r="L2647" s="30">
        <v>8828</v>
      </c>
      <c r="M2647" s="30">
        <v>8825</v>
      </c>
      <c r="N2647" s="30">
        <v>8935</v>
      </c>
      <c r="O2647" s="24" t="str">
        <f t="shared" si="83"/>
        <v>Jack County, Texas</v>
      </c>
    </row>
    <row r="2648" spans="1:15" x14ac:dyDescent="0.25">
      <c r="A2648" s="35" t="s">
        <v>3123</v>
      </c>
      <c r="B2648" s="28" t="str">
        <f t="shared" si="82"/>
        <v>Jackson</v>
      </c>
      <c r="C2648" s="30">
        <v>14075</v>
      </c>
      <c r="D2648" s="30">
        <v>14075</v>
      </c>
      <c r="E2648" s="30">
        <v>14091</v>
      </c>
      <c r="F2648" s="30">
        <v>14048</v>
      </c>
      <c r="G2648" s="30">
        <v>14271</v>
      </c>
      <c r="H2648" s="30">
        <v>14610</v>
      </c>
      <c r="I2648" s="30">
        <v>14723</v>
      </c>
      <c r="J2648" s="30">
        <v>14808</v>
      </c>
      <c r="K2648" s="30">
        <v>14873</v>
      </c>
      <c r="L2648" s="30">
        <v>14806</v>
      </c>
      <c r="M2648" s="30">
        <v>14834</v>
      </c>
      <c r="N2648" s="30">
        <v>14760</v>
      </c>
      <c r="O2648" s="24" t="str">
        <f t="shared" si="83"/>
        <v>Jackson County, Texas</v>
      </c>
    </row>
    <row r="2649" spans="1:15" x14ac:dyDescent="0.25">
      <c r="A2649" s="35" t="s">
        <v>3124</v>
      </c>
      <c r="B2649" s="28" t="str">
        <f t="shared" si="82"/>
        <v>Jasper</v>
      </c>
      <c r="C2649" s="30">
        <v>35710</v>
      </c>
      <c r="D2649" s="30">
        <v>35710</v>
      </c>
      <c r="E2649" s="30">
        <v>35777</v>
      </c>
      <c r="F2649" s="30">
        <v>36204</v>
      </c>
      <c r="G2649" s="30">
        <v>35854</v>
      </c>
      <c r="H2649" s="30">
        <v>35617</v>
      </c>
      <c r="I2649" s="30">
        <v>35424</v>
      </c>
      <c r="J2649" s="30">
        <v>35266</v>
      </c>
      <c r="K2649" s="30">
        <v>35417</v>
      </c>
      <c r="L2649" s="30">
        <v>35549</v>
      </c>
      <c r="M2649" s="30">
        <v>35769</v>
      </c>
      <c r="N2649" s="30">
        <v>35529</v>
      </c>
      <c r="O2649" s="24" t="str">
        <f t="shared" si="83"/>
        <v>Jasper County, Texas</v>
      </c>
    </row>
    <row r="2650" spans="1:15" x14ac:dyDescent="0.25">
      <c r="A2650" s="35" t="s">
        <v>3125</v>
      </c>
      <c r="B2650" s="28" t="str">
        <f t="shared" si="82"/>
        <v>Jeff Davis</v>
      </c>
      <c r="C2650" s="30">
        <v>2342</v>
      </c>
      <c r="D2650" s="30">
        <v>2342</v>
      </c>
      <c r="E2650" s="30">
        <v>2344</v>
      </c>
      <c r="F2650" s="30">
        <v>2282</v>
      </c>
      <c r="G2650" s="30">
        <v>2296</v>
      </c>
      <c r="H2650" s="30">
        <v>2231</v>
      </c>
      <c r="I2650" s="30">
        <v>2217</v>
      </c>
      <c r="J2650" s="30">
        <v>2199</v>
      </c>
      <c r="K2650" s="30">
        <v>2231</v>
      </c>
      <c r="L2650" s="30">
        <v>2260</v>
      </c>
      <c r="M2650" s="30">
        <v>2243</v>
      </c>
      <c r="N2650" s="30">
        <v>2274</v>
      </c>
      <c r="O2650" s="24" t="str">
        <f t="shared" si="83"/>
        <v>Jeff Davis County, Texas</v>
      </c>
    </row>
    <row r="2651" spans="1:15" x14ac:dyDescent="0.25">
      <c r="A2651" s="35" t="s">
        <v>3126</v>
      </c>
      <c r="B2651" s="28" t="str">
        <f t="shared" si="82"/>
        <v>Jefferson</v>
      </c>
      <c r="C2651" s="30">
        <v>252273</v>
      </c>
      <c r="D2651" s="30">
        <v>252277</v>
      </c>
      <c r="E2651" s="30">
        <v>252455</v>
      </c>
      <c r="F2651" s="30">
        <v>253494</v>
      </c>
      <c r="G2651" s="30">
        <v>251605</v>
      </c>
      <c r="H2651" s="30">
        <v>253079</v>
      </c>
      <c r="I2651" s="30">
        <v>252897</v>
      </c>
      <c r="J2651" s="30">
        <v>255112</v>
      </c>
      <c r="K2651" s="30">
        <v>255748</v>
      </c>
      <c r="L2651" s="30">
        <v>256041</v>
      </c>
      <c r="M2651" s="30">
        <v>253234</v>
      </c>
      <c r="N2651" s="30">
        <v>251565</v>
      </c>
      <c r="O2651" s="24" t="str">
        <f t="shared" si="83"/>
        <v>Jefferson County, Texas</v>
      </c>
    </row>
    <row r="2652" spans="1:15" x14ac:dyDescent="0.25">
      <c r="A2652" s="35" t="s">
        <v>3127</v>
      </c>
      <c r="B2652" s="28" t="str">
        <f t="shared" si="82"/>
        <v>Jim Hogg</v>
      </c>
      <c r="C2652" s="30">
        <v>5300</v>
      </c>
      <c r="D2652" s="30">
        <v>5300</v>
      </c>
      <c r="E2652" s="30">
        <v>5287</v>
      </c>
      <c r="F2652" s="30">
        <v>5289</v>
      </c>
      <c r="G2652" s="30">
        <v>5277</v>
      </c>
      <c r="H2652" s="30">
        <v>5263</v>
      </c>
      <c r="I2652" s="30">
        <v>5328</v>
      </c>
      <c r="J2652" s="30">
        <v>5296</v>
      </c>
      <c r="K2652" s="30">
        <v>5257</v>
      </c>
      <c r="L2652" s="30">
        <v>5212</v>
      </c>
      <c r="M2652" s="30">
        <v>5192</v>
      </c>
      <c r="N2652" s="30">
        <v>5200</v>
      </c>
      <c r="O2652" s="24" t="str">
        <f t="shared" si="83"/>
        <v>Jim Hogg County, Texas</v>
      </c>
    </row>
    <row r="2653" spans="1:15" x14ac:dyDescent="0.25">
      <c r="A2653" s="35" t="s">
        <v>3128</v>
      </c>
      <c r="B2653" s="28" t="str">
        <f t="shared" si="82"/>
        <v>Jim Wells</v>
      </c>
      <c r="C2653" s="30">
        <v>40838</v>
      </c>
      <c r="D2653" s="30">
        <v>40843</v>
      </c>
      <c r="E2653" s="30">
        <v>40894</v>
      </c>
      <c r="F2653" s="30">
        <v>41224</v>
      </c>
      <c r="G2653" s="30">
        <v>41651</v>
      </c>
      <c r="H2653" s="30">
        <v>41681</v>
      </c>
      <c r="I2653" s="30">
        <v>41504</v>
      </c>
      <c r="J2653" s="30">
        <v>41523</v>
      </c>
      <c r="K2653" s="30">
        <v>41181</v>
      </c>
      <c r="L2653" s="30">
        <v>40920</v>
      </c>
      <c r="M2653" s="30">
        <v>40756</v>
      </c>
      <c r="N2653" s="30">
        <v>40482</v>
      </c>
      <c r="O2653" s="24" t="str">
        <f t="shared" si="83"/>
        <v>Jim Wells County, Texas</v>
      </c>
    </row>
    <row r="2654" spans="1:15" x14ac:dyDescent="0.25">
      <c r="A2654" s="35" t="s">
        <v>3129</v>
      </c>
      <c r="B2654" s="28" t="str">
        <f t="shared" si="82"/>
        <v>Johnson</v>
      </c>
      <c r="C2654" s="30">
        <v>150934</v>
      </c>
      <c r="D2654" s="30">
        <v>150956</v>
      </c>
      <c r="E2654" s="30">
        <v>151264</v>
      </c>
      <c r="F2654" s="30">
        <v>152094</v>
      </c>
      <c r="G2654" s="30">
        <v>153415</v>
      </c>
      <c r="H2654" s="30">
        <v>154535</v>
      </c>
      <c r="I2654" s="30">
        <v>156733</v>
      </c>
      <c r="J2654" s="30">
        <v>159345</v>
      </c>
      <c r="K2654" s="30">
        <v>162763</v>
      </c>
      <c r="L2654" s="30">
        <v>167012</v>
      </c>
      <c r="M2654" s="30">
        <v>171121</v>
      </c>
      <c r="N2654" s="30">
        <v>175817</v>
      </c>
      <c r="O2654" s="24" t="str">
        <f t="shared" si="83"/>
        <v>Johnson County, Texas</v>
      </c>
    </row>
    <row r="2655" spans="1:15" x14ac:dyDescent="0.25">
      <c r="A2655" s="35" t="s">
        <v>3130</v>
      </c>
      <c r="B2655" s="28" t="str">
        <f t="shared" si="82"/>
        <v>Jones</v>
      </c>
      <c r="C2655" s="30">
        <v>20202</v>
      </c>
      <c r="D2655" s="30">
        <v>20192</v>
      </c>
      <c r="E2655" s="30">
        <v>20238</v>
      </c>
      <c r="F2655" s="30">
        <v>20270</v>
      </c>
      <c r="G2655" s="30">
        <v>19870</v>
      </c>
      <c r="H2655" s="30">
        <v>20044</v>
      </c>
      <c r="I2655" s="30">
        <v>19850</v>
      </c>
      <c r="J2655" s="30">
        <v>19966</v>
      </c>
      <c r="K2655" s="30">
        <v>19971</v>
      </c>
      <c r="L2655" s="30">
        <v>19827</v>
      </c>
      <c r="M2655" s="30">
        <v>19866</v>
      </c>
      <c r="N2655" s="30">
        <v>20083</v>
      </c>
      <c r="O2655" s="24" t="str">
        <f t="shared" si="83"/>
        <v>Jones County, Texas</v>
      </c>
    </row>
    <row r="2656" spans="1:15" x14ac:dyDescent="0.25">
      <c r="A2656" s="35" t="s">
        <v>3131</v>
      </c>
      <c r="B2656" s="28" t="str">
        <f t="shared" si="82"/>
        <v>Karnes</v>
      </c>
      <c r="C2656" s="30">
        <v>14824</v>
      </c>
      <c r="D2656" s="30">
        <v>14828</v>
      </c>
      <c r="E2656" s="30">
        <v>14889</v>
      </c>
      <c r="F2656" s="30">
        <v>14959</v>
      </c>
      <c r="G2656" s="30">
        <v>14859</v>
      </c>
      <c r="H2656" s="30">
        <v>14727</v>
      </c>
      <c r="I2656" s="30">
        <v>14910</v>
      </c>
      <c r="J2656" s="30">
        <v>15413</v>
      </c>
      <c r="K2656" s="30">
        <v>15494</v>
      </c>
      <c r="L2656" s="30">
        <v>15556</v>
      </c>
      <c r="M2656" s="30">
        <v>15660</v>
      </c>
      <c r="N2656" s="30">
        <v>15601</v>
      </c>
      <c r="O2656" s="24" t="str">
        <f t="shared" si="83"/>
        <v>Karnes County, Texas</v>
      </c>
    </row>
    <row r="2657" spans="1:15" x14ac:dyDescent="0.25">
      <c r="A2657" s="35" t="s">
        <v>3132</v>
      </c>
      <c r="B2657" s="28" t="str">
        <f t="shared" si="82"/>
        <v>Kaufman</v>
      </c>
      <c r="C2657" s="30">
        <v>103350</v>
      </c>
      <c r="D2657" s="30">
        <v>103348</v>
      </c>
      <c r="E2657" s="30">
        <v>103872</v>
      </c>
      <c r="F2657" s="30">
        <v>105199</v>
      </c>
      <c r="G2657" s="30">
        <v>106553</v>
      </c>
      <c r="H2657" s="30">
        <v>108248</v>
      </c>
      <c r="I2657" s="30">
        <v>110872</v>
      </c>
      <c r="J2657" s="30">
        <v>114055</v>
      </c>
      <c r="K2657" s="30">
        <v>117904</v>
      </c>
      <c r="L2657" s="30">
        <v>122628</v>
      </c>
      <c r="M2657" s="30">
        <v>128279</v>
      </c>
      <c r="N2657" s="30">
        <v>136154</v>
      </c>
      <c r="O2657" s="24" t="str">
        <f t="shared" si="83"/>
        <v>Kaufman County, Texas</v>
      </c>
    </row>
    <row r="2658" spans="1:15" x14ac:dyDescent="0.25">
      <c r="A2658" s="35" t="s">
        <v>3133</v>
      </c>
      <c r="B2658" s="28" t="str">
        <f t="shared" si="82"/>
        <v>Kendall</v>
      </c>
      <c r="C2658" s="30">
        <v>33410</v>
      </c>
      <c r="D2658" s="30">
        <v>33384</v>
      </c>
      <c r="E2658" s="30">
        <v>33589</v>
      </c>
      <c r="F2658" s="30">
        <v>34421</v>
      </c>
      <c r="G2658" s="30">
        <v>35551</v>
      </c>
      <c r="H2658" s="30">
        <v>37133</v>
      </c>
      <c r="I2658" s="30">
        <v>38363</v>
      </c>
      <c r="J2658" s="30">
        <v>39938</v>
      </c>
      <c r="K2658" s="30">
        <v>41903</v>
      </c>
      <c r="L2658" s="30">
        <v>43969</v>
      </c>
      <c r="M2658" s="30">
        <v>45603</v>
      </c>
      <c r="N2658" s="30">
        <v>47431</v>
      </c>
      <c r="O2658" s="24" t="str">
        <f t="shared" si="83"/>
        <v>Kendall County, Texas</v>
      </c>
    </row>
    <row r="2659" spans="1:15" x14ac:dyDescent="0.25">
      <c r="A2659" s="35" t="s">
        <v>3134</v>
      </c>
      <c r="B2659" s="28" t="str">
        <f t="shared" si="82"/>
        <v>Kenedy</v>
      </c>
      <c r="C2659" s="30">
        <v>416</v>
      </c>
      <c r="D2659" s="30">
        <v>413</v>
      </c>
      <c r="E2659" s="30">
        <v>417</v>
      </c>
      <c r="F2659" s="30">
        <v>438</v>
      </c>
      <c r="G2659" s="30">
        <v>447</v>
      </c>
      <c r="H2659" s="30">
        <v>438</v>
      </c>
      <c r="I2659" s="30">
        <v>437</v>
      </c>
      <c r="J2659" s="30">
        <v>441</v>
      </c>
      <c r="K2659" s="30">
        <v>436</v>
      </c>
      <c r="L2659" s="30">
        <v>427</v>
      </c>
      <c r="M2659" s="30">
        <v>437</v>
      </c>
      <c r="N2659" s="30">
        <v>404</v>
      </c>
      <c r="O2659" s="24" t="str">
        <f t="shared" si="83"/>
        <v>Kenedy County, Texas</v>
      </c>
    </row>
    <row r="2660" spans="1:15" x14ac:dyDescent="0.25">
      <c r="A2660" s="35" t="s">
        <v>3135</v>
      </c>
      <c r="B2660" s="28" t="str">
        <f t="shared" si="82"/>
        <v>Kent</v>
      </c>
      <c r="C2660" s="30">
        <v>808</v>
      </c>
      <c r="D2660" s="30">
        <v>808</v>
      </c>
      <c r="E2660" s="30">
        <v>812</v>
      </c>
      <c r="F2660" s="30">
        <v>813</v>
      </c>
      <c r="G2660" s="30">
        <v>825</v>
      </c>
      <c r="H2660" s="30">
        <v>782</v>
      </c>
      <c r="I2660" s="30">
        <v>748</v>
      </c>
      <c r="J2660" s="30">
        <v>747</v>
      </c>
      <c r="K2660" s="30">
        <v>748</v>
      </c>
      <c r="L2660" s="30">
        <v>759</v>
      </c>
      <c r="M2660" s="30">
        <v>726</v>
      </c>
      <c r="N2660" s="30">
        <v>762</v>
      </c>
      <c r="O2660" s="24" t="str">
        <f t="shared" si="83"/>
        <v>Kent County, Texas</v>
      </c>
    </row>
    <row r="2661" spans="1:15" x14ac:dyDescent="0.25">
      <c r="A2661" s="35" t="s">
        <v>3136</v>
      </c>
      <c r="B2661" s="28" t="str">
        <f t="shared" si="82"/>
        <v>Kerr</v>
      </c>
      <c r="C2661" s="30">
        <v>49625</v>
      </c>
      <c r="D2661" s="30">
        <v>49644</v>
      </c>
      <c r="E2661" s="30">
        <v>49643</v>
      </c>
      <c r="F2661" s="30">
        <v>49641</v>
      </c>
      <c r="G2661" s="30">
        <v>49719</v>
      </c>
      <c r="H2661" s="30">
        <v>49787</v>
      </c>
      <c r="I2661" s="30">
        <v>50343</v>
      </c>
      <c r="J2661" s="30">
        <v>50880</v>
      </c>
      <c r="K2661" s="30">
        <v>51426</v>
      </c>
      <c r="L2661" s="30">
        <v>51892</v>
      </c>
      <c r="M2661" s="30">
        <v>52415</v>
      </c>
      <c r="N2661" s="30">
        <v>52600</v>
      </c>
      <c r="O2661" s="24" t="str">
        <f t="shared" si="83"/>
        <v>Kerr County, Texas</v>
      </c>
    </row>
    <row r="2662" spans="1:15" x14ac:dyDescent="0.25">
      <c r="A2662" s="35" t="s">
        <v>3137</v>
      </c>
      <c r="B2662" s="28" t="str">
        <f t="shared" si="82"/>
        <v>Kimble</v>
      </c>
      <c r="C2662" s="30">
        <v>4607</v>
      </c>
      <c r="D2662" s="30">
        <v>4605</v>
      </c>
      <c r="E2662" s="30">
        <v>4601</v>
      </c>
      <c r="F2662" s="30">
        <v>4594</v>
      </c>
      <c r="G2662" s="30">
        <v>4525</v>
      </c>
      <c r="H2662" s="30">
        <v>4461</v>
      </c>
      <c r="I2662" s="30">
        <v>4464</v>
      </c>
      <c r="J2662" s="30">
        <v>4391</v>
      </c>
      <c r="K2662" s="30">
        <v>4413</v>
      </c>
      <c r="L2662" s="30">
        <v>4385</v>
      </c>
      <c r="M2662" s="30">
        <v>4338</v>
      </c>
      <c r="N2662" s="30">
        <v>4337</v>
      </c>
      <c r="O2662" s="24" t="str">
        <f t="shared" si="83"/>
        <v>Kimble County, Texas</v>
      </c>
    </row>
    <row r="2663" spans="1:15" x14ac:dyDescent="0.25">
      <c r="A2663" s="35" t="s">
        <v>3138</v>
      </c>
      <c r="B2663" s="28" t="str">
        <f t="shared" si="82"/>
        <v>King</v>
      </c>
      <c r="C2663" s="30">
        <v>286</v>
      </c>
      <c r="D2663" s="30">
        <v>285</v>
      </c>
      <c r="E2663" s="30">
        <v>288</v>
      </c>
      <c r="F2663" s="30">
        <v>258</v>
      </c>
      <c r="G2663" s="30">
        <v>270</v>
      </c>
      <c r="H2663" s="30">
        <v>273</v>
      </c>
      <c r="I2663" s="30">
        <v>263</v>
      </c>
      <c r="J2663" s="30">
        <v>282</v>
      </c>
      <c r="K2663" s="30">
        <v>292</v>
      </c>
      <c r="L2663" s="30">
        <v>289</v>
      </c>
      <c r="M2663" s="30">
        <v>276</v>
      </c>
      <c r="N2663" s="30">
        <v>272</v>
      </c>
      <c r="O2663" s="24" t="str">
        <f t="shared" si="83"/>
        <v>King County, Texas</v>
      </c>
    </row>
    <row r="2664" spans="1:15" x14ac:dyDescent="0.25">
      <c r="A2664" s="35" t="s">
        <v>3139</v>
      </c>
      <c r="B2664" s="28" t="str">
        <f t="shared" si="82"/>
        <v>Kinney</v>
      </c>
      <c r="C2664" s="30">
        <v>3598</v>
      </c>
      <c r="D2664" s="30">
        <v>3598</v>
      </c>
      <c r="E2664" s="30">
        <v>3590</v>
      </c>
      <c r="F2664" s="30">
        <v>3607</v>
      </c>
      <c r="G2664" s="30">
        <v>3639</v>
      </c>
      <c r="H2664" s="30">
        <v>3632</v>
      </c>
      <c r="I2664" s="30">
        <v>3554</v>
      </c>
      <c r="J2664" s="30">
        <v>3589</v>
      </c>
      <c r="K2664" s="30">
        <v>3636</v>
      </c>
      <c r="L2664" s="30">
        <v>3711</v>
      </c>
      <c r="M2664" s="30">
        <v>3692</v>
      </c>
      <c r="N2664" s="30">
        <v>3667</v>
      </c>
      <c r="O2664" s="24" t="str">
        <f t="shared" si="83"/>
        <v>Kinney County, Texas</v>
      </c>
    </row>
    <row r="2665" spans="1:15" x14ac:dyDescent="0.25">
      <c r="A2665" s="35" t="s">
        <v>3140</v>
      </c>
      <c r="B2665" s="28" t="str">
        <f t="shared" si="82"/>
        <v>Kleberg</v>
      </c>
      <c r="C2665" s="30">
        <v>32061</v>
      </c>
      <c r="D2665" s="30">
        <v>32061</v>
      </c>
      <c r="E2665" s="30">
        <v>32037</v>
      </c>
      <c r="F2665" s="30">
        <v>32029</v>
      </c>
      <c r="G2665" s="30">
        <v>32097</v>
      </c>
      <c r="H2665" s="30">
        <v>32021</v>
      </c>
      <c r="I2665" s="30">
        <v>31891</v>
      </c>
      <c r="J2665" s="30">
        <v>31413</v>
      </c>
      <c r="K2665" s="30">
        <v>31304</v>
      </c>
      <c r="L2665" s="30">
        <v>30752</v>
      </c>
      <c r="M2665" s="30">
        <v>30722</v>
      </c>
      <c r="N2665" s="30">
        <v>30680</v>
      </c>
      <c r="O2665" s="24" t="str">
        <f t="shared" si="83"/>
        <v>Kleberg County, Texas</v>
      </c>
    </row>
    <row r="2666" spans="1:15" x14ac:dyDescent="0.25">
      <c r="A2666" s="35" t="s">
        <v>3141</v>
      </c>
      <c r="B2666" s="28" t="str">
        <f t="shared" si="82"/>
        <v>Knox</v>
      </c>
      <c r="C2666" s="30">
        <v>3719</v>
      </c>
      <c r="D2666" s="30">
        <v>3719</v>
      </c>
      <c r="E2666" s="30">
        <v>3723</v>
      </c>
      <c r="F2666" s="30">
        <v>3722</v>
      </c>
      <c r="G2666" s="30">
        <v>3730</v>
      </c>
      <c r="H2666" s="30">
        <v>3722</v>
      </c>
      <c r="I2666" s="30">
        <v>3801</v>
      </c>
      <c r="J2666" s="30">
        <v>3792</v>
      </c>
      <c r="K2666" s="30">
        <v>3732</v>
      </c>
      <c r="L2666" s="30">
        <v>3674</v>
      </c>
      <c r="M2666" s="30">
        <v>3662</v>
      </c>
      <c r="N2666" s="30">
        <v>3664</v>
      </c>
      <c r="O2666" s="24" t="str">
        <f t="shared" si="83"/>
        <v>Knox County, Texas</v>
      </c>
    </row>
    <row r="2667" spans="1:15" x14ac:dyDescent="0.25">
      <c r="A2667" s="35" t="s">
        <v>3142</v>
      </c>
      <c r="B2667" s="28" t="str">
        <f t="shared" si="82"/>
        <v>Lamar</v>
      </c>
      <c r="C2667" s="30">
        <v>49793</v>
      </c>
      <c r="D2667" s="30">
        <v>49791</v>
      </c>
      <c r="E2667" s="30">
        <v>49820</v>
      </c>
      <c r="F2667" s="30">
        <v>49861</v>
      </c>
      <c r="G2667" s="30">
        <v>49656</v>
      </c>
      <c r="H2667" s="30">
        <v>49092</v>
      </c>
      <c r="I2667" s="30">
        <v>49411</v>
      </c>
      <c r="J2667" s="30">
        <v>49373</v>
      </c>
      <c r="K2667" s="30">
        <v>49528</v>
      </c>
      <c r="L2667" s="30">
        <v>49568</v>
      </c>
      <c r="M2667" s="30">
        <v>49729</v>
      </c>
      <c r="N2667" s="30">
        <v>49859</v>
      </c>
      <c r="O2667" s="24" t="str">
        <f t="shared" si="83"/>
        <v>Lamar County, Texas</v>
      </c>
    </row>
    <row r="2668" spans="1:15" x14ac:dyDescent="0.25">
      <c r="A2668" s="35" t="s">
        <v>3143</v>
      </c>
      <c r="B2668" s="28" t="str">
        <f t="shared" si="82"/>
        <v>Lamb</v>
      </c>
      <c r="C2668" s="30">
        <v>13977</v>
      </c>
      <c r="D2668" s="30">
        <v>13976</v>
      </c>
      <c r="E2668" s="30">
        <v>13993</v>
      </c>
      <c r="F2668" s="30">
        <v>14059</v>
      </c>
      <c r="G2668" s="30">
        <v>13863</v>
      </c>
      <c r="H2668" s="30">
        <v>13663</v>
      </c>
      <c r="I2668" s="30">
        <v>13484</v>
      </c>
      <c r="J2668" s="30">
        <v>13259</v>
      </c>
      <c r="K2668" s="30">
        <v>13195</v>
      </c>
      <c r="L2668" s="30">
        <v>13165</v>
      </c>
      <c r="M2668" s="30">
        <v>13103</v>
      </c>
      <c r="N2668" s="30">
        <v>12893</v>
      </c>
      <c r="O2668" s="24" t="str">
        <f t="shared" si="83"/>
        <v>Lamb County, Texas</v>
      </c>
    </row>
    <row r="2669" spans="1:15" x14ac:dyDescent="0.25">
      <c r="A2669" s="35" t="s">
        <v>3144</v>
      </c>
      <c r="B2669" s="28" t="str">
        <f t="shared" si="82"/>
        <v>Lampasas</v>
      </c>
      <c r="C2669" s="30">
        <v>19677</v>
      </c>
      <c r="D2669" s="30">
        <v>19675</v>
      </c>
      <c r="E2669" s="30">
        <v>19762</v>
      </c>
      <c r="F2669" s="30">
        <v>19924</v>
      </c>
      <c r="G2669" s="30">
        <v>20054</v>
      </c>
      <c r="H2669" s="30">
        <v>20142</v>
      </c>
      <c r="I2669" s="30">
        <v>20106</v>
      </c>
      <c r="J2669" s="30">
        <v>20362</v>
      </c>
      <c r="K2669" s="30">
        <v>20524</v>
      </c>
      <c r="L2669" s="30">
        <v>20861</v>
      </c>
      <c r="M2669" s="30">
        <v>21134</v>
      </c>
      <c r="N2669" s="30">
        <v>21428</v>
      </c>
      <c r="O2669" s="24" t="str">
        <f t="shared" si="83"/>
        <v>Lampasas County, Texas</v>
      </c>
    </row>
    <row r="2670" spans="1:15" x14ac:dyDescent="0.25">
      <c r="A2670" s="35" t="s">
        <v>3145</v>
      </c>
      <c r="B2670" s="28" t="str">
        <f t="shared" si="82"/>
        <v>La Salle</v>
      </c>
      <c r="C2670" s="30">
        <v>6886</v>
      </c>
      <c r="D2670" s="30">
        <v>6886</v>
      </c>
      <c r="E2670" s="30">
        <v>6913</v>
      </c>
      <c r="F2670" s="30">
        <v>7002</v>
      </c>
      <c r="G2670" s="30">
        <v>7157</v>
      </c>
      <c r="H2670" s="30">
        <v>7444</v>
      </c>
      <c r="I2670" s="30">
        <v>7481</v>
      </c>
      <c r="J2670" s="30">
        <v>7637</v>
      </c>
      <c r="K2670" s="30">
        <v>7596</v>
      </c>
      <c r="L2670" s="30">
        <v>7530</v>
      </c>
      <c r="M2670" s="30">
        <v>7493</v>
      </c>
      <c r="N2670" s="30">
        <v>7520</v>
      </c>
      <c r="O2670" s="24" t="str">
        <f t="shared" si="83"/>
        <v>La Salle County, Texas</v>
      </c>
    </row>
    <row r="2671" spans="1:15" x14ac:dyDescent="0.25">
      <c r="A2671" s="35" t="s">
        <v>3146</v>
      </c>
      <c r="B2671" s="28" t="str">
        <f t="shared" si="82"/>
        <v>Lavaca</v>
      </c>
      <c r="C2671" s="30">
        <v>19263</v>
      </c>
      <c r="D2671" s="30">
        <v>19264</v>
      </c>
      <c r="E2671" s="30">
        <v>19256</v>
      </c>
      <c r="F2671" s="30">
        <v>19311</v>
      </c>
      <c r="G2671" s="30">
        <v>19528</v>
      </c>
      <c r="H2671" s="30">
        <v>19631</v>
      </c>
      <c r="I2671" s="30">
        <v>19779</v>
      </c>
      <c r="J2671" s="30">
        <v>19919</v>
      </c>
      <c r="K2671" s="30">
        <v>19891</v>
      </c>
      <c r="L2671" s="30">
        <v>20028</v>
      </c>
      <c r="M2671" s="30">
        <v>20114</v>
      </c>
      <c r="N2671" s="30">
        <v>20154</v>
      </c>
      <c r="O2671" s="24" t="str">
        <f t="shared" si="83"/>
        <v>Lavaca County, Texas</v>
      </c>
    </row>
    <row r="2672" spans="1:15" x14ac:dyDescent="0.25">
      <c r="A2672" s="35" t="s">
        <v>3147</v>
      </c>
      <c r="B2672" s="28" t="str">
        <f t="shared" si="82"/>
        <v>Lee</v>
      </c>
      <c r="C2672" s="30">
        <v>16612</v>
      </c>
      <c r="D2672" s="30">
        <v>16609</v>
      </c>
      <c r="E2672" s="30">
        <v>16591</v>
      </c>
      <c r="F2672" s="30">
        <v>16556</v>
      </c>
      <c r="G2672" s="30">
        <v>16505</v>
      </c>
      <c r="H2672" s="30">
        <v>16545</v>
      </c>
      <c r="I2672" s="30">
        <v>16621</v>
      </c>
      <c r="J2672" s="30">
        <v>16868</v>
      </c>
      <c r="K2672" s="30">
        <v>16975</v>
      </c>
      <c r="L2672" s="30">
        <v>17109</v>
      </c>
      <c r="M2672" s="30">
        <v>17097</v>
      </c>
      <c r="N2672" s="30">
        <v>17239</v>
      </c>
      <c r="O2672" s="24" t="str">
        <f t="shared" si="83"/>
        <v>Lee County, Texas</v>
      </c>
    </row>
    <row r="2673" spans="1:15" x14ac:dyDescent="0.25">
      <c r="A2673" s="35" t="s">
        <v>3148</v>
      </c>
      <c r="B2673" s="28" t="str">
        <f t="shared" si="82"/>
        <v>Leon</v>
      </c>
      <c r="C2673" s="30">
        <v>16801</v>
      </c>
      <c r="D2673" s="30">
        <v>16798</v>
      </c>
      <c r="E2673" s="30">
        <v>16723</v>
      </c>
      <c r="F2673" s="30">
        <v>16829</v>
      </c>
      <c r="G2673" s="30">
        <v>16741</v>
      </c>
      <c r="H2673" s="30">
        <v>16620</v>
      </c>
      <c r="I2673" s="30">
        <v>16730</v>
      </c>
      <c r="J2673" s="30">
        <v>17028</v>
      </c>
      <c r="K2673" s="30">
        <v>17200</v>
      </c>
      <c r="L2673" s="30">
        <v>17235</v>
      </c>
      <c r="M2673" s="30">
        <v>17260</v>
      </c>
      <c r="N2673" s="30">
        <v>17404</v>
      </c>
      <c r="O2673" s="24" t="str">
        <f t="shared" si="83"/>
        <v>Leon County, Texas</v>
      </c>
    </row>
    <row r="2674" spans="1:15" x14ac:dyDescent="0.25">
      <c r="A2674" s="35" t="s">
        <v>3149</v>
      </c>
      <c r="B2674" s="28" t="str">
        <f t="shared" si="82"/>
        <v>Liberty</v>
      </c>
      <c r="C2674" s="30">
        <v>75643</v>
      </c>
      <c r="D2674" s="30">
        <v>75643</v>
      </c>
      <c r="E2674" s="30">
        <v>75859</v>
      </c>
      <c r="F2674" s="30">
        <v>75990</v>
      </c>
      <c r="G2674" s="30">
        <v>76370</v>
      </c>
      <c r="H2674" s="30">
        <v>76849</v>
      </c>
      <c r="I2674" s="30">
        <v>78045</v>
      </c>
      <c r="J2674" s="30">
        <v>79537</v>
      </c>
      <c r="K2674" s="30">
        <v>81354</v>
      </c>
      <c r="L2674" s="30">
        <v>83597</v>
      </c>
      <c r="M2674" s="30">
        <v>85802</v>
      </c>
      <c r="N2674" s="30">
        <v>88219</v>
      </c>
      <c r="O2674" s="24" t="str">
        <f t="shared" si="83"/>
        <v>Liberty County, Texas</v>
      </c>
    </row>
    <row r="2675" spans="1:15" x14ac:dyDescent="0.25">
      <c r="A2675" s="35" t="s">
        <v>3150</v>
      </c>
      <c r="B2675" s="28" t="str">
        <f t="shared" si="82"/>
        <v>Limestone</v>
      </c>
      <c r="C2675" s="30">
        <v>23384</v>
      </c>
      <c r="D2675" s="30">
        <v>23388</v>
      </c>
      <c r="E2675" s="30">
        <v>23492</v>
      </c>
      <c r="F2675" s="30">
        <v>23591</v>
      </c>
      <c r="G2675" s="30">
        <v>23686</v>
      </c>
      <c r="H2675" s="30">
        <v>23440</v>
      </c>
      <c r="I2675" s="30">
        <v>23529</v>
      </c>
      <c r="J2675" s="30">
        <v>23442</v>
      </c>
      <c r="K2675" s="30">
        <v>23472</v>
      </c>
      <c r="L2675" s="30">
        <v>23391</v>
      </c>
      <c r="M2675" s="30">
        <v>23343</v>
      </c>
      <c r="N2675" s="30">
        <v>23437</v>
      </c>
      <c r="O2675" s="24" t="str">
        <f t="shared" si="83"/>
        <v>Limestone County, Texas</v>
      </c>
    </row>
    <row r="2676" spans="1:15" x14ac:dyDescent="0.25">
      <c r="A2676" s="35" t="s">
        <v>3151</v>
      </c>
      <c r="B2676" s="28" t="str">
        <f t="shared" si="82"/>
        <v>Lipscomb</v>
      </c>
      <c r="C2676" s="30">
        <v>3302</v>
      </c>
      <c r="D2676" s="30">
        <v>3302</v>
      </c>
      <c r="E2676" s="30">
        <v>3283</v>
      </c>
      <c r="F2676" s="30">
        <v>3334</v>
      </c>
      <c r="G2676" s="30">
        <v>3447</v>
      </c>
      <c r="H2676" s="30">
        <v>3490</v>
      </c>
      <c r="I2676" s="30">
        <v>3553</v>
      </c>
      <c r="J2676" s="30">
        <v>3559</v>
      </c>
      <c r="K2676" s="30">
        <v>3494</v>
      </c>
      <c r="L2676" s="30">
        <v>3364</v>
      </c>
      <c r="M2676" s="30">
        <v>3342</v>
      </c>
      <c r="N2676" s="30">
        <v>3233</v>
      </c>
      <c r="O2676" s="24" t="str">
        <f t="shared" si="83"/>
        <v>Lipscomb County, Texas</v>
      </c>
    </row>
    <row r="2677" spans="1:15" x14ac:dyDescent="0.25">
      <c r="A2677" s="35" t="s">
        <v>3152</v>
      </c>
      <c r="B2677" s="28" t="str">
        <f t="shared" si="82"/>
        <v>Live Oak</v>
      </c>
      <c r="C2677" s="30">
        <v>11531</v>
      </c>
      <c r="D2677" s="30">
        <v>11533</v>
      </c>
      <c r="E2677" s="30">
        <v>11556</v>
      </c>
      <c r="F2677" s="30">
        <v>11507</v>
      </c>
      <c r="G2677" s="30">
        <v>11655</v>
      </c>
      <c r="H2677" s="30">
        <v>11817</v>
      </c>
      <c r="I2677" s="30">
        <v>12057</v>
      </c>
      <c r="J2677" s="30">
        <v>12173</v>
      </c>
      <c r="K2677" s="30">
        <v>12023</v>
      </c>
      <c r="L2677" s="30">
        <v>12146</v>
      </c>
      <c r="M2677" s="30">
        <v>12148</v>
      </c>
      <c r="N2677" s="30">
        <v>12207</v>
      </c>
      <c r="O2677" s="24" t="str">
        <f t="shared" si="83"/>
        <v>Live Oak County, Texas</v>
      </c>
    </row>
    <row r="2678" spans="1:15" x14ac:dyDescent="0.25">
      <c r="A2678" s="35" t="s">
        <v>3153</v>
      </c>
      <c r="B2678" s="28" t="str">
        <f t="shared" si="82"/>
        <v>Llano</v>
      </c>
      <c r="C2678" s="30">
        <v>19301</v>
      </c>
      <c r="D2678" s="30">
        <v>19303</v>
      </c>
      <c r="E2678" s="30">
        <v>19336</v>
      </c>
      <c r="F2678" s="30">
        <v>19073</v>
      </c>
      <c r="G2678" s="30">
        <v>19266</v>
      </c>
      <c r="H2678" s="30">
        <v>19509</v>
      </c>
      <c r="I2678" s="30">
        <v>19666</v>
      </c>
      <c r="J2678" s="30">
        <v>20081</v>
      </c>
      <c r="K2678" s="30">
        <v>20592</v>
      </c>
      <c r="L2678" s="30">
        <v>21167</v>
      </c>
      <c r="M2678" s="30">
        <v>21600</v>
      </c>
      <c r="N2678" s="30">
        <v>21795</v>
      </c>
      <c r="O2678" s="24" t="str">
        <f t="shared" si="83"/>
        <v>Llano County, Texas</v>
      </c>
    </row>
    <row r="2679" spans="1:15" x14ac:dyDescent="0.25">
      <c r="A2679" s="35" t="s">
        <v>3154</v>
      </c>
      <c r="B2679" s="28" t="str">
        <f t="shared" si="82"/>
        <v>Loving</v>
      </c>
      <c r="C2679" s="30">
        <v>82</v>
      </c>
      <c r="D2679" s="30">
        <v>82</v>
      </c>
      <c r="E2679" s="30">
        <v>84</v>
      </c>
      <c r="F2679" s="30">
        <v>95</v>
      </c>
      <c r="G2679" s="30">
        <v>86</v>
      </c>
      <c r="H2679" s="30">
        <v>106</v>
      </c>
      <c r="I2679" s="30">
        <v>89</v>
      </c>
      <c r="J2679" s="30">
        <v>119</v>
      </c>
      <c r="K2679" s="30">
        <v>117</v>
      </c>
      <c r="L2679" s="30">
        <v>133</v>
      </c>
      <c r="M2679" s="30">
        <v>148</v>
      </c>
      <c r="N2679" s="30">
        <v>169</v>
      </c>
      <c r="O2679" s="24" t="str">
        <f t="shared" si="83"/>
        <v>Loving County, Texas</v>
      </c>
    </row>
    <row r="2680" spans="1:15" x14ac:dyDescent="0.25">
      <c r="A2680" s="35" t="s">
        <v>3155</v>
      </c>
      <c r="B2680" s="28" t="str">
        <f t="shared" si="82"/>
        <v>Lubbock</v>
      </c>
      <c r="C2680" s="30">
        <v>278831</v>
      </c>
      <c r="D2680" s="30">
        <v>278918</v>
      </c>
      <c r="E2680" s="30">
        <v>280301</v>
      </c>
      <c r="F2680" s="30">
        <v>283408</v>
      </c>
      <c r="G2680" s="30">
        <v>285961</v>
      </c>
      <c r="H2680" s="30">
        <v>289515</v>
      </c>
      <c r="I2680" s="30">
        <v>294433</v>
      </c>
      <c r="J2680" s="30">
        <v>298337</v>
      </c>
      <c r="K2680" s="30">
        <v>302094</v>
      </c>
      <c r="L2680" s="30">
        <v>305413</v>
      </c>
      <c r="M2680" s="30">
        <v>307627</v>
      </c>
      <c r="N2680" s="30">
        <v>310569</v>
      </c>
      <c r="O2680" s="24" t="str">
        <f t="shared" si="83"/>
        <v>Lubbock County, Texas</v>
      </c>
    </row>
    <row r="2681" spans="1:15" x14ac:dyDescent="0.25">
      <c r="A2681" s="35" t="s">
        <v>3156</v>
      </c>
      <c r="B2681" s="28" t="str">
        <f t="shared" si="82"/>
        <v>Lynn</v>
      </c>
      <c r="C2681" s="30">
        <v>5915</v>
      </c>
      <c r="D2681" s="30">
        <v>5915</v>
      </c>
      <c r="E2681" s="30">
        <v>5914</v>
      </c>
      <c r="F2681" s="30">
        <v>5886</v>
      </c>
      <c r="G2681" s="30">
        <v>5796</v>
      </c>
      <c r="H2681" s="30">
        <v>5728</v>
      </c>
      <c r="I2681" s="30">
        <v>5798</v>
      </c>
      <c r="J2681" s="30">
        <v>5746</v>
      </c>
      <c r="K2681" s="30">
        <v>5775</v>
      </c>
      <c r="L2681" s="30">
        <v>5832</v>
      </c>
      <c r="M2681" s="30">
        <v>5848</v>
      </c>
      <c r="N2681" s="30">
        <v>5951</v>
      </c>
      <c r="O2681" s="24" t="str">
        <f t="shared" si="83"/>
        <v>Lynn County, Texas</v>
      </c>
    </row>
    <row r="2682" spans="1:15" x14ac:dyDescent="0.25">
      <c r="A2682" s="35" t="s">
        <v>3157</v>
      </c>
      <c r="B2682" s="28" t="str">
        <f t="shared" si="82"/>
        <v>McCulloch</v>
      </c>
      <c r="C2682" s="30">
        <v>8283</v>
      </c>
      <c r="D2682" s="30">
        <v>8284</v>
      </c>
      <c r="E2682" s="30">
        <v>8231</v>
      </c>
      <c r="F2682" s="30">
        <v>8254</v>
      </c>
      <c r="G2682" s="30">
        <v>8241</v>
      </c>
      <c r="H2682" s="30">
        <v>8243</v>
      </c>
      <c r="I2682" s="30">
        <v>8152</v>
      </c>
      <c r="J2682" s="30">
        <v>8255</v>
      </c>
      <c r="K2682" s="30">
        <v>8124</v>
      </c>
      <c r="L2682" s="30">
        <v>7941</v>
      </c>
      <c r="M2682" s="30">
        <v>7982</v>
      </c>
      <c r="N2682" s="30">
        <v>7984</v>
      </c>
      <c r="O2682" s="24" t="str">
        <f t="shared" si="83"/>
        <v>McCulloch County, Texas</v>
      </c>
    </row>
    <row r="2683" spans="1:15" x14ac:dyDescent="0.25">
      <c r="A2683" s="35" t="s">
        <v>3158</v>
      </c>
      <c r="B2683" s="28" t="str">
        <f t="shared" si="82"/>
        <v>McLennan</v>
      </c>
      <c r="C2683" s="30">
        <v>234906</v>
      </c>
      <c r="D2683" s="30">
        <v>234903</v>
      </c>
      <c r="E2683" s="30">
        <v>235917</v>
      </c>
      <c r="F2683" s="30">
        <v>237852</v>
      </c>
      <c r="G2683" s="30">
        <v>239368</v>
      </c>
      <c r="H2683" s="30">
        <v>241443</v>
      </c>
      <c r="I2683" s="30">
        <v>243166</v>
      </c>
      <c r="J2683" s="30">
        <v>245444</v>
      </c>
      <c r="K2683" s="30">
        <v>247553</v>
      </c>
      <c r="L2683" s="30">
        <v>251631</v>
      </c>
      <c r="M2683" s="30">
        <v>254196</v>
      </c>
      <c r="N2683" s="30">
        <v>256623</v>
      </c>
      <c r="O2683" s="24" t="str">
        <f t="shared" si="83"/>
        <v>McLennan County, Texas</v>
      </c>
    </row>
    <row r="2684" spans="1:15" x14ac:dyDescent="0.25">
      <c r="A2684" s="35" t="s">
        <v>3159</v>
      </c>
      <c r="B2684" s="28" t="str">
        <f t="shared" si="82"/>
        <v>McMullen</v>
      </c>
      <c r="C2684" s="30">
        <v>707</v>
      </c>
      <c r="D2684" s="30">
        <v>707</v>
      </c>
      <c r="E2684" s="30">
        <v>711</v>
      </c>
      <c r="F2684" s="30">
        <v>697</v>
      </c>
      <c r="G2684" s="30">
        <v>730</v>
      </c>
      <c r="H2684" s="30">
        <v>760</v>
      </c>
      <c r="I2684" s="30">
        <v>799</v>
      </c>
      <c r="J2684" s="30">
        <v>828</v>
      </c>
      <c r="K2684" s="30">
        <v>806</v>
      </c>
      <c r="L2684" s="30">
        <v>765</v>
      </c>
      <c r="M2684" s="30">
        <v>731</v>
      </c>
      <c r="N2684" s="30">
        <v>743</v>
      </c>
      <c r="O2684" s="24" t="str">
        <f t="shared" si="83"/>
        <v>McMullen County, Texas</v>
      </c>
    </row>
    <row r="2685" spans="1:15" x14ac:dyDescent="0.25">
      <c r="A2685" s="35" t="s">
        <v>3160</v>
      </c>
      <c r="B2685" s="28" t="str">
        <f t="shared" si="82"/>
        <v>Madison</v>
      </c>
      <c r="C2685" s="30">
        <v>13664</v>
      </c>
      <c r="D2685" s="30">
        <v>13670</v>
      </c>
      <c r="E2685" s="30">
        <v>13739</v>
      </c>
      <c r="F2685" s="30">
        <v>13753</v>
      </c>
      <c r="G2685" s="30">
        <v>13746</v>
      </c>
      <c r="H2685" s="30">
        <v>13820</v>
      </c>
      <c r="I2685" s="30">
        <v>13871</v>
      </c>
      <c r="J2685" s="30">
        <v>13968</v>
      </c>
      <c r="K2685" s="30">
        <v>14120</v>
      </c>
      <c r="L2685" s="30">
        <v>14251</v>
      </c>
      <c r="M2685" s="30">
        <v>14363</v>
      </c>
      <c r="N2685" s="30">
        <v>14284</v>
      </c>
      <c r="O2685" s="24" t="str">
        <f t="shared" si="83"/>
        <v>Madison County, Texas</v>
      </c>
    </row>
    <row r="2686" spans="1:15" x14ac:dyDescent="0.25">
      <c r="A2686" s="35" t="s">
        <v>3161</v>
      </c>
      <c r="B2686" s="28" t="str">
        <f t="shared" si="82"/>
        <v>Marion</v>
      </c>
      <c r="C2686" s="30">
        <v>10546</v>
      </c>
      <c r="D2686" s="30">
        <v>10535</v>
      </c>
      <c r="E2686" s="30">
        <v>10485</v>
      </c>
      <c r="F2686" s="30">
        <v>10475</v>
      </c>
      <c r="G2686" s="30">
        <v>10374</v>
      </c>
      <c r="H2686" s="30">
        <v>10277</v>
      </c>
      <c r="I2686" s="30">
        <v>10149</v>
      </c>
      <c r="J2686" s="30">
        <v>10136</v>
      </c>
      <c r="K2686" s="30">
        <v>10125</v>
      </c>
      <c r="L2686" s="30">
        <v>10057</v>
      </c>
      <c r="M2686" s="30">
        <v>9915</v>
      </c>
      <c r="N2686" s="30">
        <v>9854</v>
      </c>
      <c r="O2686" s="24" t="str">
        <f t="shared" si="83"/>
        <v>Marion County, Texas</v>
      </c>
    </row>
    <row r="2687" spans="1:15" x14ac:dyDescent="0.25">
      <c r="A2687" s="35" t="s">
        <v>3162</v>
      </c>
      <c r="B2687" s="28" t="str">
        <f t="shared" si="82"/>
        <v>Martin</v>
      </c>
      <c r="C2687" s="30">
        <v>4799</v>
      </c>
      <c r="D2687" s="30">
        <v>4799</v>
      </c>
      <c r="E2687" s="30">
        <v>4809</v>
      </c>
      <c r="F2687" s="30">
        <v>4884</v>
      </c>
      <c r="G2687" s="30">
        <v>4980</v>
      </c>
      <c r="H2687" s="30">
        <v>5272</v>
      </c>
      <c r="I2687" s="30">
        <v>5462</v>
      </c>
      <c r="J2687" s="30">
        <v>5646</v>
      </c>
      <c r="K2687" s="30">
        <v>5616</v>
      </c>
      <c r="L2687" s="30">
        <v>5531</v>
      </c>
      <c r="M2687" s="30">
        <v>5681</v>
      </c>
      <c r="N2687" s="30">
        <v>5771</v>
      </c>
      <c r="O2687" s="24" t="str">
        <f t="shared" si="83"/>
        <v>Martin County, Texas</v>
      </c>
    </row>
    <row r="2688" spans="1:15" x14ac:dyDescent="0.25">
      <c r="A2688" s="35" t="s">
        <v>3163</v>
      </c>
      <c r="B2688" s="28" t="str">
        <f t="shared" si="82"/>
        <v>Mason</v>
      </c>
      <c r="C2688" s="30">
        <v>4012</v>
      </c>
      <c r="D2688" s="30">
        <v>4013</v>
      </c>
      <c r="E2688" s="30">
        <v>4010</v>
      </c>
      <c r="F2688" s="30">
        <v>4033</v>
      </c>
      <c r="G2688" s="30">
        <v>4056</v>
      </c>
      <c r="H2688" s="30">
        <v>4120</v>
      </c>
      <c r="I2688" s="30">
        <v>4095</v>
      </c>
      <c r="J2688" s="30">
        <v>4057</v>
      </c>
      <c r="K2688" s="30">
        <v>4161</v>
      </c>
      <c r="L2688" s="30">
        <v>4179</v>
      </c>
      <c r="M2688" s="30">
        <v>4259</v>
      </c>
      <c r="N2688" s="30">
        <v>4274</v>
      </c>
      <c r="O2688" s="24" t="str">
        <f t="shared" si="83"/>
        <v>Mason County, Texas</v>
      </c>
    </row>
    <row r="2689" spans="1:15" x14ac:dyDescent="0.25">
      <c r="A2689" s="35" t="s">
        <v>3164</v>
      </c>
      <c r="B2689" s="28" t="str">
        <f t="shared" si="82"/>
        <v>Matagorda</v>
      </c>
      <c r="C2689" s="30">
        <v>36702</v>
      </c>
      <c r="D2689" s="30">
        <v>36702</v>
      </c>
      <c r="E2689" s="30">
        <v>36709</v>
      </c>
      <c r="F2689" s="30">
        <v>36681</v>
      </c>
      <c r="G2689" s="30">
        <v>36544</v>
      </c>
      <c r="H2689" s="30">
        <v>36500</v>
      </c>
      <c r="I2689" s="30">
        <v>36478</v>
      </c>
      <c r="J2689" s="30">
        <v>36766</v>
      </c>
      <c r="K2689" s="30">
        <v>37088</v>
      </c>
      <c r="L2689" s="30">
        <v>36805</v>
      </c>
      <c r="M2689" s="30">
        <v>36566</v>
      </c>
      <c r="N2689" s="30">
        <v>36643</v>
      </c>
      <c r="O2689" s="24" t="str">
        <f t="shared" si="83"/>
        <v>Matagorda County, Texas</v>
      </c>
    </row>
    <row r="2690" spans="1:15" x14ac:dyDescent="0.25">
      <c r="A2690" s="35" t="s">
        <v>3165</v>
      </c>
      <c r="B2690" s="28" t="str">
        <f t="shared" si="82"/>
        <v>Maverick</v>
      </c>
      <c r="C2690" s="30">
        <v>54258</v>
      </c>
      <c r="D2690" s="30">
        <v>54258</v>
      </c>
      <c r="E2690" s="30">
        <v>54432</v>
      </c>
      <c r="F2690" s="30">
        <v>55260</v>
      </c>
      <c r="G2690" s="30">
        <v>55765</v>
      </c>
      <c r="H2690" s="30">
        <v>56532</v>
      </c>
      <c r="I2690" s="30">
        <v>57115</v>
      </c>
      <c r="J2690" s="30">
        <v>57720</v>
      </c>
      <c r="K2690" s="30">
        <v>58041</v>
      </c>
      <c r="L2690" s="30">
        <v>58111</v>
      </c>
      <c r="M2690" s="30">
        <v>58276</v>
      </c>
      <c r="N2690" s="30">
        <v>58722</v>
      </c>
      <c r="O2690" s="24" t="str">
        <f t="shared" si="83"/>
        <v>Maverick County, Texas</v>
      </c>
    </row>
    <row r="2691" spans="1:15" x14ac:dyDescent="0.25">
      <c r="A2691" s="35" t="s">
        <v>3166</v>
      </c>
      <c r="B2691" s="28" t="str">
        <f t="shared" si="82"/>
        <v>Medina</v>
      </c>
      <c r="C2691" s="30">
        <v>46006</v>
      </c>
      <c r="D2691" s="30">
        <v>45993</v>
      </c>
      <c r="E2691" s="30">
        <v>46114</v>
      </c>
      <c r="F2691" s="30">
        <v>46507</v>
      </c>
      <c r="G2691" s="30">
        <v>46796</v>
      </c>
      <c r="H2691" s="30">
        <v>47238</v>
      </c>
      <c r="I2691" s="30">
        <v>47830</v>
      </c>
      <c r="J2691" s="30">
        <v>48402</v>
      </c>
      <c r="K2691" s="30">
        <v>49254</v>
      </c>
      <c r="L2691" s="30">
        <v>50183</v>
      </c>
      <c r="M2691" s="30">
        <v>50862</v>
      </c>
      <c r="N2691" s="30">
        <v>51584</v>
      </c>
      <c r="O2691" s="24" t="str">
        <f t="shared" si="83"/>
        <v>Medina County, Texas</v>
      </c>
    </row>
    <row r="2692" spans="1:15" x14ac:dyDescent="0.25">
      <c r="A2692" s="35" t="s">
        <v>3167</v>
      </c>
      <c r="B2692" s="28" t="str">
        <f t="shared" si="82"/>
        <v>Menard</v>
      </c>
      <c r="C2692" s="30">
        <v>2242</v>
      </c>
      <c r="D2692" s="30">
        <v>2242</v>
      </c>
      <c r="E2692" s="30">
        <v>2230</v>
      </c>
      <c r="F2692" s="30">
        <v>2214</v>
      </c>
      <c r="G2692" s="30">
        <v>2204</v>
      </c>
      <c r="H2692" s="30">
        <v>2137</v>
      </c>
      <c r="I2692" s="30">
        <v>2128</v>
      </c>
      <c r="J2692" s="30">
        <v>2134</v>
      </c>
      <c r="K2692" s="30">
        <v>2091</v>
      </c>
      <c r="L2692" s="30">
        <v>2110</v>
      </c>
      <c r="M2692" s="30">
        <v>2120</v>
      </c>
      <c r="N2692" s="30">
        <v>2138</v>
      </c>
      <c r="O2692" s="24" t="str">
        <f t="shared" si="83"/>
        <v>Menard County, Texas</v>
      </c>
    </row>
    <row r="2693" spans="1:15" x14ac:dyDescent="0.25">
      <c r="A2693" s="35" t="s">
        <v>3168</v>
      </c>
      <c r="B2693" s="28" t="str">
        <f t="shared" si="82"/>
        <v>Midland</v>
      </c>
      <c r="C2693" s="30">
        <v>136872</v>
      </c>
      <c r="D2693" s="30">
        <v>136872</v>
      </c>
      <c r="E2693" s="30">
        <v>136974</v>
      </c>
      <c r="F2693" s="30">
        <v>140224</v>
      </c>
      <c r="G2693" s="30">
        <v>147332</v>
      </c>
      <c r="H2693" s="30">
        <v>152356</v>
      </c>
      <c r="I2693" s="30">
        <v>156725</v>
      </c>
      <c r="J2693" s="30">
        <v>162328</v>
      </c>
      <c r="K2693" s="30">
        <v>163850</v>
      </c>
      <c r="L2693" s="30">
        <v>165318</v>
      </c>
      <c r="M2693" s="30">
        <v>172505</v>
      </c>
      <c r="N2693" s="30">
        <v>176832</v>
      </c>
      <c r="O2693" s="24" t="str">
        <f t="shared" si="83"/>
        <v>Midland County, Texas</v>
      </c>
    </row>
    <row r="2694" spans="1:15" x14ac:dyDescent="0.25">
      <c r="A2694" s="35" t="s">
        <v>3169</v>
      </c>
      <c r="B2694" s="28" t="str">
        <f t="shared" si="82"/>
        <v>Milam</v>
      </c>
      <c r="C2694" s="30">
        <v>24757</v>
      </c>
      <c r="D2694" s="30">
        <v>24759</v>
      </c>
      <c r="E2694" s="30">
        <v>24681</v>
      </c>
      <c r="F2694" s="30">
        <v>24607</v>
      </c>
      <c r="G2694" s="30">
        <v>24114</v>
      </c>
      <c r="H2694" s="30">
        <v>24090</v>
      </c>
      <c r="I2694" s="30">
        <v>24143</v>
      </c>
      <c r="J2694" s="30">
        <v>24362</v>
      </c>
      <c r="K2694" s="30">
        <v>24680</v>
      </c>
      <c r="L2694" s="30">
        <v>24939</v>
      </c>
      <c r="M2694" s="30">
        <v>25045</v>
      </c>
      <c r="N2694" s="30">
        <v>24823</v>
      </c>
      <c r="O2694" s="24" t="str">
        <f t="shared" si="83"/>
        <v>Milam County, Texas</v>
      </c>
    </row>
    <row r="2695" spans="1:15" x14ac:dyDescent="0.25">
      <c r="A2695" s="35" t="s">
        <v>3170</v>
      </c>
      <c r="B2695" s="28" t="str">
        <f t="shared" ref="B2695:B2758" si="84">LEFT(A2695,FIND("County",A2695,1)-2)</f>
        <v>Mills</v>
      </c>
      <c r="C2695" s="30">
        <v>4936</v>
      </c>
      <c r="D2695" s="30">
        <v>4941</v>
      </c>
      <c r="E2695" s="30">
        <v>4968</v>
      </c>
      <c r="F2695" s="30">
        <v>4883</v>
      </c>
      <c r="G2695" s="30">
        <v>4832</v>
      </c>
      <c r="H2695" s="30">
        <v>4872</v>
      </c>
      <c r="I2695" s="30">
        <v>4872</v>
      </c>
      <c r="J2695" s="30">
        <v>4889</v>
      </c>
      <c r="K2695" s="30">
        <v>4884</v>
      </c>
      <c r="L2695" s="30">
        <v>4917</v>
      </c>
      <c r="M2695" s="30">
        <v>4883</v>
      </c>
      <c r="N2695" s="30">
        <v>4873</v>
      </c>
      <c r="O2695" s="24" t="str">
        <f t="shared" ref="O2695:O2758" si="85">A2695</f>
        <v>Mills County, Texas</v>
      </c>
    </row>
    <row r="2696" spans="1:15" x14ac:dyDescent="0.25">
      <c r="A2696" s="35" t="s">
        <v>3171</v>
      </c>
      <c r="B2696" s="28" t="str">
        <f t="shared" si="84"/>
        <v>Mitchell</v>
      </c>
      <c r="C2696" s="30">
        <v>9403</v>
      </c>
      <c r="D2696" s="30">
        <v>9403</v>
      </c>
      <c r="E2696" s="30">
        <v>9412</v>
      </c>
      <c r="F2696" s="30">
        <v>9396</v>
      </c>
      <c r="G2696" s="30">
        <v>9329</v>
      </c>
      <c r="H2696" s="30">
        <v>8999</v>
      </c>
      <c r="I2696" s="30">
        <v>9070</v>
      </c>
      <c r="J2696" s="30">
        <v>8856</v>
      </c>
      <c r="K2696" s="30">
        <v>8474</v>
      </c>
      <c r="L2696" s="30">
        <v>8215</v>
      </c>
      <c r="M2696" s="30">
        <v>8525</v>
      </c>
      <c r="N2696" s="30">
        <v>8545</v>
      </c>
      <c r="O2696" s="24" t="str">
        <f t="shared" si="85"/>
        <v>Mitchell County, Texas</v>
      </c>
    </row>
    <row r="2697" spans="1:15" x14ac:dyDescent="0.25">
      <c r="A2697" s="35" t="s">
        <v>3172</v>
      </c>
      <c r="B2697" s="28" t="str">
        <f t="shared" si="84"/>
        <v>Montague</v>
      </c>
      <c r="C2697" s="30">
        <v>19719</v>
      </c>
      <c r="D2697" s="30">
        <v>19720</v>
      </c>
      <c r="E2697" s="30">
        <v>19718</v>
      </c>
      <c r="F2697" s="30">
        <v>19759</v>
      </c>
      <c r="G2697" s="30">
        <v>19477</v>
      </c>
      <c r="H2697" s="30">
        <v>19387</v>
      </c>
      <c r="I2697" s="30">
        <v>19365</v>
      </c>
      <c r="J2697" s="30">
        <v>19252</v>
      </c>
      <c r="K2697" s="30">
        <v>19390</v>
      </c>
      <c r="L2697" s="30">
        <v>19399</v>
      </c>
      <c r="M2697" s="30">
        <v>19584</v>
      </c>
      <c r="N2697" s="30">
        <v>19818</v>
      </c>
      <c r="O2697" s="24" t="str">
        <f t="shared" si="85"/>
        <v>Montague County, Texas</v>
      </c>
    </row>
    <row r="2698" spans="1:15" x14ac:dyDescent="0.25">
      <c r="A2698" s="35" t="s">
        <v>3173</v>
      </c>
      <c r="B2698" s="28" t="str">
        <f t="shared" si="84"/>
        <v>Montgomery</v>
      </c>
      <c r="C2698" s="30">
        <v>455746</v>
      </c>
      <c r="D2698" s="30">
        <v>455747</v>
      </c>
      <c r="E2698" s="30">
        <v>459208</v>
      </c>
      <c r="F2698" s="30">
        <v>471415</v>
      </c>
      <c r="G2698" s="30">
        <v>484565</v>
      </c>
      <c r="H2698" s="30">
        <v>498392</v>
      </c>
      <c r="I2698" s="30">
        <v>517146</v>
      </c>
      <c r="J2698" s="30">
        <v>535753</v>
      </c>
      <c r="K2698" s="30">
        <v>555216</v>
      </c>
      <c r="L2698" s="30">
        <v>571615</v>
      </c>
      <c r="M2698" s="30">
        <v>589770</v>
      </c>
      <c r="N2698" s="30">
        <v>607391</v>
      </c>
      <c r="O2698" s="24" t="str">
        <f t="shared" si="85"/>
        <v>Montgomery County, Texas</v>
      </c>
    </row>
    <row r="2699" spans="1:15" x14ac:dyDescent="0.25">
      <c r="A2699" s="35" t="s">
        <v>3174</v>
      </c>
      <c r="B2699" s="28" t="str">
        <f t="shared" si="84"/>
        <v>Moore</v>
      </c>
      <c r="C2699" s="30">
        <v>21904</v>
      </c>
      <c r="D2699" s="30">
        <v>21904</v>
      </c>
      <c r="E2699" s="30">
        <v>22005</v>
      </c>
      <c r="F2699" s="30">
        <v>22070</v>
      </c>
      <c r="G2699" s="30">
        <v>22430</v>
      </c>
      <c r="H2699" s="30">
        <v>22146</v>
      </c>
      <c r="I2699" s="30">
        <v>21986</v>
      </c>
      <c r="J2699" s="30">
        <v>21725</v>
      </c>
      <c r="K2699" s="30">
        <v>21641</v>
      </c>
      <c r="L2699" s="30">
        <v>21604</v>
      </c>
      <c r="M2699" s="30">
        <v>21083</v>
      </c>
      <c r="N2699" s="30">
        <v>20940</v>
      </c>
      <c r="O2699" s="24" t="str">
        <f t="shared" si="85"/>
        <v>Moore County, Texas</v>
      </c>
    </row>
    <row r="2700" spans="1:15" x14ac:dyDescent="0.25">
      <c r="A2700" s="35" t="s">
        <v>3175</v>
      </c>
      <c r="B2700" s="28" t="str">
        <f t="shared" si="84"/>
        <v>Morris</v>
      </c>
      <c r="C2700" s="30">
        <v>12934</v>
      </c>
      <c r="D2700" s="30">
        <v>12934</v>
      </c>
      <c r="E2700" s="30">
        <v>12919</v>
      </c>
      <c r="F2700" s="30">
        <v>12770</v>
      </c>
      <c r="G2700" s="30">
        <v>12703</v>
      </c>
      <c r="H2700" s="30">
        <v>12680</v>
      </c>
      <c r="I2700" s="30">
        <v>12606</v>
      </c>
      <c r="J2700" s="30">
        <v>12370</v>
      </c>
      <c r="K2700" s="30">
        <v>12429</v>
      </c>
      <c r="L2700" s="30">
        <v>12375</v>
      </c>
      <c r="M2700" s="30">
        <v>12303</v>
      </c>
      <c r="N2700" s="30">
        <v>12388</v>
      </c>
      <c r="O2700" s="24" t="str">
        <f t="shared" si="85"/>
        <v>Morris County, Texas</v>
      </c>
    </row>
    <row r="2701" spans="1:15" x14ac:dyDescent="0.25">
      <c r="A2701" s="35" t="s">
        <v>3176</v>
      </c>
      <c r="B2701" s="28" t="str">
        <f t="shared" si="84"/>
        <v>Motley</v>
      </c>
      <c r="C2701" s="30">
        <v>1210</v>
      </c>
      <c r="D2701" s="30">
        <v>1205</v>
      </c>
      <c r="E2701" s="30">
        <v>1205</v>
      </c>
      <c r="F2701" s="30">
        <v>1200</v>
      </c>
      <c r="G2701" s="30">
        <v>1197</v>
      </c>
      <c r="H2701" s="30">
        <v>1192</v>
      </c>
      <c r="I2701" s="30">
        <v>1149</v>
      </c>
      <c r="J2701" s="30">
        <v>1146</v>
      </c>
      <c r="K2701" s="30">
        <v>1170</v>
      </c>
      <c r="L2701" s="30">
        <v>1226</v>
      </c>
      <c r="M2701" s="30">
        <v>1232</v>
      </c>
      <c r="N2701" s="30">
        <v>1200</v>
      </c>
      <c r="O2701" s="24" t="str">
        <f t="shared" si="85"/>
        <v>Motley County, Texas</v>
      </c>
    </row>
    <row r="2702" spans="1:15" x14ac:dyDescent="0.25">
      <c r="A2702" s="35" t="s">
        <v>3177</v>
      </c>
      <c r="B2702" s="28" t="str">
        <f t="shared" si="84"/>
        <v>Nacogdoches</v>
      </c>
      <c r="C2702" s="30">
        <v>64524</v>
      </c>
      <c r="D2702" s="30">
        <v>64524</v>
      </c>
      <c r="E2702" s="30">
        <v>64685</v>
      </c>
      <c r="F2702" s="30">
        <v>65655</v>
      </c>
      <c r="G2702" s="30">
        <v>65866</v>
      </c>
      <c r="H2702" s="30">
        <v>65193</v>
      </c>
      <c r="I2702" s="30">
        <v>65240</v>
      </c>
      <c r="J2702" s="30">
        <v>65462</v>
      </c>
      <c r="K2702" s="30">
        <v>65549</v>
      </c>
      <c r="L2702" s="30">
        <v>65317</v>
      </c>
      <c r="M2702" s="30">
        <v>65161</v>
      </c>
      <c r="N2702" s="30">
        <v>65204</v>
      </c>
      <c r="O2702" s="24" t="str">
        <f t="shared" si="85"/>
        <v>Nacogdoches County, Texas</v>
      </c>
    </row>
    <row r="2703" spans="1:15" x14ac:dyDescent="0.25">
      <c r="A2703" s="35" t="s">
        <v>3178</v>
      </c>
      <c r="B2703" s="28" t="str">
        <f t="shared" si="84"/>
        <v>Navarro</v>
      </c>
      <c r="C2703" s="30">
        <v>47735</v>
      </c>
      <c r="D2703" s="30">
        <v>47840</v>
      </c>
      <c r="E2703" s="30">
        <v>47869</v>
      </c>
      <c r="F2703" s="30">
        <v>48074</v>
      </c>
      <c r="G2703" s="30">
        <v>48163</v>
      </c>
      <c r="H2703" s="30">
        <v>48036</v>
      </c>
      <c r="I2703" s="30">
        <v>47913</v>
      </c>
      <c r="J2703" s="30">
        <v>48181</v>
      </c>
      <c r="K2703" s="30">
        <v>48405</v>
      </c>
      <c r="L2703" s="30">
        <v>48739</v>
      </c>
      <c r="M2703" s="30">
        <v>49536</v>
      </c>
      <c r="N2703" s="30">
        <v>50113</v>
      </c>
      <c r="O2703" s="24" t="str">
        <f t="shared" si="85"/>
        <v>Navarro County, Texas</v>
      </c>
    </row>
    <row r="2704" spans="1:15" x14ac:dyDescent="0.25">
      <c r="A2704" s="35" t="s">
        <v>3179</v>
      </c>
      <c r="B2704" s="28" t="str">
        <f t="shared" si="84"/>
        <v>Newton</v>
      </c>
      <c r="C2704" s="30">
        <v>14445</v>
      </c>
      <c r="D2704" s="30">
        <v>14445</v>
      </c>
      <c r="E2704" s="30">
        <v>14448</v>
      </c>
      <c r="F2704" s="30">
        <v>14563</v>
      </c>
      <c r="G2704" s="30">
        <v>14434</v>
      </c>
      <c r="H2704" s="30">
        <v>14341</v>
      </c>
      <c r="I2704" s="30">
        <v>14292</v>
      </c>
      <c r="J2704" s="30">
        <v>14158</v>
      </c>
      <c r="K2704" s="30">
        <v>14160</v>
      </c>
      <c r="L2704" s="30">
        <v>13908</v>
      </c>
      <c r="M2704" s="30">
        <v>13751</v>
      </c>
      <c r="N2704" s="30">
        <v>13595</v>
      </c>
      <c r="O2704" s="24" t="str">
        <f t="shared" si="85"/>
        <v>Newton County, Texas</v>
      </c>
    </row>
    <row r="2705" spans="1:15" x14ac:dyDescent="0.25">
      <c r="A2705" s="35" t="s">
        <v>3180</v>
      </c>
      <c r="B2705" s="28" t="str">
        <f t="shared" si="84"/>
        <v>Nolan</v>
      </c>
      <c r="C2705" s="30">
        <v>15216</v>
      </c>
      <c r="D2705" s="30">
        <v>15213</v>
      </c>
      <c r="E2705" s="30">
        <v>15244</v>
      </c>
      <c r="F2705" s="30">
        <v>15143</v>
      </c>
      <c r="G2705" s="30">
        <v>14932</v>
      </c>
      <c r="H2705" s="30">
        <v>15068</v>
      </c>
      <c r="I2705" s="30">
        <v>15126</v>
      </c>
      <c r="J2705" s="30">
        <v>15111</v>
      </c>
      <c r="K2705" s="30">
        <v>15044</v>
      </c>
      <c r="L2705" s="30">
        <v>14854</v>
      </c>
      <c r="M2705" s="30">
        <v>14799</v>
      </c>
      <c r="N2705" s="30">
        <v>14714</v>
      </c>
      <c r="O2705" s="24" t="str">
        <f t="shared" si="85"/>
        <v>Nolan County, Texas</v>
      </c>
    </row>
    <row r="2706" spans="1:15" x14ac:dyDescent="0.25">
      <c r="A2706" s="35" t="s">
        <v>3181</v>
      </c>
      <c r="B2706" s="28" t="str">
        <f t="shared" si="84"/>
        <v>Nueces</v>
      </c>
      <c r="C2706" s="30">
        <v>340223</v>
      </c>
      <c r="D2706" s="30">
        <v>340223</v>
      </c>
      <c r="E2706" s="30">
        <v>340245</v>
      </c>
      <c r="F2706" s="30">
        <v>343263</v>
      </c>
      <c r="G2706" s="30">
        <v>347939</v>
      </c>
      <c r="H2706" s="30">
        <v>352946</v>
      </c>
      <c r="I2706" s="30">
        <v>356657</v>
      </c>
      <c r="J2706" s="30">
        <v>360504</v>
      </c>
      <c r="K2706" s="30">
        <v>361642</v>
      </c>
      <c r="L2706" s="30">
        <v>361235</v>
      </c>
      <c r="M2706" s="30">
        <v>362026</v>
      </c>
      <c r="N2706" s="30">
        <v>362294</v>
      </c>
      <c r="O2706" s="24" t="str">
        <f t="shared" si="85"/>
        <v>Nueces County, Texas</v>
      </c>
    </row>
    <row r="2707" spans="1:15" x14ac:dyDescent="0.25">
      <c r="A2707" s="35" t="s">
        <v>3182</v>
      </c>
      <c r="B2707" s="28" t="str">
        <f t="shared" si="84"/>
        <v>Ochiltree</v>
      </c>
      <c r="C2707" s="30">
        <v>10223</v>
      </c>
      <c r="D2707" s="30">
        <v>10223</v>
      </c>
      <c r="E2707" s="30">
        <v>10171</v>
      </c>
      <c r="F2707" s="30">
        <v>10444</v>
      </c>
      <c r="G2707" s="30">
        <v>10612</v>
      </c>
      <c r="H2707" s="30">
        <v>10704</v>
      </c>
      <c r="I2707" s="30">
        <v>10715</v>
      </c>
      <c r="J2707" s="30">
        <v>10698</v>
      </c>
      <c r="K2707" s="30">
        <v>10257</v>
      </c>
      <c r="L2707" s="30">
        <v>9996</v>
      </c>
      <c r="M2707" s="30">
        <v>9866</v>
      </c>
      <c r="N2707" s="30">
        <v>9836</v>
      </c>
      <c r="O2707" s="24" t="str">
        <f t="shared" si="85"/>
        <v>Ochiltree County, Texas</v>
      </c>
    </row>
    <row r="2708" spans="1:15" x14ac:dyDescent="0.25">
      <c r="A2708" s="35" t="s">
        <v>3183</v>
      </c>
      <c r="B2708" s="28" t="str">
        <f t="shared" si="84"/>
        <v>Oldham</v>
      </c>
      <c r="C2708" s="30">
        <v>2052</v>
      </c>
      <c r="D2708" s="30">
        <v>2052</v>
      </c>
      <c r="E2708" s="30">
        <v>2050</v>
      </c>
      <c r="F2708" s="30">
        <v>2072</v>
      </c>
      <c r="G2708" s="30">
        <v>2046</v>
      </c>
      <c r="H2708" s="30">
        <v>2088</v>
      </c>
      <c r="I2708" s="30">
        <v>2069</v>
      </c>
      <c r="J2708" s="30">
        <v>2064</v>
      </c>
      <c r="K2708" s="30">
        <v>2074</v>
      </c>
      <c r="L2708" s="30">
        <v>2104</v>
      </c>
      <c r="M2708" s="30">
        <v>2118</v>
      </c>
      <c r="N2708" s="30">
        <v>2112</v>
      </c>
      <c r="O2708" s="24" t="str">
        <f t="shared" si="85"/>
        <v>Oldham County, Texas</v>
      </c>
    </row>
    <row r="2709" spans="1:15" x14ac:dyDescent="0.25">
      <c r="A2709" s="35" t="s">
        <v>3184</v>
      </c>
      <c r="B2709" s="28" t="str">
        <f t="shared" si="84"/>
        <v>Orange</v>
      </c>
      <c r="C2709" s="30">
        <v>81837</v>
      </c>
      <c r="D2709" s="30">
        <v>81837</v>
      </c>
      <c r="E2709" s="30">
        <v>82012</v>
      </c>
      <c r="F2709" s="30">
        <v>82341</v>
      </c>
      <c r="G2709" s="30">
        <v>82887</v>
      </c>
      <c r="H2709" s="30">
        <v>82811</v>
      </c>
      <c r="I2709" s="30">
        <v>83244</v>
      </c>
      <c r="J2709" s="30">
        <v>83955</v>
      </c>
      <c r="K2709" s="30">
        <v>84549</v>
      </c>
      <c r="L2709" s="30">
        <v>84971</v>
      </c>
      <c r="M2709" s="30">
        <v>83474</v>
      </c>
      <c r="N2709" s="30">
        <v>83396</v>
      </c>
      <c r="O2709" s="24" t="str">
        <f t="shared" si="85"/>
        <v>Orange County, Texas</v>
      </c>
    </row>
    <row r="2710" spans="1:15" x14ac:dyDescent="0.25">
      <c r="A2710" s="35" t="s">
        <v>3185</v>
      </c>
      <c r="B2710" s="28" t="str">
        <f t="shared" si="84"/>
        <v>Palo Pinto</v>
      </c>
      <c r="C2710" s="30">
        <v>28111</v>
      </c>
      <c r="D2710" s="30">
        <v>28132</v>
      </c>
      <c r="E2710" s="30">
        <v>28095</v>
      </c>
      <c r="F2710" s="30">
        <v>28062</v>
      </c>
      <c r="G2710" s="30">
        <v>27867</v>
      </c>
      <c r="H2710" s="30">
        <v>27886</v>
      </c>
      <c r="I2710" s="30">
        <v>28041</v>
      </c>
      <c r="J2710" s="30">
        <v>27966</v>
      </c>
      <c r="K2710" s="30">
        <v>28125</v>
      </c>
      <c r="L2710" s="30">
        <v>28544</v>
      </c>
      <c r="M2710" s="30">
        <v>28874</v>
      </c>
      <c r="N2710" s="30">
        <v>29189</v>
      </c>
      <c r="O2710" s="24" t="str">
        <f t="shared" si="85"/>
        <v>Palo Pinto County, Texas</v>
      </c>
    </row>
    <row r="2711" spans="1:15" x14ac:dyDescent="0.25">
      <c r="A2711" s="35" t="s">
        <v>3186</v>
      </c>
      <c r="B2711" s="28" t="str">
        <f t="shared" si="84"/>
        <v>Panola</v>
      </c>
      <c r="C2711" s="30">
        <v>23796</v>
      </c>
      <c r="D2711" s="30">
        <v>23796</v>
      </c>
      <c r="E2711" s="30">
        <v>23772</v>
      </c>
      <c r="F2711" s="30">
        <v>24007</v>
      </c>
      <c r="G2711" s="30">
        <v>24001</v>
      </c>
      <c r="H2711" s="30">
        <v>23790</v>
      </c>
      <c r="I2711" s="30">
        <v>23750</v>
      </c>
      <c r="J2711" s="30">
        <v>23667</v>
      </c>
      <c r="K2711" s="30">
        <v>23419</v>
      </c>
      <c r="L2711" s="30">
        <v>23211</v>
      </c>
      <c r="M2711" s="30">
        <v>23142</v>
      </c>
      <c r="N2711" s="30">
        <v>23194</v>
      </c>
      <c r="O2711" s="24" t="str">
        <f t="shared" si="85"/>
        <v>Panola County, Texas</v>
      </c>
    </row>
    <row r="2712" spans="1:15" x14ac:dyDescent="0.25">
      <c r="A2712" s="35" t="s">
        <v>3187</v>
      </c>
      <c r="B2712" s="28" t="str">
        <f t="shared" si="84"/>
        <v>Parker</v>
      </c>
      <c r="C2712" s="30">
        <v>116927</v>
      </c>
      <c r="D2712" s="30">
        <v>116949</v>
      </c>
      <c r="E2712" s="30">
        <v>117316</v>
      </c>
      <c r="F2712" s="30">
        <v>118320</v>
      </c>
      <c r="G2712" s="30">
        <v>119482</v>
      </c>
      <c r="H2712" s="30">
        <v>119785</v>
      </c>
      <c r="I2712" s="30">
        <v>122147</v>
      </c>
      <c r="J2712" s="30">
        <v>125640</v>
      </c>
      <c r="K2712" s="30">
        <v>128967</v>
      </c>
      <c r="L2712" s="30">
        <v>133501</v>
      </c>
      <c r="M2712" s="30">
        <v>138070</v>
      </c>
      <c r="N2712" s="30">
        <v>142878</v>
      </c>
      <c r="O2712" s="24" t="str">
        <f t="shared" si="85"/>
        <v>Parker County, Texas</v>
      </c>
    </row>
    <row r="2713" spans="1:15" x14ac:dyDescent="0.25">
      <c r="A2713" s="35" t="s">
        <v>3188</v>
      </c>
      <c r="B2713" s="28" t="str">
        <f t="shared" si="84"/>
        <v>Parmer</v>
      </c>
      <c r="C2713" s="30">
        <v>10269</v>
      </c>
      <c r="D2713" s="30">
        <v>10269</v>
      </c>
      <c r="E2713" s="30">
        <v>10265</v>
      </c>
      <c r="F2713" s="30">
        <v>10276</v>
      </c>
      <c r="G2713" s="30">
        <v>10184</v>
      </c>
      <c r="H2713" s="30">
        <v>9986</v>
      </c>
      <c r="I2713" s="30">
        <v>9952</v>
      </c>
      <c r="J2713" s="30">
        <v>9794</v>
      </c>
      <c r="K2713" s="30">
        <v>9762</v>
      </c>
      <c r="L2713" s="30">
        <v>9710</v>
      </c>
      <c r="M2713" s="30">
        <v>9719</v>
      </c>
      <c r="N2713" s="30">
        <v>9605</v>
      </c>
      <c r="O2713" s="24" t="str">
        <f t="shared" si="85"/>
        <v>Parmer County, Texas</v>
      </c>
    </row>
    <row r="2714" spans="1:15" x14ac:dyDescent="0.25">
      <c r="A2714" s="35" t="s">
        <v>3189</v>
      </c>
      <c r="B2714" s="28" t="str">
        <f t="shared" si="84"/>
        <v>Pecos</v>
      </c>
      <c r="C2714" s="30">
        <v>15507</v>
      </c>
      <c r="D2714" s="30">
        <v>15507</v>
      </c>
      <c r="E2714" s="30">
        <v>15523</v>
      </c>
      <c r="F2714" s="30">
        <v>15643</v>
      </c>
      <c r="G2714" s="30">
        <v>15568</v>
      </c>
      <c r="H2714" s="30">
        <v>15660</v>
      </c>
      <c r="I2714" s="30">
        <v>15828</v>
      </c>
      <c r="J2714" s="30">
        <v>16030</v>
      </c>
      <c r="K2714" s="30">
        <v>15881</v>
      </c>
      <c r="L2714" s="30">
        <v>15634</v>
      </c>
      <c r="M2714" s="30">
        <v>15709</v>
      </c>
      <c r="N2714" s="30">
        <v>15823</v>
      </c>
      <c r="O2714" s="24" t="str">
        <f t="shared" si="85"/>
        <v>Pecos County, Texas</v>
      </c>
    </row>
    <row r="2715" spans="1:15" x14ac:dyDescent="0.25">
      <c r="A2715" s="35" t="s">
        <v>3190</v>
      </c>
      <c r="B2715" s="28" t="str">
        <f t="shared" si="84"/>
        <v>Polk</v>
      </c>
      <c r="C2715" s="30">
        <v>45413</v>
      </c>
      <c r="D2715" s="30">
        <v>45415</v>
      </c>
      <c r="E2715" s="30">
        <v>45446</v>
      </c>
      <c r="F2715" s="30">
        <v>45580</v>
      </c>
      <c r="G2715" s="30">
        <v>45510</v>
      </c>
      <c r="H2715" s="30">
        <v>45522</v>
      </c>
      <c r="I2715" s="30">
        <v>45813</v>
      </c>
      <c r="J2715" s="30">
        <v>46613</v>
      </c>
      <c r="K2715" s="30">
        <v>47656</v>
      </c>
      <c r="L2715" s="30">
        <v>48990</v>
      </c>
      <c r="M2715" s="30">
        <v>49955</v>
      </c>
      <c r="N2715" s="30">
        <v>51353</v>
      </c>
      <c r="O2715" s="24" t="str">
        <f t="shared" si="85"/>
        <v>Polk County, Texas</v>
      </c>
    </row>
    <row r="2716" spans="1:15" x14ac:dyDescent="0.25">
      <c r="A2716" s="35" t="s">
        <v>3191</v>
      </c>
      <c r="B2716" s="28" t="str">
        <f t="shared" si="84"/>
        <v>Potter</v>
      </c>
      <c r="C2716" s="30">
        <v>121073</v>
      </c>
      <c r="D2716" s="30">
        <v>121078</v>
      </c>
      <c r="E2716" s="30">
        <v>121371</v>
      </c>
      <c r="F2716" s="30">
        <v>122305</v>
      </c>
      <c r="G2716" s="30">
        <v>122739</v>
      </c>
      <c r="H2716" s="30">
        <v>122127</v>
      </c>
      <c r="I2716" s="30">
        <v>122061</v>
      </c>
      <c r="J2716" s="30">
        <v>121272</v>
      </c>
      <c r="K2716" s="30">
        <v>120632</v>
      </c>
      <c r="L2716" s="30">
        <v>120340</v>
      </c>
      <c r="M2716" s="30">
        <v>118711</v>
      </c>
      <c r="N2716" s="30">
        <v>117415</v>
      </c>
      <c r="O2716" s="24" t="str">
        <f t="shared" si="85"/>
        <v>Potter County, Texas</v>
      </c>
    </row>
    <row r="2717" spans="1:15" x14ac:dyDescent="0.25">
      <c r="A2717" s="35" t="s">
        <v>3192</v>
      </c>
      <c r="B2717" s="28" t="str">
        <f t="shared" si="84"/>
        <v>Presidio</v>
      </c>
      <c r="C2717" s="30">
        <v>7818</v>
      </c>
      <c r="D2717" s="30">
        <v>7817</v>
      </c>
      <c r="E2717" s="30">
        <v>7875</v>
      </c>
      <c r="F2717" s="30">
        <v>7754</v>
      </c>
      <c r="G2717" s="30">
        <v>7619</v>
      </c>
      <c r="H2717" s="30">
        <v>7386</v>
      </c>
      <c r="I2717" s="30">
        <v>7194</v>
      </c>
      <c r="J2717" s="30">
        <v>7057</v>
      </c>
      <c r="K2717" s="30">
        <v>7156</v>
      </c>
      <c r="L2717" s="30">
        <v>7100</v>
      </c>
      <c r="M2717" s="30">
        <v>6856</v>
      </c>
      <c r="N2717" s="30">
        <v>6704</v>
      </c>
      <c r="O2717" s="24" t="str">
        <f t="shared" si="85"/>
        <v>Presidio County, Texas</v>
      </c>
    </row>
    <row r="2718" spans="1:15" x14ac:dyDescent="0.25">
      <c r="A2718" s="35" t="s">
        <v>3193</v>
      </c>
      <c r="B2718" s="28" t="str">
        <f t="shared" si="84"/>
        <v>Rains</v>
      </c>
      <c r="C2718" s="30">
        <v>10914</v>
      </c>
      <c r="D2718" s="30">
        <v>10916</v>
      </c>
      <c r="E2718" s="30">
        <v>10913</v>
      </c>
      <c r="F2718" s="30">
        <v>11003</v>
      </c>
      <c r="G2718" s="30">
        <v>10939</v>
      </c>
      <c r="H2718" s="30">
        <v>11033</v>
      </c>
      <c r="I2718" s="30">
        <v>11013</v>
      </c>
      <c r="J2718" s="30">
        <v>11136</v>
      </c>
      <c r="K2718" s="30">
        <v>11304</v>
      </c>
      <c r="L2718" s="30">
        <v>11730</v>
      </c>
      <c r="M2718" s="30">
        <v>12147</v>
      </c>
      <c r="N2718" s="30">
        <v>12514</v>
      </c>
      <c r="O2718" s="24" t="str">
        <f t="shared" si="85"/>
        <v>Rains County, Texas</v>
      </c>
    </row>
    <row r="2719" spans="1:15" x14ac:dyDescent="0.25">
      <c r="A2719" s="35" t="s">
        <v>3194</v>
      </c>
      <c r="B2719" s="28" t="str">
        <f t="shared" si="84"/>
        <v>Randall</v>
      </c>
      <c r="C2719" s="30">
        <v>120725</v>
      </c>
      <c r="D2719" s="30">
        <v>120720</v>
      </c>
      <c r="E2719" s="30">
        <v>121179</v>
      </c>
      <c r="F2719" s="30">
        <v>123424</v>
      </c>
      <c r="G2719" s="30">
        <v>124975</v>
      </c>
      <c r="H2719" s="30">
        <v>126753</v>
      </c>
      <c r="I2719" s="30">
        <v>128733</v>
      </c>
      <c r="J2719" s="30">
        <v>130368</v>
      </c>
      <c r="K2719" s="30">
        <v>132342</v>
      </c>
      <c r="L2719" s="30">
        <v>134015</v>
      </c>
      <c r="M2719" s="30">
        <v>135691</v>
      </c>
      <c r="N2719" s="30">
        <v>137713</v>
      </c>
      <c r="O2719" s="24" t="str">
        <f t="shared" si="85"/>
        <v>Randall County, Texas</v>
      </c>
    </row>
    <row r="2720" spans="1:15" x14ac:dyDescent="0.25">
      <c r="A2720" s="35" t="s">
        <v>3195</v>
      </c>
      <c r="B2720" s="28" t="str">
        <f t="shared" si="84"/>
        <v>Reagan</v>
      </c>
      <c r="C2720" s="30">
        <v>3367</v>
      </c>
      <c r="D2720" s="30">
        <v>3367</v>
      </c>
      <c r="E2720" s="30">
        <v>3353</v>
      </c>
      <c r="F2720" s="30">
        <v>3393</v>
      </c>
      <c r="G2720" s="30">
        <v>3477</v>
      </c>
      <c r="H2720" s="30">
        <v>3633</v>
      </c>
      <c r="I2720" s="30">
        <v>3785</v>
      </c>
      <c r="J2720" s="30">
        <v>3807</v>
      </c>
      <c r="K2720" s="30">
        <v>3726</v>
      </c>
      <c r="L2720" s="30">
        <v>3712</v>
      </c>
      <c r="M2720" s="30">
        <v>3736</v>
      </c>
      <c r="N2720" s="30">
        <v>3849</v>
      </c>
      <c r="O2720" s="24" t="str">
        <f t="shared" si="85"/>
        <v>Reagan County, Texas</v>
      </c>
    </row>
    <row r="2721" spans="1:15" x14ac:dyDescent="0.25">
      <c r="A2721" s="35" t="s">
        <v>3196</v>
      </c>
      <c r="B2721" s="28" t="str">
        <f t="shared" si="84"/>
        <v>Real</v>
      </c>
      <c r="C2721" s="30">
        <v>3309</v>
      </c>
      <c r="D2721" s="30">
        <v>3309</v>
      </c>
      <c r="E2721" s="30">
        <v>3322</v>
      </c>
      <c r="F2721" s="30">
        <v>3431</v>
      </c>
      <c r="G2721" s="30">
        <v>3352</v>
      </c>
      <c r="H2721" s="30">
        <v>3318</v>
      </c>
      <c r="I2721" s="30">
        <v>3347</v>
      </c>
      <c r="J2721" s="30">
        <v>3297</v>
      </c>
      <c r="K2721" s="30">
        <v>3399</v>
      </c>
      <c r="L2721" s="30">
        <v>3417</v>
      </c>
      <c r="M2721" s="30">
        <v>3477</v>
      </c>
      <c r="N2721" s="30">
        <v>3452</v>
      </c>
      <c r="O2721" s="24" t="str">
        <f t="shared" si="85"/>
        <v>Real County, Texas</v>
      </c>
    </row>
    <row r="2722" spans="1:15" x14ac:dyDescent="0.25">
      <c r="A2722" s="35" t="s">
        <v>3197</v>
      </c>
      <c r="B2722" s="28" t="str">
        <f t="shared" si="84"/>
        <v>Red River</v>
      </c>
      <c r="C2722" s="30">
        <v>12860</v>
      </c>
      <c r="D2722" s="30">
        <v>12862</v>
      </c>
      <c r="E2722" s="30">
        <v>12874</v>
      </c>
      <c r="F2722" s="30">
        <v>12682</v>
      </c>
      <c r="G2722" s="30">
        <v>12723</v>
      </c>
      <c r="H2722" s="30">
        <v>12487</v>
      </c>
      <c r="I2722" s="30">
        <v>12445</v>
      </c>
      <c r="J2722" s="30">
        <v>12345</v>
      </c>
      <c r="K2722" s="30">
        <v>12179</v>
      </c>
      <c r="L2722" s="30">
        <v>12164</v>
      </c>
      <c r="M2722" s="30">
        <v>12143</v>
      </c>
      <c r="N2722" s="30">
        <v>12023</v>
      </c>
      <c r="O2722" s="24" t="str">
        <f t="shared" si="85"/>
        <v>Red River County, Texas</v>
      </c>
    </row>
    <row r="2723" spans="1:15" x14ac:dyDescent="0.25">
      <c r="A2723" s="35" t="s">
        <v>3198</v>
      </c>
      <c r="B2723" s="28" t="str">
        <f t="shared" si="84"/>
        <v>Reeves</v>
      </c>
      <c r="C2723" s="30">
        <v>13783</v>
      </c>
      <c r="D2723" s="30">
        <v>13783</v>
      </c>
      <c r="E2723" s="30">
        <v>13834</v>
      </c>
      <c r="F2723" s="30">
        <v>14098</v>
      </c>
      <c r="G2723" s="30">
        <v>14265</v>
      </c>
      <c r="H2723" s="30">
        <v>14494</v>
      </c>
      <c r="I2723" s="30">
        <v>15124</v>
      </c>
      <c r="J2723" s="30">
        <v>15574</v>
      </c>
      <c r="K2723" s="30">
        <v>15229</v>
      </c>
      <c r="L2723" s="30">
        <v>15166</v>
      </c>
      <c r="M2723" s="30">
        <v>15513</v>
      </c>
      <c r="N2723" s="30">
        <v>15976</v>
      </c>
      <c r="O2723" s="24" t="str">
        <f t="shared" si="85"/>
        <v>Reeves County, Texas</v>
      </c>
    </row>
    <row r="2724" spans="1:15" x14ac:dyDescent="0.25">
      <c r="A2724" s="35" t="s">
        <v>3199</v>
      </c>
      <c r="B2724" s="28" t="str">
        <f t="shared" si="84"/>
        <v>Refugio</v>
      </c>
      <c r="C2724" s="30">
        <v>7383</v>
      </c>
      <c r="D2724" s="30">
        <v>7383</v>
      </c>
      <c r="E2724" s="30">
        <v>7375</v>
      </c>
      <c r="F2724" s="30">
        <v>7321</v>
      </c>
      <c r="G2724" s="30">
        <v>7256</v>
      </c>
      <c r="H2724" s="30">
        <v>7279</v>
      </c>
      <c r="I2724" s="30">
        <v>7362</v>
      </c>
      <c r="J2724" s="30">
        <v>7326</v>
      </c>
      <c r="K2724" s="30">
        <v>7272</v>
      </c>
      <c r="L2724" s="30">
        <v>7180</v>
      </c>
      <c r="M2724" s="30">
        <v>7000</v>
      </c>
      <c r="N2724" s="30">
        <v>6948</v>
      </c>
      <c r="O2724" s="24" t="str">
        <f t="shared" si="85"/>
        <v>Refugio County, Texas</v>
      </c>
    </row>
    <row r="2725" spans="1:15" x14ac:dyDescent="0.25">
      <c r="A2725" s="35" t="s">
        <v>3200</v>
      </c>
      <c r="B2725" s="28" t="str">
        <f t="shared" si="84"/>
        <v>Roberts</v>
      </c>
      <c r="C2725" s="30">
        <v>929</v>
      </c>
      <c r="D2725" s="30">
        <v>929</v>
      </c>
      <c r="E2725" s="30">
        <v>924</v>
      </c>
      <c r="F2725" s="30">
        <v>926</v>
      </c>
      <c r="G2725" s="30">
        <v>942</v>
      </c>
      <c r="H2725" s="30">
        <v>919</v>
      </c>
      <c r="I2725" s="30">
        <v>914</v>
      </c>
      <c r="J2725" s="30">
        <v>910</v>
      </c>
      <c r="K2725" s="30">
        <v>910</v>
      </c>
      <c r="L2725" s="30">
        <v>941</v>
      </c>
      <c r="M2725" s="30">
        <v>898</v>
      </c>
      <c r="N2725" s="30">
        <v>854</v>
      </c>
      <c r="O2725" s="24" t="str">
        <f t="shared" si="85"/>
        <v>Roberts County, Texas</v>
      </c>
    </row>
    <row r="2726" spans="1:15" x14ac:dyDescent="0.25">
      <c r="A2726" s="35" t="s">
        <v>3201</v>
      </c>
      <c r="B2726" s="28" t="str">
        <f t="shared" si="84"/>
        <v>Robertson</v>
      </c>
      <c r="C2726" s="30">
        <v>16622</v>
      </c>
      <c r="D2726" s="30">
        <v>16620</v>
      </c>
      <c r="E2726" s="30">
        <v>16555</v>
      </c>
      <c r="F2726" s="30">
        <v>16657</v>
      </c>
      <c r="G2726" s="30">
        <v>16455</v>
      </c>
      <c r="H2726" s="30">
        <v>16431</v>
      </c>
      <c r="I2726" s="30">
        <v>16468</v>
      </c>
      <c r="J2726" s="30">
        <v>16698</v>
      </c>
      <c r="K2726" s="30">
        <v>16804</v>
      </c>
      <c r="L2726" s="30">
        <v>17153</v>
      </c>
      <c r="M2726" s="30">
        <v>17219</v>
      </c>
      <c r="N2726" s="30">
        <v>17074</v>
      </c>
      <c r="O2726" s="24" t="str">
        <f t="shared" si="85"/>
        <v>Robertson County, Texas</v>
      </c>
    </row>
    <row r="2727" spans="1:15" x14ac:dyDescent="0.25">
      <c r="A2727" s="35" t="s">
        <v>3202</v>
      </c>
      <c r="B2727" s="28" t="str">
        <f t="shared" si="84"/>
        <v>Rockwall</v>
      </c>
      <c r="C2727" s="30">
        <v>78337</v>
      </c>
      <c r="D2727" s="30">
        <v>78345</v>
      </c>
      <c r="E2727" s="30">
        <v>78919</v>
      </c>
      <c r="F2727" s="30">
        <v>81045</v>
      </c>
      <c r="G2727" s="30">
        <v>82710</v>
      </c>
      <c r="H2727" s="30">
        <v>84670</v>
      </c>
      <c r="I2727" s="30">
        <v>87064</v>
      </c>
      <c r="J2727" s="30">
        <v>90170</v>
      </c>
      <c r="K2727" s="30">
        <v>93421</v>
      </c>
      <c r="L2727" s="30">
        <v>96824</v>
      </c>
      <c r="M2727" s="30">
        <v>100546</v>
      </c>
      <c r="N2727" s="30">
        <v>104915</v>
      </c>
      <c r="O2727" s="24" t="str">
        <f t="shared" si="85"/>
        <v>Rockwall County, Texas</v>
      </c>
    </row>
    <row r="2728" spans="1:15" x14ac:dyDescent="0.25">
      <c r="A2728" s="35" t="s">
        <v>3203</v>
      </c>
      <c r="B2728" s="28" t="str">
        <f t="shared" si="84"/>
        <v>Runnels</v>
      </c>
      <c r="C2728" s="30">
        <v>10501</v>
      </c>
      <c r="D2728" s="30">
        <v>10502</v>
      </c>
      <c r="E2728" s="30">
        <v>10508</v>
      </c>
      <c r="F2728" s="30">
        <v>10500</v>
      </c>
      <c r="G2728" s="30">
        <v>10335</v>
      </c>
      <c r="H2728" s="30">
        <v>10196</v>
      </c>
      <c r="I2728" s="30">
        <v>10294</v>
      </c>
      <c r="J2728" s="30">
        <v>10387</v>
      </c>
      <c r="K2728" s="30">
        <v>10276</v>
      </c>
      <c r="L2728" s="30">
        <v>10282</v>
      </c>
      <c r="M2728" s="30">
        <v>10178</v>
      </c>
      <c r="N2728" s="30">
        <v>10264</v>
      </c>
      <c r="O2728" s="24" t="str">
        <f t="shared" si="85"/>
        <v>Runnels County, Texas</v>
      </c>
    </row>
    <row r="2729" spans="1:15" x14ac:dyDescent="0.25">
      <c r="A2729" s="35" t="s">
        <v>3204</v>
      </c>
      <c r="B2729" s="28" t="str">
        <f t="shared" si="84"/>
        <v>Rusk</v>
      </c>
      <c r="C2729" s="30">
        <v>53330</v>
      </c>
      <c r="D2729" s="30">
        <v>53309</v>
      </c>
      <c r="E2729" s="30">
        <v>53361</v>
      </c>
      <c r="F2729" s="30">
        <v>53702</v>
      </c>
      <c r="G2729" s="30">
        <v>53793</v>
      </c>
      <c r="H2729" s="30">
        <v>53332</v>
      </c>
      <c r="I2729" s="30">
        <v>53212</v>
      </c>
      <c r="J2729" s="30">
        <v>52965</v>
      </c>
      <c r="K2729" s="30">
        <v>52892</v>
      </c>
      <c r="L2729" s="30">
        <v>54213</v>
      </c>
      <c r="M2729" s="30">
        <v>54301</v>
      </c>
      <c r="N2729" s="30">
        <v>54406</v>
      </c>
      <c r="O2729" s="24" t="str">
        <f t="shared" si="85"/>
        <v>Rusk County, Texas</v>
      </c>
    </row>
    <row r="2730" spans="1:15" x14ac:dyDescent="0.25">
      <c r="A2730" s="35" t="s">
        <v>3205</v>
      </c>
      <c r="B2730" s="28" t="str">
        <f t="shared" si="84"/>
        <v>Sabine</v>
      </c>
      <c r="C2730" s="30">
        <v>10834</v>
      </c>
      <c r="D2730" s="30">
        <v>10836</v>
      </c>
      <c r="E2730" s="30">
        <v>10871</v>
      </c>
      <c r="F2730" s="30">
        <v>10727</v>
      </c>
      <c r="G2730" s="30">
        <v>10524</v>
      </c>
      <c r="H2730" s="30">
        <v>10424</v>
      </c>
      <c r="I2730" s="30">
        <v>10428</v>
      </c>
      <c r="J2730" s="30">
        <v>10440</v>
      </c>
      <c r="K2730" s="30">
        <v>10381</v>
      </c>
      <c r="L2730" s="30">
        <v>10417</v>
      </c>
      <c r="M2730" s="30">
        <v>10576</v>
      </c>
      <c r="N2730" s="30">
        <v>10542</v>
      </c>
      <c r="O2730" s="24" t="str">
        <f t="shared" si="85"/>
        <v>Sabine County, Texas</v>
      </c>
    </row>
    <row r="2731" spans="1:15" x14ac:dyDescent="0.25">
      <c r="A2731" s="35" t="s">
        <v>3206</v>
      </c>
      <c r="B2731" s="28" t="str">
        <f t="shared" si="84"/>
        <v>San Augustine</v>
      </c>
      <c r="C2731" s="30">
        <v>8865</v>
      </c>
      <c r="D2731" s="30">
        <v>8861</v>
      </c>
      <c r="E2731" s="30">
        <v>8854</v>
      </c>
      <c r="F2731" s="30">
        <v>8799</v>
      </c>
      <c r="G2731" s="30">
        <v>8789</v>
      </c>
      <c r="H2731" s="30">
        <v>8663</v>
      </c>
      <c r="I2731" s="30">
        <v>8481</v>
      </c>
      <c r="J2731" s="30">
        <v>8349</v>
      </c>
      <c r="K2731" s="30">
        <v>8288</v>
      </c>
      <c r="L2731" s="30">
        <v>8302</v>
      </c>
      <c r="M2731" s="30">
        <v>8254</v>
      </c>
      <c r="N2731" s="30">
        <v>8237</v>
      </c>
      <c r="O2731" s="24" t="str">
        <f t="shared" si="85"/>
        <v>San Augustine County, Texas</v>
      </c>
    </row>
    <row r="2732" spans="1:15" x14ac:dyDescent="0.25">
      <c r="A2732" s="35" t="s">
        <v>3207</v>
      </c>
      <c r="B2732" s="28" t="str">
        <f t="shared" si="84"/>
        <v>San Jacinto</v>
      </c>
      <c r="C2732" s="30">
        <v>26384</v>
      </c>
      <c r="D2732" s="30">
        <v>26378</v>
      </c>
      <c r="E2732" s="30">
        <v>26474</v>
      </c>
      <c r="F2732" s="30">
        <v>26780</v>
      </c>
      <c r="G2732" s="30">
        <v>26942</v>
      </c>
      <c r="H2732" s="30">
        <v>26731</v>
      </c>
      <c r="I2732" s="30">
        <v>27049</v>
      </c>
      <c r="J2732" s="30">
        <v>27361</v>
      </c>
      <c r="K2732" s="30">
        <v>27732</v>
      </c>
      <c r="L2732" s="30">
        <v>28231</v>
      </c>
      <c r="M2732" s="30">
        <v>28717</v>
      </c>
      <c r="N2732" s="30">
        <v>28859</v>
      </c>
      <c r="O2732" s="24" t="str">
        <f t="shared" si="85"/>
        <v>San Jacinto County, Texas</v>
      </c>
    </row>
    <row r="2733" spans="1:15" x14ac:dyDescent="0.25">
      <c r="A2733" s="35" t="s">
        <v>3208</v>
      </c>
      <c r="B2733" s="28" t="str">
        <f t="shared" si="84"/>
        <v>San Patricio</v>
      </c>
      <c r="C2733" s="30">
        <v>64804</v>
      </c>
      <c r="D2733" s="30">
        <v>64802</v>
      </c>
      <c r="E2733" s="30">
        <v>64431</v>
      </c>
      <c r="F2733" s="30">
        <v>64458</v>
      </c>
      <c r="G2733" s="30">
        <v>65260</v>
      </c>
      <c r="H2733" s="30">
        <v>66134</v>
      </c>
      <c r="I2733" s="30">
        <v>66656</v>
      </c>
      <c r="J2733" s="30">
        <v>67117</v>
      </c>
      <c r="K2733" s="30">
        <v>67311</v>
      </c>
      <c r="L2733" s="30">
        <v>67210</v>
      </c>
      <c r="M2733" s="30">
        <v>66671</v>
      </c>
      <c r="N2733" s="30">
        <v>66730</v>
      </c>
      <c r="O2733" s="24" t="str">
        <f t="shared" si="85"/>
        <v>San Patricio County, Texas</v>
      </c>
    </row>
    <row r="2734" spans="1:15" x14ac:dyDescent="0.25">
      <c r="A2734" s="35" t="s">
        <v>3209</v>
      </c>
      <c r="B2734" s="28" t="str">
        <f t="shared" si="84"/>
        <v>San Saba</v>
      </c>
      <c r="C2734" s="30">
        <v>6131</v>
      </c>
      <c r="D2734" s="30">
        <v>6130</v>
      </c>
      <c r="E2734" s="30">
        <v>6134</v>
      </c>
      <c r="F2734" s="30">
        <v>6047</v>
      </c>
      <c r="G2734" s="30">
        <v>5990</v>
      </c>
      <c r="H2734" s="30">
        <v>5960</v>
      </c>
      <c r="I2734" s="30">
        <v>5858</v>
      </c>
      <c r="J2734" s="30">
        <v>5922</v>
      </c>
      <c r="K2734" s="30">
        <v>5922</v>
      </c>
      <c r="L2734" s="30">
        <v>5996</v>
      </c>
      <c r="M2734" s="30">
        <v>6060</v>
      </c>
      <c r="N2734" s="30">
        <v>6055</v>
      </c>
      <c r="O2734" s="24" t="str">
        <f t="shared" si="85"/>
        <v>San Saba County, Texas</v>
      </c>
    </row>
    <row r="2735" spans="1:15" x14ac:dyDescent="0.25">
      <c r="A2735" s="35" t="s">
        <v>3210</v>
      </c>
      <c r="B2735" s="28" t="str">
        <f t="shared" si="84"/>
        <v>Schleicher</v>
      </c>
      <c r="C2735" s="30">
        <v>3461</v>
      </c>
      <c r="D2735" s="30">
        <v>3461</v>
      </c>
      <c r="E2735" s="30">
        <v>3503</v>
      </c>
      <c r="F2735" s="30">
        <v>3310</v>
      </c>
      <c r="G2735" s="30">
        <v>3259</v>
      </c>
      <c r="H2735" s="30">
        <v>3191</v>
      </c>
      <c r="I2735" s="30">
        <v>3164</v>
      </c>
      <c r="J2735" s="30">
        <v>3195</v>
      </c>
      <c r="K2735" s="30">
        <v>3057</v>
      </c>
      <c r="L2735" s="30">
        <v>2989</v>
      </c>
      <c r="M2735" s="30">
        <v>2880</v>
      </c>
      <c r="N2735" s="30">
        <v>2793</v>
      </c>
      <c r="O2735" s="24" t="str">
        <f t="shared" si="85"/>
        <v>Schleicher County, Texas</v>
      </c>
    </row>
    <row r="2736" spans="1:15" x14ac:dyDescent="0.25">
      <c r="A2736" s="35" t="s">
        <v>3211</v>
      </c>
      <c r="B2736" s="28" t="str">
        <f t="shared" si="84"/>
        <v>Scurry</v>
      </c>
      <c r="C2736" s="30">
        <v>16921</v>
      </c>
      <c r="D2736" s="30">
        <v>16919</v>
      </c>
      <c r="E2736" s="30">
        <v>16928</v>
      </c>
      <c r="F2736" s="30">
        <v>16868</v>
      </c>
      <c r="G2736" s="30">
        <v>17125</v>
      </c>
      <c r="H2736" s="30">
        <v>17272</v>
      </c>
      <c r="I2736" s="30">
        <v>17377</v>
      </c>
      <c r="J2736" s="30">
        <v>17570</v>
      </c>
      <c r="K2736" s="30">
        <v>17394</v>
      </c>
      <c r="L2736" s="30">
        <v>17003</v>
      </c>
      <c r="M2736" s="30">
        <v>16812</v>
      </c>
      <c r="N2736" s="30">
        <v>16703</v>
      </c>
      <c r="O2736" s="24" t="str">
        <f t="shared" si="85"/>
        <v>Scurry County, Texas</v>
      </c>
    </row>
    <row r="2737" spans="1:15" x14ac:dyDescent="0.25">
      <c r="A2737" s="35" t="s">
        <v>3212</v>
      </c>
      <c r="B2737" s="28" t="str">
        <f t="shared" si="84"/>
        <v>Shackelford</v>
      </c>
      <c r="C2737" s="30">
        <v>3378</v>
      </c>
      <c r="D2737" s="30">
        <v>3376</v>
      </c>
      <c r="E2737" s="30">
        <v>3383</v>
      </c>
      <c r="F2737" s="30">
        <v>3334</v>
      </c>
      <c r="G2737" s="30">
        <v>3361</v>
      </c>
      <c r="H2737" s="30">
        <v>3375</v>
      </c>
      <c r="I2737" s="30">
        <v>3316</v>
      </c>
      <c r="J2737" s="30">
        <v>3333</v>
      </c>
      <c r="K2737" s="30">
        <v>3337</v>
      </c>
      <c r="L2737" s="30">
        <v>3289</v>
      </c>
      <c r="M2737" s="30">
        <v>3256</v>
      </c>
      <c r="N2737" s="30">
        <v>3265</v>
      </c>
      <c r="O2737" s="24" t="str">
        <f t="shared" si="85"/>
        <v>Shackelford County, Texas</v>
      </c>
    </row>
    <row r="2738" spans="1:15" x14ac:dyDescent="0.25">
      <c r="A2738" s="35" t="s">
        <v>3213</v>
      </c>
      <c r="B2738" s="28" t="str">
        <f t="shared" si="84"/>
        <v>Shelby</v>
      </c>
      <c r="C2738" s="30">
        <v>25448</v>
      </c>
      <c r="D2738" s="30">
        <v>25448</v>
      </c>
      <c r="E2738" s="30">
        <v>25458</v>
      </c>
      <c r="F2738" s="30">
        <v>25733</v>
      </c>
      <c r="G2738" s="30">
        <v>26062</v>
      </c>
      <c r="H2738" s="30">
        <v>25977</v>
      </c>
      <c r="I2738" s="30">
        <v>25607</v>
      </c>
      <c r="J2738" s="30">
        <v>25373</v>
      </c>
      <c r="K2738" s="30">
        <v>25566</v>
      </c>
      <c r="L2738" s="30">
        <v>25225</v>
      </c>
      <c r="M2738" s="30">
        <v>25307</v>
      </c>
      <c r="N2738" s="30">
        <v>25274</v>
      </c>
      <c r="O2738" s="24" t="str">
        <f t="shared" si="85"/>
        <v>Shelby County, Texas</v>
      </c>
    </row>
    <row r="2739" spans="1:15" x14ac:dyDescent="0.25">
      <c r="A2739" s="35" t="s">
        <v>3214</v>
      </c>
      <c r="B2739" s="28" t="str">
        <f t="shared" si="84"/>
        <v>Sherman</v>
      </c>
      <c r="C2739" s="30">
        <v>3034</v>
      </c>
      <c r="D2739" s="30">
        <v>3034</v>
      </c>
      <c r="E2739" s="30">
        <v>3025</v>
      </c>
      <c r="F2739" s="30">
        <v>3014</v>
      </c>
      <c r="G2739" s="30">
        <v>3039</v>
      </c>
      <c r="H2739" s="30">
        <v>3070</v>
      </c>
      <c r="I2739" s="30">
        <v>3065</v>
      </c>
      <c r="J2739" s="30">
        <v>3058</v>
      </c>
      <c r="K2739" s="30">
        <v>3070</v>
      </c>
      <c r="L2739" s="30">
        <v>3046</v>
      </c>
      <c r="M2739" s="30">
        <v>3101</v>
      </c>
      <c r="N2739" s="30">
        <v>3022</v>
      </c>
      <c r="O2739" s="24" t="str">
        <f t="shared" si="85"/>
        <v>Sherman County, Texas</v>
      </c>
    </row>
    <row r="2740" spans="1:15" x14ac:dyDescent="0.25">
      <c r="A2740" s="35" t="s">
        <v>3215</v>
      </c>
      <c r="B2740" s="28" t="str">
        <f t="shared" si="84"/>
        <v>Smith</v>
      </c>
      <c r="C2740" s="30">
        <v>209714</v>
      </c>
      <c r="D2740" s="30">
        <v>209725</v>
      </c>
      <c r="E2740" s="30">
        <v>210408</v>
      </c>
      <c r="F2740" s="30">
        <v>212764</v>
      </c>
      <c r="G2740" s="30">
        <v>214811</v>
      </c>
      <c r="H2740" s="30">
        <v>216475</v>
      </c>
      <c r="I2740" s="30">
        <v>219642</v>
      </c>
      <c r="J2740" s="30">
        <v>222390</v>
      </c>
      <c r="K2740" s="30">
        <v>225161</v>
      </c>
      <c r="L2740" s="30">
        <v>227195</v>
      </c>
      <c r="M2740" s="30">
        <v>229749</v>
      </c>
      <c r="N2740" s="30">
        <v>232751</v>
      </c>
      <c r="O2740" s="24" t="str">
        <f t="shared" si="85"/>
        <v>Smith County, Texas</v>
      </c>
    </row>
    <row r="2741" spans="1:15" x14ac:dyDescent="0.25">
      <c r="A2741" s="35" t="s">
        <v>3216</v>
      </c>
      <c r="B2741" s="28" t="str">
        <f t="shared" si="84"/>
        <v>Somervell</v>
      </c>
      <c r="C2741" s="30">
        <v>8490</v>
      </c>
      <c r="D2741" s="30">
        <v>8491</v>
      </c>
      <c r="E2741" s="30">
        <v>8500</v>
      </c>
      <c r="F2741" s="30">
        <v>8426</v>
      </c>
      <c r="G2741" s="30">
        <v>8554</v>
      </c>
      <c r="H2741" s="30">
        <v>8566</v>
      </c>
      <c r="I2741" s="30">
        <v>8559</v>
      </c>
      <c r="J2741" s="30">
        <v>8618</v>
      </c>
      <c r="K2741" s="30">
        <v>8671</v>
      </c>
      <c r="L2741" s="30">
        <v>8855</v>
      </c>
      <c r="M2741" s="30">
        <v>9030</v>
      </c>
      <c r="N2741" s="30">
        <v>9128</v>
      </c>
      <c r="O2741" s="24" t="str">
        <f t="shared" si="85"/>
        <v>Somervell County, Texas</v>
      </c>
    </row>
    <row r="2742" spans="1:15" x14ac:dyDescent="0.25">
      <c r="A2742" s="35" t="s">
        <v>3217</v>
      </c>
      <c r="B2742" s="28" t="str">
        <f t="shared" si="84"/>
        <v>Starr</v>
      </c>
      <c r="C2742" s="30">
        <v>60968</v>
      </c>
      <c r="D2742" s="30">
        <v>60967</v>
      </c>
      <c r="E2742" s="30">
        <v>61134</v>
      </c>
      <c r="F2742" s="30">
        <v>61642</v>
      </c>
      <c r="G2742" s="30">
        <v>61970</v>
      </c>
      <c r="H2742" s="30">
        <v>62381</v>
      </c>
      <c r="I2742" s="30">
        <v>62965</v>
      </c>
      <c r="J2742" s="30">
        <v>63484</v>
      </c>
      <c r="K2742" s="30">
        <v>63894</v>
      </c>
      <c r="L2742" s="30">
        <v>64130</v>
      </c>
      <c r="M2742" s="30">
        <v>64249</v>
      </c>
      <c r="N2742" s="30">
        <v>64633</v>
      </c>
      <c r="O2742" s="24" t="str">
        <f t="shared" si="85"/>
        <v>Starr County, Texas</v>
      </c>
    </row>
    <row r="2743" spans="1:15" x14ac:dyDescent="0.25">
      <c r="A2743" s="35" t="s">
        <v>3218</v>
      </c>
      <c r="B2743" s="28" t="str">
        <f t="shared" si="84"/>
        <v>Stephens</v>
      </c>
      <c r="C2743" s="30">
        <v>9630</v>
      </c>
      <c r="D2743" s="30">
        <v>9634</v>
      </c>
      <c r="E2743" s="30">
        <v>9620</v>
      </c>
      <c r="F2743" s="30">
        <v>9536</v>
      </c>
      <c r="G2743" s="30">
        <v>9614</v>
      </c>
      <c r="H2743" s="30">
        <v>9371</v>
      </c>
      <c r="I2743" s="30">
        <v>9342</v>
      </c>
      <c r="J2743" s="30">
        <v>9385</v>
      </c>
      <c r="K2743" s="30">
        <v>9377</v>
      </c>
      <c r="L2743" s="30">
        <v>9287</v>
      </c>
      <c r="M2743" s="30">
        <v>9405</v>
      </c>
      <c r="N2743" s="30">
        <v>9366</v>
      </c>
      <c r="O2743" s="24" t="str">
        <f t="shared" si="85"/>
        <v>Stephens County, Texas</v>
      </c>
    </row>
    <row r="2744" spans="1:15" x14ac:dyDescent="0.25">
      <c r="A2744" s="35" t="s">
        <v>3219</v>
      </c>
      <c r="B2744" s="28" t="str">
        <f t="shared" si="84"/>
        <v>Sterling</v>
      </c>
      <c r="C2744" s="30">
        <v>1143</v>
      </c>
      <c r="D2744" s="30">
        <v>1143</v>
      </c>
      <c r="E2744" s="30">
        <v>1137</v>
      </c>
      <c r="F2744" s="30">
        <v>1170</v>
      </c>
      <c r="G2744" s="30">
        <v>1191</v>
      </c>
      <c r="H2744" s="30">
        <v>1229</v>
      </c>
      <c r="I2744" s="30">
        <v>1340</v>
      </c>
      <c r="J2744" s="30">
        <v>1333</v>
      </c>
      <c r="K2744" s="30">
        <v>1339</v>
      </c>
      <c r="L2744" s="30">
        <v>1287</v>
      </c>
      <c r="M2744" s="30">
        <v>1304</v>
      </c>
      <c r="N2744" s="30">
        <v>1291</v>
      </c>
      <c r="O2744" s="24" t="str">
        <f t="shared" si="85"/>
        <v>Sterling County, Texas</v>
      </c>
    </row>
    <row r="2745" spans="1:15" x14ac:dyDescent="0.25">
      <c r="A2745" s="35" t="s">
        <v>3220</v>
      </c>
      <c r="B2745" s="28" t="str">
        <f t="shared" si="84"/>
        <v>Stonewall</v>
      </c>
      <c r="C2745" s="30">
        <v>1490</v>
      </c>
      <c r="D2745" s="30">
        <v>1490</v>
      </c>
      <c r="E2745" s="30">
        <v>1496</v>
      </c>
      <c r="F2745" s="30">
        <v>1463</v>
      </c>
      <c r="G2745" s="30">
        <v>1452</v>
      </c>
      <c r="H2745" s="30">
        <v>1418</v>
      </c>
      <c r="I2745" s="30">
        <v>1388</v>
      </c>
      <c r="J2745" s="30">
        <v>1398</v>
      </c>
      <c r="K2745" s="30">
        <v>1401</v>
      </c>
      <c r="L2745" s="30">
        <v>1376</v>
      </c>
      <c r="M2745" s="30">
        <v>1352</v>
      </c>
      <c r="N2745" s="30">
        <v>1350</v>
      </c>
      <c r="O2745" s="24" t="str">
        <f t="shared" si="85"/>
        <v>Stonewall County, Texas</v>
      </c>
    </row>
    <row r="2746" spans="1:15" x14ac:dyDescent="0.25">
      <c r="A2746" s="35" t="s">
        <v>3221</v>
      </c>
      <c r="B2746" s="28" t="str">
        <f t="shared" si="84"/>
        <v>Sutton</v>
      </c>
      <c r="C2746" s="30">
        <v>4128</v>
      </c>
      <c r="D2746" s="30">
        <v>4128</v>
      </c>
      <c r="E2746" s="30">
        <v>4062</v>
      </c>
      <c r="F2746" s="30">
        <v>3987</v>
      </c>
      <c r="G2746" s="30">
        <v>3916</v>
      </c>
      <c r="H2746" s="30">
        <v>3982</v>
      </c>
      <c r="I2746" s="30">
        <v>3969</v>
      </c>
      <c r="J2746" s="30">
        <v>3915</v>
      </c>
      <c r="K2746" s="30">
        <v>3886</v>
      </c>
      <c r="L2746" s="30">
        <v>3792</v>
      </c>
      <c r="M2746" s="30">
        <v>3752</v>
      </c>
      <c r="N2746" s="30">
        <v>3776</v>
      </c>
      <c r="O2746" s="24" t="str">
        <f t="shared" si="85"/>
        <v>Sutton County, Texas</v>
      </c>
    </row>
    <row r="2747" spans="1:15" x14ac:dyDescent="0.25">
      <c r="A2747" s="35" t="s">
        <v>3222</v>
      </c>
      <c r="B2747" s="28" t="str">
        <f t="shared" si="84"/>
        <v>Swisher</v>
      </c>
      <c r="C2747" s="30">
        <v>7854</v>
      </c>
      <c r="D2747" s="30">
        <v>7859</v>
      </c>
      <c r="E2747" s="30">
        <v>7918</v>
      </c>
      <c r="F2747" s="30">
        <v>7804</v>
      </c>
      <c r="G2747" s="30">
        <v>7845</v>
      </c>
      <c r="H2747" s="30">
        <v>7720</v>
      </c>
      <c r="I2747" s="30">
        <v>7554</v>
      </c>
      <c r="J2747" s="30">
        <v>7477</v>
      </c>
      <c r="K2747" s="30">
        <v>7428</v>
      </c>
      <c r="L2747" s="30">
        <v>7446</v>
      </c>
      <c r="M2747" s="30">
        <v>7413</v>
      </c>
      <c r="N2747" s="30">
        <v>7397</v>
      </c>
      <c r="O2747" s="24" t="str">
        <f t="shared" si="85"/>
        <v>Swisher County, Texas</v>
      </c>
    </row>
    <row r="2748" spans="1:15" x14ac:dyDescent="0.25">
      <c r="A2748" s="35" t="s">
        <v>3223</v>
      </c>
      <c r="B2748" s="28" t="str">
        <f t="shared" si="84"/>
        <v>Tarrant</v>
      </c>
      <c r="C2748" s="30">
        <v>1809034</v>
      </c>
      <c r="D2748" s="30">
        <v>1810664</v>
      </c>
      <c r="E2748" s="30">
        <v>1817480</v>
      </c>
      <c r="F2748" s="30">
        <v>1847882</v>
      </c>
      <c r="G2748" s="30">
        <v>1882205</v>
      </c>
      <c r="H2748" s="30">
        <v>1912767</v>
      </c>
      <c r="I2748" s="30">
        <v>1946122</v>
      </c>
      <c r="J2748" s="30">
        <v>1984880</v>
      </c>
      <c r="K2748" s="30">
        <v>2023556</v>
      </c>
      <c r="L2748" s="30">
        <v>2056451</v>
      </c>
      <c r="M2748" s="30">
        <v>2081446</v>
      </c>
      <c r="N2748" s="30">
        <v>2102515</v>
      </c>
      <c r="O2748" s="24" t="str">
        <f t="shared" si="85"/>
        <v>Tarrant County, Texas</v>
      </c>
    </row>
    <row r="2749" spans="1:15" x14ac:dyDescent="0.25">
      <c r="A2749" s="35" t="s">
        <v>3224</v>
      </c>
      <c r="B2749" s="28" t="str">
        <f t="shared" si="84"/>
        <v>Taylor</v>
      </c>
      <c r="C2749" s="30">
        <v>131506</v>
      </c>
      <c r="D2749" s="30">
        <v>131515</v>
      </c>
      <c r="E2749" s="30">
        <v>131835</v>
      </c>
      <c r="F2749" s="30">
        <v>132853</v>
      </c>
      <c r="G2749" s="30">
        <v>134084</v>
      </c>
      <c r="H2749" s="30">
        <v>133927</v>
      </c>
      <c r="I2749" s="30">
        <v>134987</v>
      </c>
      <c r="J2749" s="30">
        <v>136133</v>
      </c>
      <c r="K2749" s="30">
        <v>136257</v>
      </c>
      <c r="L2749" s="30">
        <v>136634</v>
      </c>
      <c r="M2749" s="30">
        <v>137294</v>
      </c>
      <c r="N2749" s="30">
        <v>138034</v>
      </c>
      <c r="O2749" s="24" t="str">
        <f t="shared" si="85"/>
        <v>Taylor County, Texas</v>
      </c>
    </row>
    <row r="2750" spans="1:15" x14ac:dyDescent="0.25">
      <c r="A2750" s="35" t="s">
        <v>3225</v>
      </c>
      <c r="B2750" s="28" t="str">
        <f t="shared" si="84"/>
        <v>Terrell</v>
      </c>
      <c r="C2750" s="30">
        <v>984</v>
      </c>
      <c r="D2750" s="30">
        <v>984</v>
      </c>
      <c r="E2750" s="30">
        <v>1011</v>
      </c>
      <c r="F2750" s="30">
        <v>950</v>
      </c>
      <c r="G2750" s="30">
        <v>921</v>
      </c>
      <c r="H2750" s="30">
        <v>891</v>
      </c>
      <c r="I2750" s="30">
        <v>910</v>
      </c>
      <c r="J2750" s="30">
        <v>867</v>
      </c>
      <c r="K2750" s="30">
        <v>818</v>
      </c>
      <c r="L2750" s="30">
        <v>814</v>
      </c>
      <c r="M2750" s="30">
        <v>810</v>
      </c>
      <c r="N2750" s="30">
        <v>776</v>
      </c>
      <c r="O2750" s="24" t="str">
        <f t="shared" si="85"/>
        <v>Terrell County, Texas</v>
      </c>
    </row>
    <row r="2751" spans="1:15" x14ac:dyDescent="0.25">
      <c r="A2751" s="35" t="s">
        <v>3226</v>
      </c>
      <c r="B2751" s="28" t="str">
        <f t="shared" si="84"/>
        <v>Terry</v>
      </c>
      <c r="C2751" s="30">
        <v>12651</v>
      </c>
      <c r="D2751" s="30">
        <v>12651</v>
      </c>
      <c r="E2751" s="30">
        <v>12682</v>
      </c>
      <c r="F2751" s="30">
        <v>12661</v>
      </c>
      <c r="G2751" s="30">
        <v>12632</v>
      </c>
      <c r="H2751" s="30">
        <v>12713</v>
      </c>
      <c r="I2751" s="30">
        <v>12795</v>
      </c>
      <c r="J2751" s="30">
        <v>12759</v>
      </c>
      <c r="K2751" s="30">
        <v>12770</v>
      </c>
      <c r="L2751" s="30">
        <v>12429</v>
      </c>
      <c r="M2751" s="30">
        <v>12344</v>
      </c>
      <c r="N2751" s="30">
        <v>12337</v>
      </c>
      <c r="O2751" s="24" t="str">
        <f t="shared" si="85"/>
        <v>Terry County, Texas</v>
      </c>
    </row>
    <row r="2752" spans="1:15" x14ac:dyDescent="0.25">
      <c r="A2752" s="35" t="s">
        <v>3227</v>
      </c>
      <c r="B2752" s="28" t="str">
        <f t="shared" si="84"/>
        <v>Throckmorton</v>
      </c>
      <c r="C2752" s="30">
        <v>1641</v>
      </c>
      <c r="D2752" s="30">
        <v>1641</v>
      </c>
      <c r="E2752" s="30">
        <v>1639</v>
      </c>
      <c r="F2752" s="30">
        <v>1637</v>
      </c>
      <c r="G2752" s="30">
        <v>1610</v>
      </c>
      <c r="H2752" s="30">
        <v>1606</v>
      </c>
      <c r="I2752" s="30">
        <v>1613</v>
      </c>
      <c r="J2752" s="30">
        <v>1559</v>
      </c>
      <c r="K2752" s="30">
        <v>1537</v>
      </c>
      <c r="L2752" s="30">
        <v>1510</v>
      </c>
      <c r="M2752" s="30">
        <v>1504</v>
      </c>
      <c r="N2752" s="30">
        <v>1501</v>
      </c>
      <c r="O2752" s="24" t="str">
        <f t="shared" si="85"/>
        <v>Throckmorton County, Texas</v>
      </c>
    </row>
    <row r="2753" spans="1:15" x14ac:dyDescent="0.25">
      <c r="A2753" s="35" t="s">
        <v>3228</v>
      </c>
      <c r="B2753" s="28" t="str">
        <f t="shared" si="84"/>
        <v>Titus</v>
      </c>
      <c r="C2753" s="30">
        <v>32334</v>
      </c>
      <c r="D2753" s="30">
        <v>32334</v>
      </c>
      <c r="E2753" s="30">
        <v>32419</v>
      </c>
      <c r="F2753" s="30">
        <v>32452</v>
      </c>
      <c r="G2753" s="30">
        <v>32612</v>
      </c>
      <c r="H2753" s="30">
        <v>32587</v>
      </c>
      <c r="I2753" s="30">
        <v>32502</v>
      </c>
      <c r="J2753" s="30">
        <v>32626</v>
      </c>
      <c r="K2753" s="30">
        <v>32463</v>
      </c>
      <c r="L2753" s="30">
        <v>32619</v>
      </c>
      <c r="M2753" s="30">
        <v>32743</v>
      </c>
      <c r="N2753" s="30">
        <v>32750</v>
      </c>
      <c r="O2753" s="24" t="str">
        <f t="shared" si="85"/>
        <v>Titus County, Texas</v>
      </c>
    </row>
    <row r="2754" spans="1:15" x14ac:dyDescent="0.25">
      <c r="A2754" s="35" t="s">
        <v>3229</v>
      </c>
      <c r="B2754" s="28" t="str">
        <f t="shared" si="84"/>
        <v>Tom Green</v>
      </c>
      <c r="C2754" s="30">
        <v>110224</v>
      </c>
      <c r="D2754" s="30">
        <v>110228</v>
      </c>
      <c r="E2754" s="30">
        <v>110678</v>
      </c>
      <c r="F2754" s="30">
        <v>111751</v>
      </c>
      <c r="G2754" s="30">
        <v>113307</v>
      </c>
      <c r="H2754" s="30">
        <v>114680</v>
      </c>
      <c r="I2754" s="30">
        <v>116319</v>
      </c>
      <c r="J2754" s="30">
        <v>117514</v>
      </c>
      <c r="K2754" s="30">
        <v>117634</v>
      </c>
      <c r="L2754" s="30">
        <v>117566</v>
      </c>
      <c r="M2754" s="30">
        <v>118014</v>
      </c>
      <c r="N2754" s="30">
        <v>119200</v>
      </c>
      <c r="O2754" s="24" t="str">
        <f t="shared" si="85"/>
        <v>Tom Green County, Texas</v>
      </c>
    </row>
    <row r="2755" spans="1:15" x14ac:dyDescent="0.25">
      <c r="A2755" s="35" t="s">
        <v>3230</v>
      </c>
      <c r="B2755" s="28" t="str">
        <f t="shared" si="84"/>
        <v>Travis</v>
      </c>
      <c r="C2755" s="30">
        <v>1024266</v>
      </c>
      <c r="D2755" s="30">
        <v>1024444</v>
      </c>
      <c r="E2755" s="30">
        <v>1030503</v>
      </c>
      <c r="F2755" s="30">
        <v>1061709</v>
      </c>
      <c r="G2755" s="30">
        <v>1096886</v>
      </c>
      <c r="H2755" s="30">
        <v>1122248</v>
      </c>
      <c r="I2755" s="30">
        <v>1152260</v>
      </c>
      <c r="J2755" s="30">
        <v>1179805</v>
      </c>
      <c r="K2755" s="30">
        <v>1206110</v>
      </c>
      <c r="L2755" s="30">
        <v>1227585</v>
      </c>
      <c r="M2755" s="30">
        <v>1246572</v>
      </c>
      <c r="N2755" s="30">
        <v>1273954</v>
      </c>
      <c r="O2755" s="24" t="str">
        <f t="shared" si="85"/>
        <v>Travis County, Texas</v>
      </c>
    </row>
    <row r="2756" spans="1:15" x14ac:dyDescent="0.25">
      <c r="A2756" s="35" t="s">
        <v>3231</v>
      </c>
      <c r="B2756" s="28" t="str">
        <f t="shared" si="84"/>
        <v>Trinity</v>
      </c>
      <c r="C2756" s="30">
        <v>14585</v>
      </c>
      <c r="D2756" s="30">
        <v>14675</v>
      </c>
      <c r="E2756" s="30">
        <v>14729</v>
      </c>
      <c r="F2756" s="30">
        <v>14686</v>
      </c>
      <c r="G2756" s="30">
        <v>14372</v>
      </c>
      <c r="H2756" s="30">
        <v>14445</v>
      </c>
      <c r="I2756" s="30">
        <v>14298</v>
      </c>
      <c r="J2756" s="30">
        <v>14539</v>
      </c>
      <c r="K2756" s="30">
        <v>14543</v>
      </c>
      <c r="L2756" s="30">
        <v>14677</v>
      </c>
      <c r="M2756" s="30">
        <v>14688</v>
      </c>
      <c r="N2756" s="30">
        <v>14651</v>
      </c>
      <c r="O2756" s="24" t="str">
        <f t="shared" si="85"/>
        <v>Trinity County, Texas</v>
      </c>
    </row>
    <row r="2757" spans="1:15" x14ac:dyDescent="0.25">
      <c r="A2757" s="35" t="s">
        <v>3232</v>
      </c>
      <c r="B2757" s="28" t="str">
        <f t="shared" si="84"/>
        <v>Tyler</v>
      </c>
      <c r="C2757" s="30">
        <v>21766</v>
      </c>
      <c r="D2757" s="30">
        <v>21760</v>
      </c>
      <c r="E2757" s="30">
        <v>21764</v>
      </c>
      <c r="F2757" s="30">
        <v>21674</v>
      </c>
      <c r="G2757" s="30">
        <v>21504</v>
      </c>
      <c r="H2757" s="30">
        <v>21508</v>
      </c>
      <c r="I2757" s="30">
        <v>21468</v>
      </c>
      <c r="J2757" s="30">
        <v>21370</v>
      </c>
      <c r="K2757" s="30">
        <v>21423</v>
      </c>
      <c r="L2757" s="30">
        <v>21517</v>
      </c>
      <c r="M2757" s="30">
        <v>21609</v>
      </c>
      <c r="N2757" s="30">
        <v>21672</v>
      </c>
      <c r="O2757" s="24" t="str">
        <f t="shared" si="85"/>
        <v>Tyler County, Texas</v>
      </c>
    </row>
    <row r="2758" spans="1:15" x14ac:dyDescent="0.25">
      <c r="A2758" s="35" t="s">
        <v>3233</v>
      </c>
      <c r="B2758" s="28" t="str">
        <f t="shared" si="84"/>
        <v>Upshur</v>
      </c>
      <c r="C2758" s="30">
        <v>39309</v>
      </c>
      <c r="D2758" s="30">
        <v>39311</v>
      </c>
      <c r="E2758" s="30">
        <v>39377</v>
      </c>
      <c r="F2758" s="30">
        <v>39731</v>
      </c>
      <c r="G2758" s="30">
        <v>39918</v>
      </c>
      <c r="H2758" s="30">
        <v>39757</v>
      </c>
      <c r="I2758" s="30">
        <v>40280</v>
      </c>
      <c r="J2758" s="30">
        <v>40317</v>
      </c>
      <c r="K2758" s="30">
        <v>40771</v>
      </c>
      <c r="L2758" s="30">
        <v>41069</v>
      </c>
      <c r="M2758" s="30">
        <v>41179</v>
      </c>
      <c r="N2758" s="30">
        <v>41753</v>
      </c>
      <c r="O2758" s="24" t="str">
        <f t="shared" si="85"/>
        <v>Upshur County, Texas</v>
      </c>
    </row>
    <row r="2759" spans="1:15" x14ac:dyDescent="0.25">
      <c r="A2759" s="35" t="s">
        <v>3234</v>
      </c>
      <c r="B2759" s="28" t="str">
        <f t="shared" ref="B2759:B2822" si="86">LEFT(A2759,FIND("County",A2759,1)-2)</f>
        <v>Upton</v>
      </c>
      <c r="C2759" s="30">
        <v>3355</v>
      </c>
      <c r="D2759" s="30">
        <v>3349</v>
      </c>
      <c r="E2759" s="30">
        <v>3338</v>
      </c>
      <c r="F2759" s="30">
        <v>3284</v>
      </c>
      <c r="G2759" s="30">
        <v>3263</v>
      </c>
      <c r="H2759" s="30">
        <v>3386</v>
      </c>
      <c r="I2759" s="30">
        <v>3482</v>
      </c>
      <c r="J2759" s="30">
        <v>3652</v>
      </c>
      <c r="K2759" s="30">
        <v>3690</v>
      </c>
      <c r="L2759" s="30">
        <v>3658</v>
      </c>
      <c r="M2759" s="30">
        <v>3637</v>
      </c>
      <c r="N2759" s="30">
        <v>3657</v>
      </c>
      <c r="O2759" s="24" t="str">
        <f t="shared" ref="O2759:O2822" si="87">A2759</f>
        <v>Upton County, Texas</v>
      </c>
    </row>
    <row r="2760" spans="1:15" x14ac:dyDescent="0.25">
      <c r="A2760" s="35" t="s">
        <v>3235</v>
      </c>
      <c r="B2760" s="28" t="str">
        <f t="shared" si="86"/>
        <v>Uvalde</v>
      </c>
      <c r="C2760" s="30">
        <v>26405</v>
      </c>
      <c r="D2760" s="30">
        <v>26405</v>
      </c>
      <c r="E2760" s="30">
        <v>26443</v>
      </c>
      <c r="F2760" s="30">
        <v>26588</v>
      </c>
      <c r="G2760" s="30">
        <v>26746</v>
      </c>
      <c r="H2760" s="30">
        <v>26904</v>
      </c>
      <c r="I2760" s="30">
        <v>27022</v>
      </c>
      <c r="J2760" s="30">
        <v>26949</v>
      </c>
      <c r="K2760" s="30">
        <v>27081</v>
      </c>
      <c r="L2760" s="30">
        <v>27043</v>
      </c>
      <c r="M2760" s="30">
        <v>26787</v>
      </c>
      <c r="N2760" s="30">
        <v>26741</v>
      </c>
      <c r="O2760" s="24" t="str">
        <f t="shared" si="87"/>
        <v>Uvalde County, Texas</v>
      </c>
    </row>
    <row r="2761" spans="1:15" x14ac:dyDescent="0.25">
      <c r="A2761" s="35" t="s">
        <v>3236</v>
      </c>
      <c r="B2761" s="28" t="str">
        <f t="shared" si="86"/>
        <v>Val Verde</v>
      </c>
      <c r="C2761" s="30">
        <v>48879</v>
      </c>
      <c r="D2761" s="30">
        <v>48879</v>
      </c>
      <c r="E2761" s="30">
        <v>48971</v>
      </c>
      <c r="F2761" s="30">
        <v>48972</v>
      </c>
      <c r="G2761" s="30">
        <v>48976</v>
      </c>
      <c r="H2761" s="30">
        <v>49044</v>
      </c>
      <c r="I2761" s="30">
        <v>48845</v>
      </c>
      <c r="J2761" s="30">
        <v>48891</v>
      </c>
      <c r="K2761" s="30">
        <v>48911</v>
      </c>
      <c r="L2761" s="30">
        <v>49028</v>
      </c>
      <c r="M2761" s="30">
        <v>48988</v>
      </c>
      <c r="N2761" s="30">
        <v>49025</v>
      </c>
      <c r="O2761" s="24" t="str">
        <f t="shared" si="87"/>
        <v>Val Verde County, Texas</v>
      </c>
    </row>
    <row r="2762" spans="1:15" x14ac:dyDescent="0.25">
      <c r="A2762" s="35" t="s">
        <v>3237</v>
      </c>
      <c r="B2762" s="28" t="str">
        <f t="shared" si="86"/>
        <v>Van Zandt</v>
      </c>
      <c r="C2762" s="30">
        <v>52579</v>
      </c>
      <c r="D2762" s="30">
        <v>52552</v>
      </c>
      <c r="E2762" s="30">
        <v>52579</v>
      </c>
      <c r="F2762" s="30">
        <v>52487</v>
      </c>
      <c r="G2762" s="30">
        <v>52207</v>
      </c>
      <c r="H2762" s="30">
        <v>52328</v>
      </c>
      <c r="I2762" s="30">
        <v>52781</v>
      </c>
      <c r="J2762" s="30">
        <v>53430</v>
      </c>
      <c r="K2762" s="30">
        <v>54367</v>
      </c>
      <c r="L2762" s="30">
        <v>55163</v>
      </c>
      <c r="M2762" s="30">
        <v>55966</v>
      </c>
      <c r="N2762" s="30">
        <v>56590</v>
      </c>
      <c r="O2762" s="24" t="str">
        <f t="shared" si="87"/>
        <v>Van Zandt County, Texas</v>
      </c>
    </row>
    <row r="2763" spans="1:15" x14ac:dyDescent="0.25">
      <c r="A2763" s="35" t="s">
        <v>3238</v>
      </c>
      <c r="B2763" s="28" t="str">
        <f t="shared" si="86"/>
        <v>Victoria</v>
      </c>
      <c r="C2763" s="30">
        <v>86793</v>
      </c>
      <c r="D2763" s="30">
        <v>86793</v>
      </c>
      <c r="E2763" s="30">
        <v>86883</v>
      </c>
      <c r="F2763" s="30">
        <v>87557</v>
      </c>
      <c r="G2763" s="30">
        <v>89116</v>
      </c>
      <c r="H2763" s="30">
        <v>90066</v>
      </c>
      <c r="I2763" s="30">
        <v>91042</v>
      </c>
      <c r="J2763" s="30">
        <v>92136</v>
      </c>
      <c r="K2763" s="30">
        <v>92402</v>
      </c>
      <c r="L2763" s="30">
        <v>92045</v>
      </c>
      <c r="M2763" s="30">
        <v>91878</v>
      </c>
      <c r="N2763" s="30">
        <v>92084</v>
      </c>
      <c r="O2763" s="24" t="str">
        <f t="shared" si="87"/>
        <v>Victoria County, Texas</v>
      </c>
    </row>
    <row r="2764" spans="1:15" x14ac:dyDescent="0.25">
      <c r="A2764" s="35" t="s">
        <v>3239</v>
      </c>
      <c r="B2764" s="28" t="str">
        <f t="shared" si="86"/>
        <v>Walker</v>
      </c>
      <c r="C2764" s="30">
        <v>67861</v>
      </c>
      <c r="D2764" s="30">
        <v>67860</v>
      </c>
      <c r="E2764" s="30">
        <v>68241</v>
      </c>
      <c r="F2764" s="30">
        <v>68409</v>
      </c>
      <c r="G2764" s="30">
        <v>68609</v>
      </c>
      <c r="H2764" s="30">
        <v>69404</v>
      </c>
      <c r="I2764" s="30">
        <v>70076</v>
      </c>
      <c r="J2764" s="30">
        <v>70836</v>
      </c>
      <c r="K2764" s="30">
        <v>71845</v>
      </c>
      <c r="L2764" s="30">
        <v>72816</v>
      </c>
      <c r="M2764" s="30">
        <v>73136</v>
      </c>
      <c r="N2764" s="30">
        <v>72971</v>
      </c>
      <c r="O2764" s="24" t="str">
        <f t="shared" si="87"/>
        <v>Walker County, Texas</v>
      </c>
    </row>
    <row r="2765" spans="1:15" x14ac:dyDescent="0.25">
      <c r="A2765" s="35" t="s">
        <v>3240</v>
      </c>
      <c r="B2765" s="28" t="str">
        <f t="shared" si="86"/>
        <v>Waller</v>
      </c>
      <c r="C2765" s="30">
        <v>43205</v>
      </c>
      <c r="D2765" s="30">
        <v>43274</v>
      </c>
      <c r="E2765" s="30">
        <v>43519</v>
      </c>
      <c r="F2765" s="30">
        <v>44101</v>
      </c>
      <c r="G2765" s="30">
        <v>44335</v>
      </c>
      <c r="H2765" s="30">
        <v>45408</v>
      </c>
      <c r="I2765" s="30">
        <v>46765</v>
      </c>
      <c r="J2765" s="30">
        <v>48641</v>
      </c>
      <c r="K2765" s="30">
        <v>50046</v>
      </c>
      <c r="L2765" s="30">
        <v>51717</v>
      </c>
      <c r="M2765" s="30">
        <v>53512</v>
      </c>
      <c r="N2765" s="30">
        <v>55246</v>
      </c>
      <c r="O2765" s="24" t="str">
        <f t="shared" si="87"/>
        <v>Waller County, Texas</v>
      </c>
    </row>
    <row r="2766" spans="1:15" x14ac:dyDescent="0.25">
      <c r="A2766" s="35" t="s">
        <v>3241</v>
      </c>
      <c r="B2766" s="28" t="str">
        <f t="shared" si="86"/>
        <v>Ward</v>
      </c>
      <c r="C2766" s="30">
        <v>10658</v>
      </c>
      <c r="D2766" s="30">
        <v>10658</v>
      </c>
      <c r="E2766" s="30">
        <v>10594</v>
      </c>
      <c r="F2766" s="30">
        <v>10671</v>
      </c>
      <c r="G2766" s="30">
        <v>10823</v>
      </c>
      <c r="H2766" s="30">
        <v>11205</v>
      </c>
      <c r="I2766" s="30">
        <v>11571</v>
      </c>
      <c r="J2766" s="30">
        <v>11631</v>
      </c>
      <c r="K2766" s="30">
        <v>11571</v>
      </c>
      <c r="L2766" s="30">
        <v>11383</v>
      </c>
      <c r="M2766" s="30">
        <v>11709</v>
      </c>
      <c r="N2766" s="30">
        <v>11998</v>
      </c>
      <c r="O2766" s="24" t="str">
        <f t="shared" si="87"/>
        <v>Ward County, Texas</v>
      </c>
    </row>
    <row r="2767" spans="1:15" x14ac:dyDescent="0.25">
      <c r="A2767" s="35" t="s">
        <v>3242</v>
      </c>
      <c r="B2767" s="28" t="str">
        <f t="shared" si="86"/>
        <v>Washington</v>
      </c>
      <c r="C2767" s="30">
        <v>33718</v>
      </c>
      <c r="D2767" s="30">
        <v>33699</v>
      </c>
      <c r="E2767" s="30">
        <v>33708</v>
      </c>
      <c r="F2767" s="30">
        <v>33966</v>
      </c>
      <c r="G2767" s="30">
        <v>33930</v>
      </c>
      <c r="H2767" s="30">
        <v>34201</v>
      </c>
      <c r="I2767" s="30">
        <v>34403</v>
      </c>
      <c r="J2767" s="30">
        <v>34836</v>
      </c>
      <c r="K2767" s="30">
        <v>34740</v>
      </c>
      <c r="L2767" s="30">
        <v>34861</v>
      </c>
      <c r="M2767" s="30">
        <v>35496</v>
      </c>
      <c r="N2767" s="30">
        <v>35882</v>
      </c>
      <c r="O2767" s="24" t="str">
        <f t="shared" si="87"/>
        <v>Washington County, Texas</v>
      </c>
    </row>
    <row r="2768" spans="1:15" x14ac:dyDescent="0.25">
      <c r="A2768" s="35" t="s">
        <v>3243</v>
      </c>
      <c r="B2768" s="28" t="str">
        <f t="shared" si="86"/>
        <v>Webb</v>
      </c>
      <c r="C2768" s="30">
        <v>250304</v>
      </c>
      <c r="D2768" s="30">
        <v>250304</v>
      </c>
      <c r="E2768" s="30">
        <v>251370</v>
      </c>
      <c r="F2768" s="30">
        <v>255935</v>
      </c>
      <c r="G2768" s="30">
        <v>260595</v>
      </c>
      <c r="H2768" s="30">
        <v>264430</v>
      </c>
      <c r="I2768" s="30">
        <v>267465</v>
      </c>
      <c r="J2768" s="30">
        <v>269865</v>
      </c>
      <c r="K2768" s="30">
        <v>272301</v>
      </c>
      <c r="L2768" s="30">
        <v>273691</v>
      </c>
      <c r="M2768" s="30">
        <v>275120</v>
      </c>
      <c r="N2768" s="30">
        <v>276652</v>
      </c>
      <c r="O2768" s="24" t="str">
        <f t="shared" si="87"/>
        <v>Webb County, Texas</v>
      </c>
    </row>
    <row r="2769" spans="1:15" x14ac:dyDescent="0.25">
      <c r="A2769" s="35" t="s">
        <v>3244</v>
      </c>
      <c r="B2769" s="28" t="str">
        <f t="shared" si="86"/>
        <v>Wharton</v>
      </c>
      <c r="C2769" s="30">
        <v>41280</v>
      </c>
      <c r="D2769" s="30">
        <v>41280</v>
      </c>
      <c r="E2769" s="30">
        <v>41281</v>
      </c>
      <c r="F2769" s="30">
        <v>41287</v>
      </c>
      <c r="G2769" s="30">
        <v>41136</v>
      </c>
      <c r="H2769" s="30">
        <v>41122</v>
      </c>
      <c r="I2769" s="30">
        <v>41095</v>
      </c>
      <c r="J2769" s="30">
        <v>41383</v>
      </c>
      <c r="K2769" s="30">
        <v>41609</v>
      </c>
      <c r="L2769" s="30">
        <v>41837</v>
      </c>
      <c r="M2769" s="30">
        <v>41499</v>
      </c>
      <c r="N2769" s="30">
        <v>41556</v>
      </c>
      <c r="O2769" s="24" t="str">
        <f t="shared" si="87"/>
        <v>Wharton County, Texas</v>
      </c>
    </row>
    <row r="2770" spans="1:15" x14ac:dyDescent="0.25">
      <c r="A2770" s="35" t="s">
        <v>3245</v>
      </c>
      <c r="B2770" s="28" t="str">
        <f t="shared" si="86"/>
        <v>Wheeler</v>
      </c>
      <c r="C2770" s="30">
        <v>5410</v>
      </c>
      <c r="D2770" s="30">
        <v>5406</v>
      </c>
      <c r="E2770" s="30">
        <v>5387</v>
      </c>
      <c r="F2770" s="30">
        <v>5446</v>
      </c>
      <c r="G2770" s="30">
        <v>5589</v>
      </c>
      <c r="H2770" s="30">
        <v>5716</v>
      </c>
      <c r="I2770" s="30">
        <v>5696</v>
      </c>
      <c r="J2770" s="30">
        <v>5658</v>
      </c>
      <c r="K2770" s="30">
        <v>5518</v>
      </c>
      <c r="L2770" s="30">
        <v>5300</v>
      </c>
      <c r="M2770" s="30">
        <v>5158</v>
      </c>
      <c r="N2770" s="30">
        <v>5056</v>
      </c>
      <c r="O2770" s="24" t="str">
        <f t="shared" si="87"/>
        <v>Wheeler County, Texas</v>
      </c>
    </row>
    <row r="2771" spans="1:15" x14ac:dyDescent="0.25">
      <c r="A2771" s="35" t="s">
        <v>3246</v>
      </c>
      <c r="B2771" s="28" t="str">
        <f t="shared" si="86"/>
        <v>Wichita</v>
      </c>
      <c r="C2771" s="30">
        <v>131500</v>
      </c>
      <c r="D2771" s="30">
        <v>131659</v>
      </c>
      <c r="E2771" s="30">
        <v>131794</v>
      </c>
      <c r="F2771" s="30">
        <v>130803</v>
      </c>
      <c r="G2771" s="30">
        <v>131701</v>
      </c>
      <c r="H2771" s="30">
        <v>132192</v>
      </c>
      <c r="I2771" s="30">
        <v>132646</v>
      </c>
      <c r="J2771" s="30">
        <v>130961</v>
      </c>
      <c r="K2771" s="30">
        <v>131295</v>
      </c>
      <c r="L2771" s="30">
        <v>131689</v>
      </c>
      <c r="M2771" s="30">
        <v>131807</v>
      </c>
      <c r="N2771" s="30">
        <v>132230</v>
      </c>
      <c r="O2771" s="24" t="str">
        <f t="shared" si="87"/>
        <v>Wichita County, Texas</v>
      </c>
    </row>
    <row r="2772" spans="1:15" x14ac:dyDescent="0.25">
      <c r="A2772" s="35" t="s">
        <v>3247</v>
      </c>
      <c r="B2772" s="28" t="str">
        <f t="shared" si="86"/>
        <v>Wilbarger</v>
      </c>
      <c r="C2772" s="30">
        <v>13535</v>
      </c>
      <c r="D2772" s="30">
        <v>13535</v>
      </c>
      <c r="E2772" s="30">
        <v>13509</v>
      </c>
      <c r="F2772" s="30">
        <v>13452</v>
      </c>
      <c r="G2772" s="30">
        <v>13289</v>
      </c>
      <c r="H2772" s="30">
        <v>13204</v>
      </c>
      <c r="I2772" s="30">
        <v>12988</v>
      </c>
      <c r="J2772" s="30">
        <v>13055</v>
      </c>
      <c r="K2772" s="30">
        <v>12880</v>
      </c>
      <c r="L2772" s="30">
        <v>12683</v>
      </c>
      <c r="M2772" s="30">
        <v>12777</v>
      </c>
      <c r="N2772" s="30">
        <v>12769</v>
      </c>
      <c r="O2772" s="24" t="str">
        <f t="shared" si="87"/>
        <v>Wilbarger County, Texas</v>
      </c>
    </row>
    <row r="2773" spans="1:15" x14ac:dyDescent="0.25">
      <c r="A2773" s="35" t="s">
        <v>3248</v>
      </c>
      <c r="B2773" s="28" t="str">
        <f t="shared" si="86"/>
        <v>Willacy</v>
      </c>
      <c r="C2773" s="30">
        <v>22134</v>
      </c>
      <c r="D2773" s="30">
        <v>22136</v>
      </c>
      <c r="E2773" s="30">
        <v>22225</v>
      </c>
      <c r="F2773" s="30">
        <v>22167</v>
      </c>
      <c r="G2773" s="30">
        <v>22208</v>
      </c>
      <c r="H2773" s="30">
        <v>22019</v>
      </c>
      <c r="I2773" s="30">
        <v>21935</v>
      </c>
      <c r="J2773" s="30">
        <v>21863</v>
      </c>
      <c r="K2773" s="30">
        <v>21761</v>
      </c>
      <c r="L2773" s="30">
        <v>21508</v>
      </c>
      <c r="M2773" s="30">
        <v>21450</v>
      </c>
      <c r="N2773" s="30">
        <v>21358</v>
      </c>
      <c r="O2773" s="24" t="str">
        <f t="shared" si="87"/>
        <v>Willacy County, Texas</v>
      </c>
    </row>
    <row r="2774" spans="1:15" x14ac:dyDescent="0.25">
      <c r="A2774" s="35" t="s">
        <v>3249</v>
      </c>
      <c r="B2774" s="28" t="str">
        <f t="shared" si="86"/>
        <v>Williamson</v>
      </c>
      <c r="C2774" s="30">
        <v>422679</v>
      </c>
      <c r="D2774" s="30">
        <v>422504</v>
      </c>
      <c r="E2774" s="30">
        <v>426287</v>
      </c>
      <c r="F2774" s="30">
        <v>442031</v>
      </c>
      <c r="G2774" s="30">
        <v>455750</v>
      </c>
      <c r="H2774" s="30">
        <v>470017</v>
      </c>
      <c r="I2774" s="30">
        <v>487913</v>
      </c>
      <c r="J2774" s="30">
        <v>507133</v>
      </c>
      <c r="K2774" s="30">
        <v>527622</v>
      </c>
      <c r="L2774" s="30">
        <v>546251</v>
      </c>
      <c r="M2774" s="30">
        <v>566463</v>
      </c>
      <c r="N2774" s="30">
        <v>590551</v>
      </c>
      <c r="O2774" s="24" t="str">
        <f t="shared" si="87"/>
        <v>Williamson County, Texas</v>
      </c>
    </row>
    <row r="2775" spans="1:15" x14ac:dyDescent="0.25">
      <c r="A2775" s="35" t="s">
        <v>3250</v>
      </c>
      <c r="B2775" s="28" t="str">
        <f t="shared" si="86"/>
        <v>Wilson</v>
      </c>
      <c r="C2775" s="30">
        <v>42918</v>
      </c>
      <c r="D2775" s="30">
        <v>42905</v>
      </c>
      <c r="E2775" s="30">
        <v>43051</v>
      </c>
      <c r="F2775" s="30">
        <v>43667</v>
      </c>
      <c r="G2775" s="30">
        <v>44353</v>
      </c>
      <c r="H2775" s="30">
        <v>45217</v>
      </c>
      <c r="I2775" s="30">
        <v>46145</v>
      </c>
      <c r="J2775" s="30">
        <v>47178</v>
      </c>
      <c r="K2775" s="30">
        <v>48212</v>
      </c>
      <c r="L2775" s="30">
        <v>49211</v>
      </c>
      <c r="M2775" s="30">
        <v>50196</v>
      </c>
      <c r="N2775" s="30">
        <v>51070</v>
      </c>
      <c r="O2775" s="24" t="str">
        <f t="shared" si="87"/>
        <v>Wilson County, Texas</v>
      </c>
    </row>
    <row r="2776" spans="1:15" x14ac:dyDescent="0.25">
      <c r="A2776" s="35" t="s">
        <v>3251</v>
      </c>
      <c r="B2776" s="28" t="str">
        <f t="shared" si="86"/>
        <v>Winkler</v>
      </c>
      <c r="C2776" s="30">
        <v>7110</v>
      </c>
      <c r="D2776" s="30">
        <v>7110</v>
      </c>
      <c r="E2776" s="30">
        <v>7085</v>
      </c>
      <c r="F2776" s="30">
        <v>7165</v>
      </c>
      <c r="G2776" s="30">
        <v>7371</v>
      </c>
      <c r="H2776" s="30">
        <v>7635</v>
      </c>
      <c r="I2776" s="30">
        <v>7819</v>
      </c>
      <c r="J2776" s="30">
        <v>8027</v>
      </c>
      <c r="K2776" s="30">
        <v>7915</v>
      </c>
      <c r="L2776" s="30">
        <v>7605</v>
      </c>
      <c r="M2776" s="30">
        <v>7778</v>
      </c>
      <c r="N2776" s="30">
        <v>8010</v>
      </c>
      <c r="O2776" s="24" t="str">
        <f t="shared" si="87"/>
        <v>Winkler County, Texas</v>
      </c>
    </row>
    <row r="2777" spans="1:15" x14ac:dyDescent="0.25">
      <c r="A2777" s="35" t="s">
        <v>3252</v>
      </c>
      <c r="B2777" s="28" t="str">
        <f t="shared" si="86"/>
        <v>Wise</v>
      </c>
      <c r="C2777" s="30">
        <v>59127</v>
      </c>
      <c r="D2777" s="30">
        <v>59115</v>
      </c>
      <c r="E2777" s="30">
        <v>59115</v>
      </c>
      <c r="F2777" s="30">
        <v>59967</v>
      </c>
      <c r="G2777" s="30">
        <v>60424</v>
      </c>
      <c r="H2777" s="30">
        <v>61019</v>
      </c>
      <c r="I2777" s="30">
        <v>61702</v>
      </c>
      <c r="J2777" s="30">
        <v>62857</v>
      </c>
      <c r="K2777" s="30">
        <v>64478</v>
      </c>
      <c r="L2777" s="30">
        <v>65848</v>
      </c>
      <c r="M2777" s="30">
        <v>68284</v>
      </c>
      <c r="N2777" s="30">
        <v>69984</v>
      </c>
      <c r="O2777" s="24" t="str">
        <f t="shared" si="87"/>
        <v>Wise County, Texas</v>
      </c>
    </row>
    <row r="2778" spans="1:15" x14ac:dyDescent="0.25">
      <c r="A2778" s="35" t="s">
        <v>3253</v>
      </c>
      <c r="B2778" s="28" t="str">
        <f t="shared" si="86"/>
        <v>Wood</v>
      </c>
      <c r="C2778" s="30">
        <v>41964</v>
      </c>
      <c r="D2778" s="30">
        <v>41959</v>
      </c>
      <c r="E2778" s="30">
        <v>41977</v>
      </c>
      <c r="F2778" s="30">
        <v>42092</v>
      </c>
      <c r="G2778" s="30">
        <v>42383</v>
      </c>
      <c r="H2778" s="30">
        <v>42346</v>
      </c>
      <c r="I2778" s="30">
        <v>42764</v>
      </c>
      <c r="J2778" s="30">
        <v>43117</v>
      </c>
      <c r="K2778" s="30">
        <v>43753</v>
      </c>
      <c r="L2778" s="30">
        <v>44263</v>
      </c>
      <c r="M2778" s="30">
        <v>45157</v>
      </c>
      <c r="N2778" s="30">
        <v>45539</v>
      </c>
      <c r="O2778" s="24" t="str">
        <f t="shared" si="87"/>
        <v>Wood County, Texas</v>
      </c>
    </row>
    <row r="2779" spans="1:15" x14ac:dyDescent="0.25">
      <c r="A2779" s="35" t="s">
        <v>3254</v>
      </c>
      <c r="B2779" s="28" t="str">
        <f t="shared" si="86"/>
        <v>Yoakum</v>
      </c>
      <c r="C2779" s="30">
        <v>7879</v>
      </c>
      <c r="D2779" s="30">
        <v>7879</v>
      </c>
      <c r="E2779" s="30">
        <v>7851</v>
      </c>
      <c r="F2779" s="30">
        <v>7971</v>
      </c>
      <c r="G2779" s="30">
        <v>8055</v>
      </c>
      <c r="H2779" s="30">
        <v>8222</v>
      </c>
      <c r="I2779" s="30">
        <v>8398</v>
      </c>
      <c r="J2779" s="30">
        <v>8644</v>
      </c>
      <c r="K2779" s="30">
        <v>8652</v>
      </c>
      <c r="L2779" s="30">
        <v>8557</v>
      </c>
      <c r="M2779" s="30">
        <v>8590</v>
      </c>
      <c r="N2779" s="30">
        <v>8713</v>
      </c>
      <c r="O2779" s="24" t="str">
        <f t="shared" si="87"/>
        <v>Yoakum County, Texas</v>
      </c>
    </row>
    <row r="2780" spans="1:15" x14ac:dyDescent="0.25">
      <c r="A2780" s="35" t="s">
        <v>3255</v>
      </c>
      <c r="B2780" s="28" t="str">
        <f t="shared" si="86"/>
        <v>Young</v>
      </c>
      <c r="C2780" s="30">
        <v>18550</v>
      </c>
      <c r="D2780" s="30">
        <v>18550</v>
      </c>
      <c r="E2780" s="30">
        <v>18522</v>
      </c>
      <c r="F2780" s="30">
        <v>18355</v>
      </c>
      <c r="G2780" s="30">
        <v>18278</v>
      </c>
      <c r="H2780" s="30">
        <v>18354</v>
      </c>
      <c r="I2780" s="30">
        <v>18274</v>
      </c>
      <c r="J2780" s="30">
        <v>18163</v>
      </c>
      <c r="K2780" s="30">
        <v>18098</v>
      </c>
      <c r="L2780" s="30">
        <v>17922</v>
      </c>
      <c r="M2780" s="30">
        <v>17986</v>
      </c>
      <c r="N2780" s="30">
        <v>18010</v>
      </c>
      <c r="O2780" s="24" t="str">
        <f t="shared" si="87"/>
        <v>Young County, Texas</v>
      </c>
    </row>
    <row r="2781" spans="1:15" x14ac:dyDescent="0.25">
      <c r="A2781" s="35" t="s">
        <v>3256</v>
      </c>
      <c r="B2781" s="28" t="str">
        <f t="shared" si="86"/>
        <v>Zapata</v>
      </c>
      <c r="C2781" s="30">
        <v>14018</v>
      </c>
      <c r="D2781" s="30">
        <v>14018</v>
      </c>
      <c r="E2781" s="30">
        <v>14087</v>
      </c>
      <c r="F2781" s="30">
        <v>14227</v>
      </c>
      <c r="G2781" s="30">
        <v>14276</v>
      </c>
      <c r="H2781" s="30">
        <v>14385</v>
      </c>
      <c r="I2781" s="30">
        <v>14376</v>
      </c>
      <c r="J2781" s="30">
        <v>14493</v>
      </c>
      <c r="K2781" s="30">
        <v>14446</v>
      </c>
      <c r="L2781" s="30">
        <v>14254</v>
      </c>
      <c r="M2781" s="30">
        <v>14149</v>
      </c>
      <c r="N2781" s="30">
        <v>14179</v>
      </c>
      <c r="O2781" s="24" t="str">
        <f t="shared" si="87"/>
        <v>Zapata County, Texas</v>
      </c>
    </row>
    <row r="2782" spans="1:15" x14ac:dyDescent="0.25">
      <c r="A2782" s="35" t="s">
        <v>3257</v>
      </c>
      <c r="B2782" s="28" t="str">
        <f t="shared" si="86"/>
        <v>Zavala</v>
      </c>
      <c r="C2782" s="30">
        <v>11677</v>
      </c>
      <c r="D2782" s="30">
        <v>11677</v>
      </c>
      <c r="E2782" s="30">
        <v>11729</v>
      </c>
      <c r="F2782" s="30">
        <v>11875</v>
      </c>
      <c r="G2782" s="30">
        <v>12014</v>
      </c>
      <c r="H2782" s="30">
        <v>12195</v>
      </c>
      <c r="I2782" s="30">
        <v>12243</v>
      </c>
      <c r="J2782" s="30">
        <v>12310</v>
      </c>
      <c r="K2782" s="30">
        <v>12121</v>
      </c>
      <c r="L2782" s="30">
        <v>11957</v>
      </c>
      <c r="M2782" s="30">
        <v>11969</v>
      </c>
      <c r="N2782" s="30">
        <v>11840</v>
      </c>
      <c r="O2782" s="24" t="str">
        <f t="shared" si="87"/>
        <v>Zavala County, Texas</v>
      </c>
    </row>
    <row r="2783" spans="1:15" x14ac:dyDescent="0.25">
      <c r="A2783" s="35" t="s">
        <v>3258</v>
      </c>
      <c r="B2783" s="28" t="str">
        <f t="shared" si="86"/>
        <v>Beaver</v>
      </c>
      <c r="C2783" s="30">
        <v>6629</v>
      </c>
      <c r="D2783" s="30">
        <v>6629</v>
      </c>
      <c r="E2783" s="30">
        <v>6655</v>
      </c>
      <c r="F2783" s="30">
        <v>6559</v>
      </c>
      <c r="G2783" s="30">
        <v>6500</v>
      </c>
      <c r="H2783" s="30">
        <v>6457</v>
      </c>
      <c r="I2783" s="30">
        <v>6432</v>
      </c>
      <c r="J2783" s="30">
        <v>6353</v>
      </c>
      <c r="K2783" s="30">
        <v>6478</v>
      </c>
      <c r="L2783" s="30">
        <v>6421</v>
      </c>
      <c r="M2783" s="30">
        <v>6625</v>
      </c>
      <c r="N2783" s="30">
        <v>6710</v>
      </c>
      <c r="O2783" s="24" t="str">
        <f t="shared" si="87"/>
        <v>Beaver County, Utah</v>
      </c>
    </row>
    <row r="2784" spans="1:15" x14ac:dyDescent="0.25">
      <c r="A2784" s="35" t="s">
        <v>3259</v>
      </c>
      <c r="B2784" s="28" t="str">
        <f t="shared" si="86"/>
        <v>Box Elder</v>
      </c>
      <c r="C2784" s="30">
        <v>49975</v>
      </c>
      <c r="D2784" s="30">
        <v>49983</v>
      </c>
      <c r="E2784" s="30">
        <v>50175</v>
      </c>
      <c r="F2784" s="30">
        <v>50239</v>
      </c>
      <c r="G2784" s="30">
        <v>50201</v>
      </c>
      <c r="H2784" s="30">
        <v>50727</v>
      </c>
      <c r="I2784" s="30">
        <v>51300</v>
      </c>
      <c r="J2784" s="30">
        <v>51826</v>
      </c>
      <c r="K2784" s="30">
        <v>52975</v>
      </c>
      <c r="L2784" s="30">
        <v>53977</v>
      </c>
      <c r="M2784" s="30">
        <v>54906</v>
      </c>
      <c r="N2784" s="30">
        <v>56046</v>
      </c>
      <c r="O2784" s="24" t="str">
        <f t="shared" si="87"/>
        <v>Box Elder County, Utah</v>
      </c>
    </row>
    <row r="2785" spans="1:15" x14ac:dyDescent="0.25">
      <c r="A2785" s="35" t="s">
        <v>3260</v>
      </c>
      <c r="B2785" s="28" t="str">
        <f t="shared" si="86"/>
        <v>Cache</v>
      </c>
      <c r="C2785" s="30">
        <v>112656</v>
      </c>
      <c r="D2785" s="30">
        <v>112656</v>
      </c>
      <c r="E2785" s="30">
        <v>113386</v>
      </c>
      <c r="F2785" s="30">
        <v>114781</v>
      </c>
      <c r="G2785" s="30">
        <v>115895</v>
      </c>
      <c r="H2785" s="30">
        <v>117025</v>
      </c>
      <c r="I2785" s="30">
        <v>117894</v>
      </c>
      <c r="J2785" s="30">
        <v>119697</v>
      </c>
      <c r="K2785" s="30">
        <v>122201</v>
      </c>
      <c r="L2785" s="30">
        <v>124236</v>
      </c>
      <c r="M2785" s="30">
        <v>126400</v>
      </c>
      <c r="N2785" s="30">
        <v>128289</v>
      </c>
      <c r="O2785" s="24" t="str">
        <f t="shared" si="87"/>
        <v>Cache County, Utah</v>
      </c>
    </row>
    <row r="2786" spans="1:15" x14ac:dyDescent="0.25">
      <c r="A2786" s="35" t="s">
        <v>3261</v>
      </c>
      <c r="B2786" s="28" t="str">
        <f t="shared" si="86"/>
        <v>Carbon</v>
      </c>
      <c r="C2786" s="30">
        <v>21403</v>
      </c>
      <c r="D2786" s="30">
        <v>21403</v>
      </c>
      <c r="E2786" s="30">
        <v>21403</v>
      </c>
      <c r="F2786" s="30">
        <v>21305</v>
      </c>
      <c r="G2786" s="30">
        <v>21222</v>
      </c>
      <c r="H2786" s="30">
        <v>20903</v>
      </c>
      <c r="I2786" s="30">
        <v>20636</v>
      </c>
      <c r="J2786" s="30">
        <v>20391</v>
      </c>
      <c r="K2786" s="30">
        <v>20324</v>
      </c>
      <c r="L2786" s="30">
        <v>20131</v>
      </c>
      <c r="M2786" s="30">
        <v>20233</v>
      </c>
      <c r="N2786" s="30">
        <v>20463</v>
      </c>
      <c r="O2786" s="24" t="str">
        <f t="shared" si="87"/>
        <v>Carbon County, Utah</v>
      </c>
    </row>
    <row r="2787" spans="1:15" x14ac:dyDescent="0.25">
      <c r="A2787" s="35" t="s">
        <v>3262</v>
      </c>
      <c r="B2787" s="28" t="str">
        <f t="shared" si="86"/>
        <v>Daggett</v>
      </c>
      <c r="C2787" s="30">
        <v>1059</v>
      </c>
      <c r="D2787" s="30">
        <v>1061</v>
      </c>
      <c r="E2787" s="30">
        <v>1077</v>
      </c>
      <c r="F2787" s="30">
        <v>1162</v>
      </c>
      <c r="G2787" s="30">
        <v>1095</v>
      </c>
      <c r="H2787" s="30">
        <v>1140</v>
      </c>
      <c r="I2787" s="30">
        <v>1124</v>
      </c>
      <c r="J2787" s="30">
        <v>1107</v>
      </c>
      <c r="K2787" s="30">
        <v>1076</v>
      </c>
      <c r="L2787" s="30">
        <v>1013</v>
      </c>
      <c r="M2787" s="30">
        <v>974</v>
      </c>
      <c r="N2787" s="30">
        <v>950</v>
      </c>
      <c r="O2787" s="24" t="str">
        <f t="shared" si="87"/>
        <v>Daggett County, Utah</v>
      </c>
    </row>
    <row r="2788" spans="1:15" x14ac:dyDescent="0.25">
      <c r="A2788" s="35" t="s">
        <v>3263</v>
      </c>
      <c r="B2788" s="28" t="str">
        <f t="shared" si="86"/>
        <v>Davis</v>
      </c>
      <c r="C2788" s="30">
        <v>306479</v>
      </c>
      <c r="D2788" s="30">
        <v>306492</v>
      </c>
      <c r="E2788" s="30">
        <v>307910</v>
      </c>
      <c r="F2788" s="30">
        <v>311852</v>
      </c>
      <c r="G2788" s="30">
        <v>315926</v>
      </c>
      <c r="H2788" s="30">
        <v>322228</v>
      </c>
      <c r="I2788" s="30">
        <v>328714</v>
      </c>
      <c r="J2788" s="30">
        <v>334597</v>
      </c>
      <c r="K2788" s="30">
        <v>341000</v>
      </c>
      <c r="L2788" s="30">
        <v>346658</v>
      </c>
      <c r="M2788" s="30">
        <v>351101</v>
      </c>
      <c r="N2788" s="30">
        <v>355481</v>
      </c>
      <c r="O2788" s="24" t="str">
        <f t="shared" si="87"/>
        <v>Davis County, Utah</v>
      </c>
    </row>
    <row r="2789" spans="1:15" x14ac:dyDescent="0.25">
      <c r="A2789" s="35" t="s">
        <v>3264</v>
      </c>
      <c r="B2789" s="28" t="str">
        <f t="shared" si="86"/>
        <v>Duchesne</v>
      </c>
      <c r="C2789" s="30">
        <v>18607</v>
      </c>
      <c r="D2789" s="30">
        <v>18605</v>
      </c>
      <c r="E2789" s="30">
        <v>18647</v>
      </c>
      <c r="F2789" s="30">
        <v>18700</v>
      </c>
      <c r="G2789" s="30">
        <v>19000</v>
      </c>
      <c r="H2789" s="30">
        <v>19960</v>
      </c>
      <c r="I2789" s="30">
        <v>20199</v>
      </c>
      <c r="J2789" s="30">
        <v>20748</v>
      </c>
      <c r="K2789" s="30">
        <v>20242</v>
      </c>
      <c r="L2789" s="30">
        <v>19868</v>
      </c>
      <c r="M2789" s="30">
        <v>19943</v>
      </c>
      <c r="N2789" s="30">
        <v>19938</v>
      </c>
      <c r="O2789" s="24" t="str">
        <f t="shared" si="87"/>
        <v>Duchesne County, Utah</v>
      </c>
    </row>
    <row r="2790" spans="1:15" x14ac:dyDescent="0.25">
      <c r="A2790" s="35" t="s">
        <v>3265</v>
      </c>
      <c r="B2790" s="28" t="str">
        <f t="shared" si="86"/>
        <v>Emery</v>
      </c>
      <c r="C2790" s="30">
        <v>10976</v>
      </c>
      <c r="D2790" s="30">
        <v>10976</v>
      </c>
      <c r="E2790" s="30">
        <v>11005</v>
      </c>
      <c r="F2790" s="30">
        <v>10985</v>
      </c>
      <c r="G2790" s="30">
        <v>10939</v>
      </c>
      <c r="H2790" s="30">
        <v>10759</v>
      </c>
      <c r="I2790" s="30">
        <v>10638</v>
      </c>
      <c r="J2790" s="30">
        <v>10359</v>
      </c>
      <c r="K2790" s="30">
        <v>10206</v>
      </c>
      <c r="L2790" s="30">
        <v>10006</v>
      </c>
      <c r="M2790" s="30">
        <v>10003</v>
      </c>
      <c r="N2790" s="30">
        <v>10012</v>
      </c>
      <c r="O2790" s="24" t="str">
        <f t="shared" si="87"/>
        <v>Emery County, Utah</v>
      </c>
    </row>
    <row r="2791" spans="1:15" x14ac:dyDescent="0.25">
      <c r="A2791" s="35" t="s">
        <v>3266</v>
      </c>
      <c r="B2791" s="28" t="str">
        <f t="shared" si="86"/>
        <v>Garfield</v>
      </c>
      <c r="C2791" s="30">
        <v>5172</v>
      </c>
      <c r="D2791" s="30">
        <v>5172</v>
      </c>
      <c r="E2791" s="30">
        <v>5197</v>
      </c>
      <c r="F2791" s="30">
        <v>5149</v>
      </c>
      <c r="G2791" s="30">
        <v>5063</v>
      </c>
      <c r="H2791" s="30">
        <v>5029</v>
      </c>
      <c r="I2791" s="30">
        <v>5005</v>
      </c>
      <c r="J2791" s="30">
        <v>4962</v>
      </c>
      <c r="K2791" s="30">
        <v>4952</v>
      </c>
      <c r="L2791" s="30">
        <v>5025</v>
      </c>
      <c r="M2791" s="30">
        <v>5002</v>
      </c>
      <c r="N2791" s="30">
        <v>5051</v>
      </c>
      <c r="O2791" s="24" t="str">
        <f t="shared" si="87"/>
        <v>Garfield County, Utah</v>
      </c>
    </row>
    <row r="2792" spans="1:15" x14ac:dyDescent="0.25">
      <c r="A2792" s="35" t="s">
        <v>3267</v>
      </c>
      <c r="B2792" s="28" t="str">
        <f t="shared" si="86"/>
        <v>Grand</v>
      </c>
      <c r="C2792" s="30">
        <v>9225</v>
      </c>
      <c r="D2792" s="30">
        <v>9224</v>
      </c>
      <c r="E2792" s="30">
        <v>9312</v>
      </c>
      <c r="F2792" s="30">
        <v>9298</v>
      </c>
      <c r="G2792" s="30">
        <v>9358</v>
      </c>
      <c r="H2792" s="30">
        <v>9376</v>
      </c>
      <c r="I2792" s="30">
        <v>9481</v>
      </c>
      <c r="J2792" s="30">
        <v>9551</v>
      </c>
      <c r="K2792" s="30">
        <v>9622</v>
      </c>
      <c r="L2792" s="30">
        <v>9589</v>
      </c>
      <c r="M2792" s="30">
        <v>9686</v>
      </c>
      <c r="N2792" s="30">
        <v>9754</v>
      </c>
      <c r="O2792" s="24" t="str">
        <f t="shared" si="87"/>
        <v>Grand County, Utah</v>
      </c>
    </row>
    <row r="2793" spans="1:15" x14ac:dyDescent="0.25">
      <c r="A2793" s="35" t="s">
        <v>3268</v>
      </c>
      <c r="B2793" s="28" t="str">
        <f t="shared" si="86"/>
        <v>Iron</v>
      </c>
      <c r="C2793" s="30">
        <v>46163</v>
      </c>
      <c r="D2793" s="30">
        <v>46163</v>
      </c>
      <c r="E2793" s="30">
        <v>46263</v>
      </c>
      <c r="F2793" s="30">
        <v>46622</v>
      </c>
      <c r="G2793" s="30">
        <v>46646</v>
      </c>
      <c r="H2793" s="30">
        <v>46530</v>
      </c>
      <c r="I2793" s="30">
        <v>47041</v>
      </c>
      <c r="J2793" s="30">
        <v>48113</v>
      </c>
      <c r="K2793" s="30">
        <v>49676</v>
      </c>
      <c r="L2793" s="30">
        <v>50761</v>
      </c>
      <c r="M2793" s="30">
        <v>52678</v>
      </c>
      <c r="N2793" s="30">
        <v>54839</v>
      </c>
      <c r="O2793" s="24" t="str">
        <f t="shared" si="87"/>
        <v>Iron County, Utah</v>
      </c>
    </row>
    <row r="2794" spans="1:15" x14ac:dyDescent="0.25">
      <c r="A2794" s="35" t="s">
        <v>3269</v>
      </c>
      <c r="B2794" s="28" t="str">
        <f t="shared" si="86"/>
        <v>Juab</v>
      </c>
      <c r="C2794" s="30">
        <v>10246</v>
      </c>
      <c r="D2794" s="30">
        <v>10246</v>
      </c>
      <c r="E2794" s="30">
        <v>10264</v>
      </c>
      <c r="F2794" s="30">
        <v>10313</v>
      </c>
      <c r="G2794" s="30">
        <v>10295</v>
      </c>
      <c r="H2794" s="30">
        <v>10261</v>
      </c>
      <c r="I2794" s="30">
        <v>10410</v>
      </c>
      <c r="J2794" s="30">
        <v>10551</v>
      </c>
      <c r="K2794" s="30">
        <v>11016</v>
      </c>
      <c r="L2794" s="30">
        <v>11293</v>
      </c>
      <c r="M2794" s="30">
        <v>11629</v>
      </c>
      <c r="N2794" s="30">
        <v>12017</v>
      </c>
      <c r="O2794" s="24" t="str">
        <f t="shared" si="87"/>
        <v>Juab County, Utah</v>
      </c>
    </row>
    <row r="2795" spans="1:15" x14ac:dyDescent="0.25">
      <c r="A2795" s="35" t="s">
        <v>3270</v>
      </c>
      <c r="B2795" s="28" t="str">
        <f t="shared" si="86"/>
        <v>Kane</v>
      </c>
      <c r="C2795" s="30">
        <v>7125</v>
      </c>
      <c r="D2795" s="30">
        <v>7125</v>
      </c>
      <c r="E2795" s="30">
        <v>7213</v>
      </c>
      <c r="F2795" s="30">
        <v>7295</v>
      </c>
      <c r="G2795" s="30">
        <v>7173</v>
      </c>
      <c r="H2795" s="30">
        <v>7124</v>
      </c>
      <c r="I2795" s="30">
        <v>7167</v>
      </c>
      <c r="J2795" s="30">
        <v>7039</v>
      </c>
      <c r="K2795" s="30">
        <v>7297</v>
      </c>
      <c r="L2795" s="30">
        <v>7520</v>
      </c>
      <c r="M2795" s="30">
        <v>7677</v>
      </c>
      <c r="N2795" s="30">
        <v>7886</v>
      </c>
      <c r="O2795" s="24" t="str">
        <f t="shared" si="87"/>
        <v>Kane County, Utah</v>
      </c>
    </row>
    <row r="2796" spans="1:15" x14ac:dyDescent="0.25">
      <c r="A2796" s="35" t="s">
        <v>3271</v>
      </c>
      <c r="B2796" s="28" t="str">
        <f t="shared" si="86"/>
        <v>Millard</v>
      </c>
      <c r="C2796" s="30">
        <v>12503</v>
      </c>
      <c r="D2796" s="30">
        <v>12503</v>
      </c>
      <c r="E2796" s="30">
        <v>12541</v>
      </c>
      <c r="F2796" s="30">
        <v>12570</v>
      </c>
      <c r="G2796" s="30">
        <v>12468</v>
      </c>
      <c r="H2796" s="30">
        <v>12555</v>
      </c>
      <c r="I2796" s="30">
        <v>12538</v>
      </c>
      <c r="J2796" s="30">
        <v>12620</v>
      </c>
      <c r="K2796" s="30">
        <v>12655</v>
      </c>
      <c r="L2796" s="30">
        <v>12821</v>
      </c>
      <c r="M2796" s="30">
        <v>12987</v>
      </c>
      <c r="N2796" s="30">
        <v>13188</v>
      </c>
      <c r="O2796" s="24" t="str">
        <f t="shared" si="87"/>
        <v>Millard County, Utah</v>
      </c>
    </row>
    <row r="2797" spans="1:15" x14ac:dyDescent="0.25">
      <c r="A2797" s="35" t="s">
        <v>3272</v>
      </c>
      <c r="B2797" s="28" t="str">
        <f t="shared" si="86"/>
        <v>Morgan</v>
      </c>
      <c r="C2797" s="30">
        <v>9469</v>
      </c>
      <c r="D2797" s="30">
        <v>9469</v>
      </c>
      <c r="E2797" s="30">
        <v>9522</v>
      </c>
      <c r="F2797" s="30">
        <v>9653</v>
      </c>
      <c r="G2797" s="30">
        <v>9807</v>
      </c>
      <c r="H2797" s="30">
        <v>10207</v>
      </c>
      <c r="I2797" s="30">
        <v>10601</v>
      </c>
      <c r="J2797" s="30">
        <v>11039</v>
      </c>
      <c r="K2797" s="30">
        <v>11370</v>
      </c>
      <c r="L2797" s="30">
        <v>11829</v>
      </c>
      <c r="M2797" s="30">
        <v>11956</v>
      </c>
      <c r="N2797" s="30">
        <v>12124</v>
      </c>
      <c r="O2797" s="24" t="str">
        <f t="shared" si="87"/>
        <v>Morgan County, Utah</v>
      </c>
    </row>
    <row r="2798" spans="1:15" x14ac:dyDescent="0.25">
      <c r="A2798" s="35" t="s">
        <v>3273</v>
      </c>
      <c r="B2798" s="28" t="str">
        <f t="shared" si="86"/>
        <v>Piute</v>
      </c>
      <c r="C2798" s="30">
        <v>1556</v>
      </c>
      <c r="D2798" s="30">
        <v>1557</v>
      </c>
      <c r="E2798" s="30">
        <v>1565</v>
      </c>
      <c r="F2798" s="30">
        <v>1499</v>
      </c>
      <c r="G2798" s="30">
        <v>1497</v>
      </c>
      <c r="H2798" s="30">
        <v>1488</v>
      </c>
      <c r="I2798" s="30">
        <v>1467</v>
      </c>
      <c r="J2798" s="30">
        <v>1491</v>
      </c>
      <c r="K2798" s="30">
        <v>1459</v>
      </c>
      <c r="L2798" s="30">
        <v>1407</v>
      </c>
      <c r="M2798" s="30">
        <v>1438</v>
      </c>
      <c r="N2798" s="30">
        <v>1479</v>
      </c>
      <c r="O2798" s="24" t="str">
        <f t="shared" si="87"/>
        <v>Piute County, Utah</v>
      </c>
    </row>
    <row r="2799" spans="1:15" x14ac:dyDescent="0.25">
      <c r="A2799" s="35" t="s">
        <v>3274</v>
      </c>
      <c r="B2799" s="28" t="str">
        <f t="shared" si="86"/>
        <v>Rich</v>
      </c>
      <c r="C2799" s="30">
        <v>2264</v>
      </c>
      <c r="D2799" s="30">
        <v>2264</v>
      </c>
      <c r="E2799" s="30">
        <v>2254</v>
      </c>
      <c r="F2799" s="30">
        <v>2294</v>
      </c>
      <c r="G2799" s="30">
        <v>2257</v>
      </c>
      <c r="H2799" s="30">
        <v>2263</v>
      </c>
      <c r="I2799" s="30">
        <v>2273</v>
      </c>
      <c r="J2799" s="30">
        <v>2300</v>
      </c>
      <c r="K2799" s="30">
        <v>2313</v>
      </c>
      <c r="L2799" s="30">
        <v>2395</v>
      </c>
      <c r="M2799" s="30">
        <v>2456</v>
      </c>
      <c r="N2799" s="30">
        <v>2483</v>
      </c>
      <c r="O2799" s="24" t="str">
        <f t="shared" si="87"/>
        <v>Rich County, Utah</v>
      </c>
    </row>
    <row r="2800" spans="1:15" x14ac:dyDescent="0.25">
      <c r="A2800" s="35" t="s">
        <v>3275</v>
      </c>
      <c r="B2800" s="28" t="str">
        <f t="shared" si="86"/>
        <v>Salt Lake</v>
      </c>
      <c r="C2800" s="30">
        <v>1029655</v>
      </c>
      <c r="D2800" s="30">
        <v>1029590</v>
      </c>
      <c r="E2800" s="30">
        <v>1032976</v>
      </c>
      <c r="F2800" s="30">
        <v>1047610</v>
      </c>
      <c r="G2800" s="30">
        <v>1063956</v>
      </c>
      <c r="H2800" s="30">
        <v>1079392</v>
      </c>
      <c r="I2800" s="30">
        <v>1090005</v>
      </c>
      <c r="J2800" s="30">
        <v>1102273</v>
      </c>
      <c r="K2800" s="30">
        <v>1120109</v>
      </c>
      <c r="L2800" s="30">
        <v>1136719</v>
      </c>
      <c r="M2800" s="30">
        <v>1148692</v>
      </c>
      <c r="N2800" s="30">
        <v>1160437</v>
      </c>
      <c r="O2800" s="24" t="str">
        <f t="shared" si="87"/>
        <v>Salt Lake County, Utah</v>
      </c>
    </row>
    <row r="2801" spans="1:15" x14ac:dyDescent="0.25">
      <c r="A2801" s="35" t="s">
        <v>3276</v>
      </c>
      <c r="B2801" s="28" t="str">
        <f t="shared" si="86"/>
        <v>San Juan</v>
      </c>
      <c r="C2801" s="30">
        <v>14746</v>
      </c>
      <c r="D2801" s="30">
        <v>14745</v>
      </c>
      <c r="E2801" s="30">
        <v>14824</v>
      </c>
      <c r="F2801" s="30">
        <v>14839</v>
      </c>
      <c r="G2801" s="30">
        <v>15037</v>
      </c>
      <c r="H2801" s="30">
        <v>14988</v>
      </c>
      <c r="I2801" s="30">
        <v>15058</v>
      </c>
      <c r="J2801" s="30">
        <v>15239</v>
      </c>
      <c r="K2801" s="30">
        <v>15329</v>
      </c>
      <c r="L2801" s="30">
        <v>15277</v>
      </c>
      <c r="M2801" s="30">
        <v>15358</v>
      </c>
      <c r="N2801" s="30">
        <v>15308</v>
      </c>
      <c r="O2801" s="24" t="str">
        <f t="shared" si="87"/>
        <v>San Juan County, Utah</v>
      </c>
    </row>
    <row r="2802" spans="1:15" x14ac:dyDescent="0.25">
      <c r="A2802" s="35" t="s">
        <v>3277</v>
      </c>
      <c r="B2802" s="28" t="str">
        <f t="shared" si="86"/>
        <v>Sanpete</v>
      </c>
      <c r="C2802" s="30">
        <v>27822</v>
      </c>
      <c r="D2802" s="30">
        <v>27822</v>
      </c>
      <c r="E2802" s="30">
        <v>27940</v>
      </c>
      <c r="F2802" s="30">
        <v>28003</v>
      </c>
      <c r="G2802" s="30">
        <v>27961</v>
      </c>
      <c r="H2802" s="30">
        <v>28128</v>
      </c>
      <c r="I2802" s="30">
        <v>28297</v>
      </c>
      <c r="J2802" s="30">
        <v>28654</v>
      </c>
      <c r="K2802" s="30">
        <v>29232</v>
      </c>
      <c r="L2802" s="30">
        <v>29921</v>
      </c>
      <c r="M2802" s="30">
        <v>30503</v>
      </c>
      <c r="N2802" s="30">
        <v>30939</v>
      </c>
      <c r="O2802" s="24" t="str">
        <f t="shared" si="87"/>
        <v>Sanpete County, Utah</v>
      </c>
    </row>
    <row r="2803" spans="1:15" x14ac:dyDescent="0.25">
      <c r="A2803" s="35" t="s">
        <v>3278</v>
      </c>
      <c r="B2803" s="28" t="str">
        <f t="shared" si="86"/>
        <v>Sevier</v>
      </c>
      <c r="C2803" s="30">
        <v>20802</v>
      </c>
      <c r="D2803" s="30">
        <v>20801</v>
      </c>
      <c r="E2803" s="30">
        <v>20798</v>
      </c>
      <c r="F2803" s="30">
        <v>20870</v>
      </c>
      <c r="G2803" s="30">
        <v>20658</v>
      </c>
      <c r="H2803" s="30">
        <v>20747</v>
      </c>
      <c r="I2803" s="30">
        <v>20735</v>
      </c>
      <c r="J2803" s="30">
        <v>20858</v>
      </c>
      <c r="K2803" s="30">
        <v>21131</v>
      </c>
      <c r="L2803" s="30">
        <v>21292</v>
      </c>
      <c r="M2803" s="30">
        <v>21497</v>
      </c>
      <c r="N2803" s="30">
        <v>21620</v>
      </c>
      <c r="O2803" s="24" t="str">
        <f t="shared" si="87"/>
        <v>Sevier County, Utah</v>
      </c>
    </row>
    <row r="2804" spans="1:15" x14ac:dyDescent="0.25">
      <c r="A2804" s="35" t="s">
        <v>3279</v>
      </c>
      <c r="B2804" s="28" t="str">
        <f t="shared" si="86"/>
        <v>Summit</v>
      </c>
      <c r="C2804" s="30">
        <v>36324</v>
      </c>
      <c r="D2804" s="30">
        <v>36324</v>
      </c>
      <c r="E2804" s="30">
        <v>36500</v>
      </c>
      <c r="F2804" s="30">
        <v>37421</v>
      </c>
      <c r="G2804" s="30">
        <v>37864</v>
      </c>
      <c r="H2804" s="30">
        <v>38420</v>
      </c>
      <c r="I2804" s="30">
        <v>39113</v>
      </c>
      <c r="J2804" s="30">
        <v>39640</v>
      </c>
      <c r="K2804" s="30">
        <v>40512</v>
      </c>
      <c r="L2804" s="30">
        <v>41330</v>
      </c>
      <c r="M2804" s="30">
        <v>41890</v>
      </c>
      <c r="N2804" s="30">
        <v>42145</v>
      </c>
      <c r="O2804" s="24" t="str">
        <f t="shared" si="87"/>
        <v>Summit County, Utah</v>
      </c>
    </row>
    <row r="2805" spans="1:15" x14ac:dyDescent="0.25">
      <c r="A2805" s="35" t="s">
        <v>3280</v>
      </c>
      <c r="B2805" s="28" t="str">
        <f t="shared" si="86"/>
        <v>Tooele</v>
      </c>
      <c r="C2805" s="30">
        <v>58218</v>
      </c>
      <c r="D2805" s="30">
        <v>58218</v>
      </c>
      <c r="E2805" s="30">
        <v>58502</v>
      </c>
      <c r="F2805" s="30">
        <v>59190</v>
      </c>
      <c r="G2805" s="30">
        <v>59792</v>
      </c>
      <c r="H2805" s="30">
        <v>60633</v>
      </c>
      <c r="I2805" s="30">
        <v>61442</v>
      </c>
      <c r="J2805" s="30">
        <v>62639</v>
      </c>
      <c r="K2805" s="30">
        <v>64612</v>
      </c>
      <c r="L2805" s="30">
        <v>67486</v>
      </c>
      <c r="M2805" s="30">
        <v>69989</v>
      </c>
      <c r="N2805" s="30">
        <v>72259</v>
      </c>
      <c r="O2805" s="24" t="str">
        <f t="shared" si="87"/>
        <v>Tooele County, Utah</v>
      </c>
    </row>
    <row r="2806" spans="1:15" x14ac:dyDescent="0.25">
      <c r="A2806" s="35" t="s">
        <v>3281</v>
      </c>
      <c r="B2806" s="28" t="str">
        <f t="shared" si="86"/>
        <v>Uintah</v>
      </c>
      <c r="C2806" s="30">
        <v>32588</v>
      </c>
      <c r="D2806" s="30">
        <v>32588</v>
      </c>
      <c r="E2806" s="30">
        <v>32467</v>
      </c>
      <c r="F2806" s="30">
        <v>33241</v>
      </c>
      <c r="G2806" s="30">
        <v>34641</v>
      </c>
      <c r="H2806" s="30">
        <v>35682</v>
      </c>
      <c r="I2806" s="30">
        <v>36918</v>
      </c>
      <c r="J2806" s="30">
        <v>37791</v>
      </c>
      <c r="K2806" s="30">
        <v>36264</v>
      </c>
      <c r="L2806" s="30">
        <v>35228</v>
      </c>
      <c r="M2806" s="30">
        <v>35405</v>
      </c>
      <c r="N2806" s="30">
        <v>35734</v>
      </c>
      <c r="O2806" s="24" t="str">
        <f t="shared" si="87"/>
        <v>Uintah County, Utah</v>
      </c>
    </row>
    <row r="2807" spans="1:15" x14ac:dyDescent="0.25">
      <c r="A2807" s="35" t="s">
        <v>3282</v>
      </c>
      <c r="B2807" s="28" t="str">
        <f t="shared" si="86"/>
        <v>Utah</v>
      </c>
      <c r="C2807" s="30">
        <v>516564</v>
      </c>
      <c r="D2807" s="30">
        <v>516639</v>
      </c>
      <c r="E2807" s="30">
        <v>519998</v>
      </c>
      <c r="F2807" s="30">
        <v>530688</v>
      </c>
      <c r="G2807" s="30">
        <v>539685</v>
      </c>
      <c r="H2807" s="30">
        <v>551273</v>
      </c>
      <c r="I2807" s="30">
        <v>560649</v>
      </c>
      <c r="J2807" s="30">
        <v>572667</v>
      </c>
      <c r="K2807" s="30">
        <v>590288</v>
      </c>
      <c r="L2807" s="30">
        <v>606742</v>
      </c>
      <c r="M2807" s="30">
        <v>621520</v>
      </c>
      <c r="N2807" s="30">
        <v>636235</v>
      </c>
      <c r="O2807" s="24" t="str">
        <f t="shared" si="87"/>
        <v>Utah County, Utah</v>
      </c>
    </row>
    <row r="2808" spans="1:15" x14ac:dyDescent="0.25">
      <c r="A2808" s="35" t="s">
        <v>3283</v>
      </c>
      <c r="B2808" s="28" t="str">
        <f t="shared" si="86"/>
        <v>Wasatch</v>
      </c>
      <c r="C2808" s="30">
        <v>23530</v>
      </c>
      <c r="D2808" s="30">
        <v>23525</v>
      </c>
      <c r="E2808" s="30">
        <v>23644</v>
      </c>
      <c r="F2808" s="30">
        <v>24408</v>
      </c>
      <c r="G2808" s="30">
        <v>25344</v>
      </c>
      <c r="H2808" s="30">
        <v>26584</v>
      </c>
      <c r="I2808" s="30">
        <v>27814</v>
      </c>
      <c r="J2808" s="30">
        <v>29118</v>
      </c>
      <c r="K2808" s="30">
        <v>30375</v>
      </c>
      <c r="L2808" s="30">
        <v>31890</v>
      </c>
      <c r="M2808" s="30">
        <v>33067</v>
      </c>
      <c r="N2808" s="30">
        <v>34091</v>
      </c>
      <c r="O2808" s="24" t="str">
        <f t="shared" si="87"/>
        <v>Wasatch County, Utah</v>
      </c>
    </row>
    <row r="2809" spans="1:15" x14ac:dyDescent="0.25">
      <c r="A2809" s="35" t="s">
        <v>3284</v>
      </c>
      <c r="B2809" s="28" t="str">
        <f t="shared" si="86"/>
        <v>Washington</v>
      </c>
      <c r="C2809" s="30">
        <v>138115</v>
      </c>
      <c r="D2809" s="30">
        <v>138115</v>
      </c>
      <c r="E2809" s="30">
        <v>138389</v>
      </c>
      <c r="F2809" s="30">
        <v>141249</v>
      </c>
      <c r="G2809" s="30">
        <v>144139</v>
      </c>
      <c r="H2809" s="30">
        <v>146987</v>
      </c>
      <c r="I2809" s="30">
        <v>151081</v>
      </c>
      <c r="J2809" s="30">
        <v>154650</v>
      </c>
      <c r="K2809" s="30">
        <v>159352</v>
      </c>
      <c r="L2809" s="30">
        <v>165929</v>
      </c>
      <c r="M2809" s="30">
        <v>171567</v>
      </c>
      <c r="N2809" s="30">
        <v>177556</v>
      </c>
      <c r="O2809" s="24" t="str">
        <f t="shared" si="87"/>
        <v>Washington County, Utah</v>
      </c>
    </row>
    <row r="2810" spans="1:15" x14ac:dyDescent="0.25">
      <c r="A2810" s="35" t="s">
        <v>3285</v>
      </c>
      <c r="B2810" s="28" t="str">
        <f t="shared" si="86"/>
        <v>Wayne</v>
      </c>
      <c r="C2810" s="30">
        <v>2778</v>
      </c>
      <c r="D2810" s="30">
        <v>2778</v>
      </c>
      <c r="E2810" s="30">
        <v>2772</v>
      </c>
      <c r="F2810" s="30">
        <v>2742</v>
      </c>
      <c r="G2810" s="30">
        <v>2705</v>
      </c>
      <c r="H2810" s="30">
        <v>2712</v>
      </c>
      <c r="I2810" s="30">
        <v>2695</v>
      </c>
      <c r="J2810" s="30">
        <v>2690</v>
      </c>
      <c r="K2810" s="30">
        <v>2671</v>
      </c>
      <c r="L2810" s="30">
        <v>2702</v>
      </c>
      <c r="M2810" s="30">
        <v>2671</v>
      </c>
      <c r="N2810" s="30">
        <v>2711</v>
      </c>
      <c r="O2810" s="24" t="str">
        <f t="shared" si="87"/>
        <v>Wayne County, Utah</v>
      </c>
    </row>
    <row r="2811" spans="1:15" x14ac:dyDescent="0.25">
      <c r="A2811" s="35" t="s">
        <v>3286</v>
      </c>
      <c r="B2811" s="28" t="str">
        <f t="shared" si="86"/>
        <v>Weber</v>
      </c>
      <c r="C2811" s="30">
        <v>231236</v>
      </c>
      <c r="D2811" s="30">
        <v>231218</v>
      </c>
      <c r="E2811" s="30">
        <v>232133</v>
      </c>
      <c r="F2811" s="30">
        <v>233847</v>
      </c>
      <c r="G2811" s="30">
        <v>236251</v>
      </c>
      <c r="H2811" s="30">
        <v>238062</v>
      </c>
      <c r="I2811" s="30">
        <v>240152</v>
      </c>
      <c r="J2811" s="30">
        <v>242872</v>
      </c>
      <c r="K2811" s="30">
        <v>247131</v>
      </c>
      <c r="L2811" s="30">
        <v>251576</v>
      </c>
      <c r="M2811" s="30">
        <v>255697</v>
      </c>
      <c r="N2811" s="30">
        <v>260213</v>
      </c>
      <c r="O2811" s="24" t="str">
        <f t="shared" si="87"/>
        <v>Weber County, Utah</v>
      </c>
    </row>
    <row r="2812" spans="1:15" x14ac:dyDescent="0.25">
      <c r="A2812" s="35" t="s">
        <v>3287</v>
      </c>
      <c r="B2812" s="28" t="str">
        <f t="shared" si="86"/>
        <v>Addison</v>
      </c>
      <c r="C2812" s="30">
        <v>36821</v>
      </c>
      <c r="D2812" s="30">
        <v>36818</v>
      </c>
      <c r="E2812" s="30">
        <v>36823</v>
      </c>
      <c r="F2812" s="30">
        <v>36969</v>
      </c>
      <c r="G2812" s="30">
        <v>36899</v>
      </c>
      <c r="H2812" s="30">
        <v>36934</v>
      </c>
      <c r="I2812" s="30">
        <v>36932</v>
      </c>
      <c r="J2812" s="30">
        <v>36929</v>
      </c>
      <c r="K2812" s="30">
        <v>36931</v>
      </c>
      <c r="L2812" s="30">
        <v>36900</v>
      </c>
      <c r="M2812" s="30">
        <v>36873</v>
      </c>
      <c r="N2812" s="30">
        <v>36777</v>
      </c>
      <c r="O2812" s="24" t="str">
        <f t="shared" si="87"/>
        <v>Addison County, Vermont</v>
      </c>
    </row>
    <row r="2813" spans="1:15" x14ac:dyDescent="0.25">
      <c r="A2813" s="35" t="s">
        <v>3288</v>
      </c>
      <c r="B2813" s="28" t="str">
        <f t="shared" si="86"/>
        <v>Bennington</v>
      </c>
      <c r="C2813" s="30">
        <v>37125</v>
      </c>
      <c r="D2813" s="30">
        <v>37119</v>
      </c>
      <c r="E2813" s="30">
        <v>37078</v>
      </c>
      <c r="F2813" s="30">
        <v>36813</v>
      </c>
      <c r="G2813" s="30">
        <v>36610</v>
      </c>
      <c r="H2813" s="30">
        <v>36534</v>
      </c>
      <c r="I2813" s="30">
        <v>36167</v>
      </c>
      <c r="J2813" s="30">
        <v>36153</v>
      </c>
      <c r="K2813" s="30">
        <v>35911</v>
      </c>
      <c r="L2813" s="30">
        <v>35675</v>
      </c>
      <c r="M2813" s="30">
        <v>35520</v>
      </c>
      <c r="N2813" s="30">
        <v>35470</v>
      </c>
      <c r="O2813" s="24" t="str">
        <f t="shared" si="87"/>
        <v>Bennington County, Vermont</v>
      </c>
    </row>
    <row r="2814" spans="1:15" x14ac:dyDescent="0.25">
      <c r="A2814" s="35" t="s">
        <v>3289</v>
      </c>
      <c r="B2814" s="28" t="str">
        <f t="shared" si="86"/>
        <v>Caledonia</v>
      </c>
      <c r="C2814" s="30">
        <v>31227</v>
      </c>
      <c r="D2814" s="30">
        <v>31234</v>
      </c>
      <c r="E2814" s="30">
        <v>31166</v>
      </c>
      <c r="F2814" s="30">
        <v>31111</v>
      </c>
      <c r="G2814" s="30">
        <v>31025</v>
      </c>
      <c r="H2814" s="30">
        <v>31044</v>
      </c>
      <c r="I2814" s="30">
        <v>30873</v>
      </c>
      <c r="J2814" s="30">
        <v>30645</v>
      </c>
      <c r="K2814" s="30">
        <v>30154</v>
      </c>
      <c r="L2814" s="30">
        <v>30141</v>
      </c>
      <c r="M2814" s="30">
        <v>30236</v>
      </c>
      <c r="N2814" s="30">
        <v>29993</v>
      </c>
      <c r="O2814" s="24" t="str">
        <f t="shared" si="87"/>
        <v>Caledonia County, Vermont</v>
      </c>
    </row>
    <row r="2815" spans="1:15" x14ac:dyDescent="0.25">
      <c r="A2815" s="35" t="s">
        <v>3290</v>
      </c>
      <c r="B2815" s="28" t="str">
        <f t="shared" si="86"/>
        <v>Chittenden</v>
      </c>
      <c r="C2815" s="30">
        <v>156545</v>
      </c>
      <c r="D2815" s="30">
        <v>156535</v>
      </c>
      <c r="E2815" s="30">
        <v>156769</v>
      </c>
      <c r="F2815" s="30">
        <v>158033</v>
      </c>
      <c r="G2815" s="30">
        <v>158673</v>
      </c>
      <c r="H2815" s="30">
        <v>159432</v>
      </c>
      <c r="I2815" s="30">
        <v>159945</v>
      </c>
      <c r="J2815" s="30">
        <v>161293</v>
      </c>
      <c r="K2815" s="30">
        <v>161563</v>
      </c>
      <c r="L2815" s="30">
        <v>163031</v>
      </c>
      <c r="M2815" s="30">
        <v>163571</v>
      </c>
      <c r="N2815" s="30">
        <v>163774</v>
      </c>
      <c r="O2815" s="24" t="str">
        <f t="shared" si="87"/>
        <v>Chittenden County, Vermont</v>
      </c>
    </row>
    <row r="2816" spans="1:15" x14ac:dyDescent="0.25">
      <c r="A2816" s="35" t="s">
        <v>3291</v>
      </c>
      <c r="B2816" s="28" t="str">
        <f t="shared" si="86"/>
        <v>Essex</v>
      </c>
      <c r="C2816" s="30">
        <v>6306</v>
      </c>
      <c r="D2816" s="30">
        <v>6306</v>
      </c>
      <c r="E2816" s="30">
        <v>6312</v>
      </c>
      <c r="F2816" s="30">
        <v>6324</v>
      </c>
      <c r="G2816" s="30">
        <v>6224</v>
      </c>
      <c r="H2816" s="30">
        <v>6193</v>
      </c>
      <c r="I2816" s="30">
        <v>6154</v>
      </c>
      <c r="J2816" s="30">
        <v>6193</v>
      </c>
      <c r="K2816" s="30">
        <v>6224</v>
      </c>
      <c r="L2816" s="30">
        <v>6184</v>
      </c>
      <c r="M2816" s="30">
        <v>6234</v>
      </c>
      <c r="N2816" s="30">
        <v>6163</v>
      </c>
      <c r="O2816" s="24" t="str">
        <f t="shared" si="87"/>
        <v>Essex County, Vermont</v>
      </c>
    </row>
    <row r="2817" spans="1:15" x14ac:dyDescent="0.25">
      <c r="A2817" s="35" t="s">
        <v>3292</v>
      </c>
      <c r="B2817" s="28" t="str">
        <f t="shared" si="86"/>
        <v>Franklin</v>
      </c>
      <c r="C2817" s="30">
        <v>47746</v>
      </c>
      <c r="D2817" s="30">
        <v>47759</v>
      </c>
      <c r="E2817" s="30">
        <v>47821</v>
      </c>
      <c r="F2817" s="30">
        <v>48228</v>
      </c>
      <c r="G2817" s="30">
        <v>48317</v>
      </c>
      <c r="H2817" s="30">
        <v>48407</v>
      </c>
      <c r="I2817" s="30">
        <v>48763</v>
      </c>
      <c r="J2817" s="30">
        <v>48988</v>
      </c>
      <c r="K2817" s="30">
        <v>48963</v>
      </c>
      <c r="L2817" s="30">
        <v>48969</v>
      </c>
      <c r="M2817" s="30">
        <v>49258</v>
      </c>
      <c r="N2817" s="30">
        <v>49402</v>
      </c>
      <c r="O2817" s="24" t="str">
        <f t="shared" si="87"/>
        <v>Franklin County, Vermont</v>
      </c>
    </row>
    <row r="2818" spans="1:15" x14ac:dyDescent="0.25">
      <c r="A2818" s="35" t="s">
        <v>3293</v>
      </c>
      <c r="B2818" s="28" t="str">
        <f t="shared" si="86"/>
        <v>Grand Isle</v>
      </c>
      <c r="C2818" s="30">
        <v>6970</v>
      </c>
      <c r="D2818" s="30">
        <v>6970</v>
      </c>
      <c r="E2818" s="30">
        <v>6948</v>
      </c>
      <c r="F2818" s="30">
        <v>6974</v>
      </c>
      <c r="G2818" s="30">
        <v>6972</v>
      </c>
      <c r="H2818" s="30">
        <v>6988</v>
      </c>
      <c r="I2818" s="30">
        <v>6968</v>
      </c>
      <c r="J2818" s="30">
        <v>6871</v>
      </c>
      <c r="K2818" s="30">
        <v>6921</v>
      </c>
      <c r="L2818" s="30">
        <v>6975</v>
      </c>
      <c r="M2818" s="30">
        <v>7110</v>
      </c>
      <c r="N2818" s="30">
        <v>7235</v>
      </c>
      <c r="O2818" s="24" t="str">
        <f t="shared" si="87"/>
        <v>Grand Isle County, Vermont</v>
      </c>
    </row>
    <row r="2819" spans="1:15" x14ac:dyDescent="0.25">
      <c r="A2819" s="35" t="s">
        <v>3294</v>
      </c>
      <c r="B2819" s="28" t="str">
        <f t="shared" si="86"/>
        <v>Lamoille</v>
      </c>
      <c r="C2819" s="30">
        <v>24475</v>
      </c>
      <c r="D2819" s="30">
        <v>24473</v>
      </c>
      <c r="E2819" s="30">
        <v>24515</v>
      </c>
      <c r="F2819" s="30">
        <v>24707</v>
      </c>
      <c r="G2819" s="30">
        <v>24945</v>
      </c>
      <c r="H2819" s="30">
        <v>25111</v>
      </c>
      <c r="I2819" s="30">
        <v>25130</v>
      </c>
      <c r="J2819" s="30">
        <v>25240</v>
      </c>
      <c r="K2819" s="30">
        <v>25331</v>
      </c>
      <c r="L2819" s="30">
        <v>25360</v>
      </c>
      <c r="M2819" s="30">
        <v>25295</v>
      </c>
      <c r="N2819" s="30">
        <v>25362</v>
      </c>
      <c r="O2819" s="24" t="str">
        <f t="shared" si="87"/>
        <v>Lamoille County, Vermont</v>
      </c>
    </row>
    <row r="2820" spans="1:15" x14ac:dyDescent="0.25">
      <c r="A2820" s="35" t="s">
        <v>3295</v>
      </c>
      <c r="B2820" s="28" t="str">
        <f t="shared" si="86"/>
        <v>Orange</v>
      </c>
      <c r="C2820" s="30">
        <v>28936</v>
      </c>
      <c r="D2820" s="30">
        <v>28936</v>
      </c>
      <c r="E2820" s="30">
        <v>28944</v>
      </c>
      <c r="F2820" s="30">
        <v>29018</v>
      </c>
      <c r="G2820" s="30">
        <v>28916</v>
      </c>
      <c r="H2820" s="30">
        <v>28848</v>
      </c>
      <c r="I2820" s="30">
        <v>28875</v>
      </c>
      <c r="J2820" s="30">
        <v>28887</v>
      </c>
      <c r="K2820" s="30">
        <v>28908</v>
      </c>
      <c r="L2820" s="30">
        <v>28964</v>
      </c>
      <c r="M2820" s="30">
        <v>28888</v>
      </c>
      <c r="N2820" s="30">
        <v>28892</v>
      </c>
      <c r="O2820" s="24" t="str">
        <f t="shared" si="87"/>
        <v>Orange County, Vermont</v>
      </c>
    </row>
    <row r="2821" spans="1:15" x14ac:dyDescent="0.25">
      <c r="A2821" s="35" t="s">
        <v>3296</v>
      </c>
      <c r="B2821" s="28" t="str">
        <f t="shared" si="86"/>
        <v>Orleans</v>
      </c>
      <c r="C2821" s="30">
        <v>27231</v>
      </c>
      <c r="D2821" s="30">
        <v>27234</v>
      </c>
      <c r="E2821" s="30">
        <v>27245</v>
      </c>
      <c r="F2821" s="30">
        <v>27195</v>
      </c>
      <c r="G2821" s="30">
        <v>27165</v>
      </c>
      <c r="H2821" s="30">
        <v>27135</v>
      </c>
      <c r="I2821" s="30">
        <v>27024</v>
      </c>
      <c r="J2821" s="30">
        <v>27034</v>
      </c>
      <c r="K2821" s="30">
        <v>26766</v>
      </c>
      <c r="L2821" s="30">
        <v>26811</v>
      </c>
      <c r="M2821" s="30">
        <v>26859</v>
      </c>
      <c r="N2821" s="30">
        <v>27037</v>
      </c>
      <c r="O2821" s="24" t="str">
        <f t="shared" si="87"/>
        <v>Orleans County, Vermont</v>
      </c>
    </row>
    <row r="2822" spans="1:15" x14ac:dyDescent="0.25">
      <c r="A2822" s="35" t="s">
        <v>3297</v>
      </c>
      <c r="B2822" s="28" t="str">
        <f t="shared" si="86"/>
        <v>Rutland</v>
      </c>
      <c r="C2822" s="30">
        <v>61642</v>
      </c>
      <c r="D2822" s="30">
        <v>61660</v>
      </c>
      <c r="E2822" s="30">
        <v>61586</v>
      </c>
      <c r="F2822" s="30">
        <v>61235</v>
      </c>
      <c r="G2822" s="30">
        <v>60803</v>
      </c>
      <c r="H2822" s="30">
        <v>60488</v>
      </c>
      <c r="I2822" s="30">
        <v>60039</v>
      </c>
      <c r="J2822" s="30">
        <v>59544</v>
      </c>
      <c r="K2822" s="30">
        <v>59122</v>
      </c>
      <c r="L2822" s="30">
        <v>59006</v>
      </c>
      <c r="M2822" s="30">
        <v>58596</v>
      </c>
      <c r="N2822" s="30">
        <v>58191</v>
      </c>
      <c r="O2822" s="24" t="str">
        <f t="shared" si="87"/>
        <v>Rutland County, Vermont</v>
      </c>
    </row>
    <row r="2823" spans="1:15" x14ac:dyDescent="0.25">
      <c r="A2823" s="35" t="s">
        <v>3298</v>
      </c>
      <c r="B2823" s="28" t="str">
        <f t="shared" ref="B2823:B2886" si="88">LEFT(A2823,FIND("County",A2823,1)-2)</f>
        <v>Washington</v>
      </c>
      <c r="C2823" s="30">
        <v>59534</v>
      </c>
      <c r="D2823" s="30">
        <v>59524</v>
      </c>
      <c r="E2823" s="30">
        <v>59570</v>
      </c>
      <c r="F2823" s="30">
        <v>59591</v>
      </c>
      <c r="G2823" s="30">
        <v>59407</v>
      </c>
      <c r="H2823" s="30">
        <v>59218</v>
      </c>
      <c r="I2823" s="30">
        <v>58961</v>
      </c>
      <c r="J2823" s="30">
        <v>58652</v>
      </c>
      <c r="K2823" s="30">
        <v>58355</v>
      </c>
      <c r="L2823" s="30">
        <v>58253</v>
      </c>
      <c r="M2823" s="30">
        <v>58079</v>
      </c>
      <c r="N2823" s="30">
        <v>58409</v>
      </c>
      <c r="O2823" s="24" t="str">
        <f t="shared" ref="O2823:O2886" si="89">A2823</f>
        <v>Washington County, Vermont</v>
      </c>
    </row>
    <row r="2824" spans="1:15" x14ac:dyDescent="0.25">
      <c r="A2824" s="35" t="s">
        <v>3299</v>
      </c>
      <c r="B2824" s="28" t="str">
        <f t="shared" si="88"/>
        <v>Windham</v>
      </c>
      <c r="C2824" s="30">
        <v>44513</v>
      </c>
      <c r="D2824" s="30">
        <v>44511</v>
      </c>
      <c r="E2824" s="30">
        <v>44502</v>
      </c>
      <c r="F2824" s="30">
        <v>44239</v>
      </c>
      <c r="G2824" s="30">
        <v>43996</v>
      </c>
      <c r="H2824" s="30">
        <v>43885</v>
      </c>
      <c r="I2824" s="30">
        <v>43656</v>
      </c>
      <c r="J2824" s="30">
        <v>43246</v>
      </c>
      <c r="K2824" s="30">
        <v>43163</v>
      </c>
      <c r="L2824" s="30">
        <v>42851</v>
      </c>
      <c r="M2824" s="30">
        <v>42635</v>
      </c>
      <c r="N2824" s="30">
        <v>42222</v>
      </c>
      <c r="O2824" s="24" t="str">
        <f t="shared" si="89"/>
        <v>Windham County, Vermont</v>
      </c>
    </row>
    <row r="2825" spans="1:15" x14ac:dyDescent="0.25">
      <c r="A2825" s="35" t="s">
        <v>3300</v>
      </c>
      <c r="B2825" s="28" t="str">
        <f t="shared" si="88"/>
        <v>Windsor</v>
      </c>
      <c r="C2825" s="30">
        <v>56670</v>
      </c>
      <c r="D2825" s="30">
        <v>56658</v>
      </c>
      <c r="E2825" s="30">
        <v>56600</v>
      </c>
      <c r="F2825" s="30">
        <v>56612</v>
      </c>
      <c r="G2825" s="30">
        <v>56138</v>
      </c>
      <c r="H2825" s="30">
        <v>55993</v>
      </c>
      <c r="I2825" s="30">
        <v>55727</v>
      </c>
      <c r="J2825" s="30">
        <v>55541</v>
      </c>
      <c r="K2825" s="30">
        <v>55345</v>
      </c>
      <c r="L2825" s="30">
        <v>55224</v>
      </c>
      <c r="M2825" s="30">
        <v>55204</v>
      </c>
      <c r="N2825" s="30">
        <v>55062</v>
      </c>
      <c r="O2825" s="24" t="str">
        <f t="shared" si="89"/>
        <v>Windsor County, Vermont</v>
      </c>
    </row>
    <row r="2826" spans="1:15" x14ac:dyDescent="0.25">
      <c r="A2826" s="35" t="s">
        <v>3301</v>
      </c>
      <c r="B2826" s="28" t="str">
        <f t="shared" si="88"/>
        <v>Accomack</v>
      </c>
      <c r="C2826" s="30">
        <v>33164</v>
      </c>
      <c r="D2826" s="30">
        <v>33162</v>
      </c>
      <c r="E2826" s="30">
        <v>33148</v>
      </c>
      <c r="F2826" s="30">
        <v>33225</v>
      </c>
      <c r="G2826" s="30">
        <v>33268</v>
      </c>
      <c r="H2826" s="30">
        <v>32969</v>
      </c>
      <c r="I2826" s="30">
        <v>32971</v>
      </c>
      <c r="J2826" s="30">
        <v>32914</v>
      </c>
      <c r="K2826" s="30">
        <v>32871</v>
      </c>
      <c r="L2826" s="30">
        <v>32685</v>
      </c>
      <c r="M2826" s="30">
        <v>32581</v>
      </c>
      <c r="N2826" s="30">
        <v>32316</v>
      </c>
      <c r="O2826" s="24" t="str">
        <f t="shared" si="89"/>
        <v>Accomack County, Virginia</v>
      </c>
    </row>
    <row r="2827" spans="1:15" x14ac:dyDescent="0.25">
      <c r="A2827" s="35" t="s">
        <v>3302</v>
      </c>
      <c r="B2827" s="28" t="str">
        <f t="shared" si="88"/>
        <v>Albemarle</v>
      </c>
      <c r="C2827" s="30">
        <v>98970</v>
      </c>
      <c r="D2827" s="30">
        <v>98998</v>
      </c>
      <c r="E2827" s="30">
        <v>99204</v>
      </c>
      <c r="F2827" s="30">
        <v>100213</v>
      </c>
      <c r="G2827" s="30">
        <v>101464</v>
      </c>
      <c r="H2827" s="30">
        <v>102270</v>
      </c>
      <c r="I2827" s="30">
        <v>103732</v>
      </c>
      <c r="J2827" s="30">
        <v>105117</v>
      </c>
      <c r="K2827" s="30">
        <v>106431</v>
      </c>
      <c r="L2827" s="30">
        <v>107768</v>
      </c>
      <c r="M2827" s="30">
        <v>108377</v>
      </c>
      <c r="N2827" s="30">
        <v>109330</v>
      </c>
      <c r="O2827" s="24" t="str">
        <f t="shared" si="89"/>
        <v>Albemarle County, Virginia</v>
      </c>
    </row>
    <row r="2828" spans="1:15" x14ac:dyDescent="0.25">
      <c r="A2828" s="35" t="s">
        <v>3303</v>
      </c>
      <c r="B2828" s="28" t="str">
        <f t="shared" si="88"/>
        <v>Alleghany</v>
      </c>
      <c r="C2828" s="30">
        <v>16250</v>
      </c>
      <c r="D2828" s="30">
        <v>16264</v>
      </c>
      <c r="E2828" s="30">
        <v>16203</v>
      </c>
      <c r="F2828" s="30">
        <v>16163</v>
      </c>
      <c r="G2828" s="30">
        <v>16034</v>
      </c>
      <c r="H2828" s="30">
        <v>15923</v>
      </c>
      <c r="I2828" s="30">
        <v>15605</v>
      </c>
      <c r="J2828" s="30">
        <v>15425</v>
      </c>
      <c r="K2828" s="30">
        <v>15387</v>
      </c>
      <c r="L2828" s="30">
        <v>15128</v>
      </c>
      <c r="M2828" s="30">
        <v>14986</v>
      </c>
      <c r="N2828" s="30">
        <v>14860</v>
      </c>
      <c r="O2828" s="24" t="str">
        <f t="shared" si="89"/>
        <v>Alleghany County, Virginia</v>
      </c>
    </row>
    <row r="2829" spans="1:15" x14ac:dyDescent="0.25">
      <c r="A2829" s="35" t="s">
        <v>3304</v>
      </c>
      <c r="B2829" s="28" t="str">
        <f t="shared" si="88"/>
        <v>Amelia</v>
      </c>
      <c r="C2829" s="30">
        <v>12690</v>
      </c>
      <c r="D2829" s="30">
        <v>12695</v>
      </c>
      <c r="E2829" s="30">
        <v>12746</v>
      </c>
      <c r="F2829" s="30">
        <v>12752</v>
      </c>
      <c r="G2829" s="30">
        <v>12745</v>
      </c>
      <c r="H2829" s="30">
        <v>12656</v>
      </c>
      <c r="I2829" s="30">
        <v>12713</v>
      </c>
      <c r="J2829" s="30">
        <v>12784</v>
      </c>
      <c r="K2829" s="30">
        <v>12801</v>
      </c>
      <c r="L2829" s="30">
        <v>12980</v>
      </c>
      <c r="M2829" s="30">
        <v>13057</v>
      </c>
      <c r="N2829" s="30">
        <v>13145</v>
      </c>
      <c r="O2829" s="24" t="str">
        <f t="shared" si="89"/>
        <v>Amelia County, Virginia</v>
      </c>
    </row>
    <row r="2830" spans="1:15" x14ac:dyDescent="0.25">
      <c r="A2830" s="35" t="s">
        <v>3305</v>
      </c>
      <c r="B2830" s="28" t="str">
        <f t="shared" si="88"/>
        <v>Amherst</v>
      </c>
      <c r="C2830" s="30">
        <v>32353</v>
      </c>
      <c r="D2830" s="30">
        <v>32354</v>
      </c>
      <c r="E2830" s="30">
        <v>32387</v>
      </c>
      <c r="F2830" s="30">
        <v>32154</v>
      </c>
      <c r="G2830" s="30">
        <v>32630</v>
      </c>
      <c r="H2830" s="30">
        <v>32317</v>
      </c>
      <c r="I2830" s="30">
        <v>32158</v>
      </c>
      <c r="J2830" s="30">
        <v>31836</v>
      </c>
      <c r="K2830" s="30">
        <v>31887</v>
      </c>
      <c r="L2830" s="30">
        <v>31863</v>
      </c>
      <c r="M2830" s="30">
        <v>31684</v>
      </c>
      <c r="N2830" s="30">
        <v>31605</v>
      </c>
      <c r="O2830" s="24" t="str">
        <f t="shared" si="89"/>
        <v>Amherst County, Virginia</v>
      </c>
    </row>
    <row r="2831" spans="1:15" x14ac:dyDescent="0.25">
      <c r="A2831" s="35" t="s">
        <v>3306</v>
      </c>
      <c r="B2831" s="28" t="str">
        <f t="shared" si="88"/>
        <v>Appomattox</v>
      </c>
      <c r="C2831" s="30">
        <v>14973</v>
      </c>
      <c r="D2831" s="30">
        <v>15028</v>
      </c>
      <c r="E2831" s="30">
        <v>15098</v>
      </c>
      <c r="F2831" s="30">
        <v>15109</v>
      </c>
      <c r="G2831" s="30">
        <v>15246</v>
      </c>
      <c r="H2831" s="30">
        <v>15320</v>
      </c>
      <c r="I2831" s="30">
        <v>15348</v>
      </c>
      <c r="J2831" s="30">
        <v>15492</v>
      </c>
      <c r="K2831" s="30">
        <v>15528</v>
      </c>
      <c r="L2831" s="30">
        <v>15723</v>
      </c>
      <c r="M2831" s="30">
        <v>15881</v>
      </c>
      <c r="N2831" s="30">
        <v>15911</v>
      </c>
      <c r="O2831" s="24" t="str">
        <f t="shared" si="89"/>
        <v>Appomattox County, Virginia</v>
      </c>
    </row>
    <row r="2832" spans="1:15" x14ac:dyDescent="0.25">
      <c r="A2832" s="35" t="s">
        <v>3307</v>
      </c>
      <c r="B2832" s="28" t="str">
        <f t="shared" si="88"/>
        <v>Arlington</v>
      </c>
      <c r="C2832" s="30">
        <v>207627</v>
      </c>
      <c r="D2832" s="30">
        <v>207696</v>
      </c>
      <c r="E2832" s="30">
        <v>209295</v>
      </c>
      <c r="F2832" s="30">
        <v>215990</v>
      </c>
      <c r="G2832" s="30">
        <v>221454</v>
      </c>
      <c r="H2832" s="30">
        <v>224894</v>
      </c>
      <c r="I2832" s="30">
        <v>225980</v>
      </c>
      <c r="J2832" s="30">
        <v>228548</v>
      </c>
      <c r="K2832" s="30">
        <v>231259</v>
      </c>
      <c r="L2832" s="30">
        <v>234647</v>
      </c>
      <c r="M2832" s="30">
        <v>236025</v>
      </c>
      <c r="N2832" s="30">
        <v>236842</v>
      </c>
      <c r="O2832" s="24" t="str">
        <f t="shared" si="89"/>
        <v>Arlington County, Virginia</v>
      </c>
    </row>
    <row r="2833" spans="1:15" x14ac:dyDescent="0.25">
      <c r="A2833" s="35" t="s">
        <v>3308</v>
      </c>
      <c r="B2833" s="28" t="str">
        <f t="shared" si="88"/>
        <v>Augusta</v>
      </c>
      <c r="C2833" s="30">
        <v>73750</v>
      </c>
      <c r="D2833" s="30">
        <v>73753</v>
      </c>
      <c r="E2833" s="30">
        <v>73584</v>
      </c>
      <c r="F2833" s="30">
        <v>73648</v>
      </c>
      <c r="G2833" s="30">
        <v>73588</v>
      </c>
      <c r="H2833" s="30">
        <v>73842</v>
      </c>
      <c r="I2833" s="30">
        <v>73881</v>
      </c>
      <c r="J2833" s="30">
        <v>74292</v>
      </c>
      <c r="K2833" s="30">
        <v>74834</v>
      </c>
      <c r="L2833" s="30">
        <v>75177</v>
      </c>
      <c r="M2833" s="30">
        <v>75535</v>
      </c>
      <c r="N2833" s="30">
        <v>75558</v>
      </c>
      <c r="O2833" s="24" t="str">
        <f t="shared" si="89"/>
        <v>Augusta County, Virginia</v>
      </c>
    </row>
    <row r="2834" spans="1:15" x14ac:dyDescent="0.25">
      <c r="A2834" s="35" t="s">
        <v>3309</v>
      </c>
      <c r="B2834" s="28" t="str">
        <f t="shared" si="88"/>
        <v>Bath</v>
      </c>
      <c r="C2834" s="30">
        <v>4731</v>
      </c>
      <c r="D2834" s="30">
        <v>4727</v>
      </c>
      <c r="E2834" s="30">
        <v>4721</v>
      </c>
      <c r="F2834" s="30">
        <v>4655</v>
      </c>
      <c r="G2834" s="30">
        <v>4642</v>
      </c>
      <c r="H2834" s="30">
        <v>4592</v>
      </c>
      <c r="I2834" s="30">
        <v>4535</v>
      </c>
      <c r="J2834" s="30">
        <v>4460</v>
      </c>
      <c r="K2834" s="30">
        <v>4409</v>
      </c>
      <c r="L2834" s="30">
        <v>4266</v>
      </c>
      <c r="M2834" s="30">
        <v>4253</v>
      </c>
      <c r="N2834" s="30">
        <v>4147</v>
      </c>
      <c r="O2834" s="24" t="str">
        <f t="shared" si="89"/>
        <v>Bath County, Virginia</v>
      </c>
    </row>
    <row r="2835" spans="1:15" x14ac:dyDescent="0.25">
      <c r="A2835" s="35" t="s">
        <v>3310</v>
      </c>
      <c r="B2835" s="28" t="str">
        <f t="shared" si="88"/>
        <v>Bedford</v>
      </c>
      <c r="C2835" s="30">
        <v>68676</v>
      </c>
      <c r="D2835" s="30">
        <v>74929</v>
      </c>
      <c r="E2835" s="30">
        <v>75035</v>
      </c>
      <c r="F2835" s="30">
        <v>75554</v>
      </c>
      <c r="G2835" s="30">
        <v>75750</v>
      </c>
      <c r="H2835" s="30">
        <v>76177</v>
      </c>
      <c r="I2835" s="30">
        <v>77034</v>
      </c>
      <c r="J2835" s="30">
        <v>77629</v>
      </c>
      <c r="K2835" s="30">
        <v>77993</v>
      </c>
      <c r="L2835" s="30">
        <v>78378</v>
      </c>
      <c r="M2835" s="30">
        <v>78882</v>
      </c>
      <c r="N2835" s="30">
        <v>78997</v>
      </c>
      <c r="O2835" s="24" t="str">
        <f t="shared" si="89"/>
        <v>Bedford County, Virginia</v>
      </c>
    </row>
    <row r="2836" spans="1:15" x14ac:dyDescent="0.25">
      <c r="A2836" s="35" t="s">
        <v>3311</v>
      </c>
      <c r="B2836" s="28" t="str">
        <f t="shared" si="88"/>
        <v>Bland</v>
      </c>
      <c r="C2836" s="30">
        <v>6824</v>
      </c>
      <c r="D2836" s="30">
        <v>6824</v>
      </c>
      <c r="E2836" s="30">
        <v>6799</v>
      </c>
      <c r="F2836" s="30">
        <v>6773</v>
      </c>
      <c r="G2836" s="30">
        <v>6692</v>
      </c>
      <c r="H2836" s="30">
        <v>6673</v>
      </c>
      <c r="I2836" s="30">
        <v>6583</v>
      </c>
      <c r="J2836" s="30">
        <v>6532</v>
      </c>
      <c r="K2836" s="30">
        <v>6472</v>
      </c>
      <c r="L2836" s="30">
        <v>6354</v>
      </c>
      <c r="M2836" s="30">
        <v>6303</v>
      </c>
      <c r="N2836" s="30">
        <v>6280</v>
      </c>
      <c r="O2836" s="24" t="str">
        <f t="shared" si="89"/>
        <v>Bland County, Virginia</v>
      </c>
    </row>
    <row r="2837" spans="1:15" x14ac:dyDescent="0.25">
      <c r="A2837" s="35" t="s">
        <v>3312</v>
      </c>
      <c r="B2837" s="28" t="str">
        <f t="shared" si="88"/>
        <v>Botetourt</v>
      </c>
      <c r="C2837" s="30">
        <v>33148</v>
      </c>
      <c r="D2837" s="30">
        <v>33152</v>
      </c>
      <c r="E2837" s="30">
        <v>33199</v>
      </c>
      <c r="F2837" s="30">
        <v>33005</v>
      </c>
      <c r="G2837" s="30">
        <v>33123</v>
      </c>
      <c r="H2837" s="30">
        <v>32994</v>
      </c>
      <c r="I2837" s="30">
        <v>33080</v>
      </c>
      <c r="J2837" s="30">
        <v>33380</v>
      </c>
      <c r="K2837" s="30">
        <v>33252</v>
      </c>
      <c r="L2837" s="30">
        <v>33313</v>
      </c>
      <c r="M2837" s="30">
        <v>33352</v>
      </c>
      <c r="N2837" s="30">
        <v>33419</v>
      </c>
      <c r="O2837" s="24" t="str">
        <f t="shared" si="89"/>
        <v>Botetourt County, Virginia</v>
      </c>
    </row>
    <row r="2838" spans="1:15" x14ac:dyDescent="0.25">
      <c r="A2838" s="35" t="s">
        <v>3313</v>
      </c>
      <c r="B2838" s="28" t="str">
        <f t="shared" si="88"/>
        <v>Brunswick</v>
      </c>
      <c r="C2838" s="30">
        <v>17434</v>
      </c>
      <c r="D2838" s="30">
        <v>17426</v>
      </c>
      <c r="E2838" s="30">
        <v>17402</v>
      </c>
      <c r="F2838" s="30">
        <v>17127</v>
      </c>
      <c r="G2838" s="30">
        <v>17032</v>
      </c>
      <c r="H2838" s="30">
        <v>16984</v>
      </c>
      <c r="I2838" s="30">
        <v>16825</v>
      </c>
      <c r="J2838" s="30">
        <v>16845</v>
      </c>
      <c r="K2838" s="30">
        <v>16618</v>
      </c>
      <c r="L2838" s="30">
        <v>16570</v>
      </c>
      <c r="M2838" s="30">
        <v>16336</v>
      </c>
      <c r="N2838" s="30">
        <v>16231</v>
      </c>
      <c r="O2838" s="24" t="str">
        <f t="shared" si="89"/>
        <v>Brunswick County, Virginia</v>
      </c>
    </row>
    <row r="2839" spans="1:15" x14ac:dyDescent="0.25">
      <c r="A2839" s="35" t="s">
        <v>3314</v>
      </c>
      <c r="B2839" s="28" t="str">
        <f t="shared" si="88"/>
        <v>Buchanan</v>
      </c>
      <c r="C2839" s="30">
        <v>24098</v>
      </c>
      <c r="D2839" s="30">
        <v>24102</v>
      </c>
      <c r="E2839" s="30">
        <v>24084</v>
      </c>
      <c r="F2839" s="30">
        <v>23824</v>
      </c>
      <c r="G2839" s="30">
        <v>23822</v>
      </c>
      <c r="H2839" s="30">
        <v>23625</v>
      </c>
      <c r="I2839" s="30">
        <v>23152</v>
      </c>
      <c r="J2839" s="30">
        <v>22752</v>
      </c>
      <c r="K2839" s="30">
        <v>22212</v>
      </c>
      <c r="L2839" s="30">
        <v>21604</v>
      </c>
      <c r="M2839" s="30">
        <v>21369</v>
      </c>
      <c r="N2839" s="30">
        <v>21004</v>
      </c>
      <c r="O2839" s="24" t="str">
        <f t="shared" si="89"/>
        <v>Buchanan County, Virginia</v>
      </c>
    </row>
    <row r="2840" spans="1:15" x14ac:dyDescent="0.25">
      <c r="A2840" s="35" t="s">
        <v>3315</v>
      </c>
      <c r="B2840" s="28" t="str">
        <f t="shared" si="88"/>
        <v>Buckingham</v>
      </c>
      <c r="C2840" s="30">
        <v>17146</v>
      </c>
      <c r="D2840" s="30">
        <v>17140</v>
      </c>
      <c r="E2840" s="30">
        <v>17091</v>
      </c>
      <c r="F2840" s="30">
        <v>17213</v>
      </c>
      <c r="G2840" s="30">
        <v>17068</v>
      </c>
      <c r="H2840" s="30">
        <v>17150</v>
      </c>
      <c r="I2840" s="30">
        <v>16931</v>
      </c>
      <c r="J2840" s="30">
        <v>17017</v>
      </c>
      <c r="K2840" s="30">
        <v>17051</v>
      </c>
      <c r="L2840" s="30">
        <v>17038</v>
      </c>
      <c r="M2840" s="30">
        <v>17043</v>
      </c>
      <c r="N2840" s="30">
        <v>17148</v>
      </c>
      <c r="O2840" s="24" t="str">
        <f t="shared" si="89"/>
        <v>Buckingham County, Virginia</v>
      </c>
    </row>
    <row r="2841" spans="1:15" x14ac:dyDescent="0.25">
      <c r="A2841" s="35" t="s">
        <v>3316</v>
      </c>
      <c r="B2841" s="28" t="str">
        <f t="shared" si="88"/>
        <v>Campbell</v>
      </c>
      <c r="C2841" s="30">
        <v>54842</v>
      </c>
      <c r="D2841" s="30">
        <v>54809</v>
      </c>
      <c r="E2841" s="30">
        <v>54901</v>
      </c>
      <c r="F2841" s="30">
        <v>54789</v>
      </c>
      <c r="G2841" s="30">
        <v>54830</v>
      </c>
      <c r="H2841" s="30">
        <v>55078</v>
      </c>
      <c r="I2841" s="30">
        <v>55272</v>
      </c>
      <c r="J2841" s="30">
        <v>55356</v>
      </c>
      <c r="K2841" s="30">
        <v>55419</v>
      </c>
      <c r="L2841" s="30">
        <v>55326</v>
      </c>
      <c r="M2841" s="30">
        <v>55137</v>
      </c>
      <c r="N2841" s="30">
        <v>54885</v>
      </c>
      <c r="O2841" s="24" t="str">
        <f t="shared" si="89"/>
        <v>Campbell County, Virginia</v>
      </c>
    </row>
    <row r="2842" spans="1:15" x14ac:dyDescent="0.25">
      <c r="A2842" s="35" t="s">
        <v>3317</v>
      </c>
      <c r="B2842" s="28" t="str">
        <f t="shared" si="88"/>
        <v>Caroline</v>
      </c>
      <c r="C2842" s="30">
        <v>28545</v>
      </c>
      <c r="D2842" s="30">
        <v>28554</v>
      </c>
      <c r="E2842" s="30">
        <v>28635</v>
      </c>
      <c r="F2842" s="30">
        <v>28672</v>
      </c>
      <c r="G2842" s="30">
        <v>28949</v>
      </c>
      <c r="H2842" s="30">
        <v>29248</v>
      </c>
      <c r="I2842" s="30">
        <v>29741</v>
      </c>
      <c r="J2842" s="30">
        <v>29900</v>
      </c>
      <c r="K2842" s="30">
        <v>30099</v>
      </c>
      <c r="L2842" s="30">
        <v>30432</v>
      </c>
      <c r="M2842" s="30">
        <v>30751</v>
      </c>
      <c r="N2842" s="30">
        <v>30725</v>
      </c>
      <c r="O2842" s="24" t="str">
        <f t="shared" si="89"/>
        <v>Caroline County, Virginia</v>
      </c>
    </row>
    <row r="2843" spans="1:15" x14ac:dyDescent="0.25">
      <c r="A2843" s="35" t="s">
        <v>3318</v>
      </c>
      <c r="B2843" s="28" t="str">
        <f t="shared" si="88"/>
        <v>Carroll</v>
      </c>
      <c r="C2843" s="30">
        <v>30042</v>
      </c>
      <c r="D2843" s="30">
        <v>30072</v>
      </c>
      <c r="E2843" s="30">
        <v>30071</v>
      </c>
      <c r="F2843" s="30">
        <v>30092</v>
      </c>
      <c r="G2843" s="30">
        <v>29916</v>
      </c>
      <c r="H2843" s="30">
        <v>29909</v>
      </c>
      <c r="I2843" s="30">
        <v>29711</v>
      </c>
      <c r="J2843" s="30">
        <v>29870</v>
      </c>
      <c r="K2843" s="30">
        <v>29789</v>
      </c>
      <c r="L2843" s="30">
        <v>29812</v>
      </c>
      <c r="M2843" s="30">
        <v>29741</v>
      </c>
      <c r="N2843" s="30">
        <v>29791</v>
      </c>
      <c r="O2843" s="24" t="str">
        <f t="shared" si="89"/>
        <v>Carroll County, Virginia</v>
      </c>
    </row>
    <row r="2844" spans="1:15" x14ac:dyDescent="0.25">
      <c r="A2844" s="35" t="s">
        <v>3319</v>
      </c>
      <c r="B2844" s="28" t="str">
        <f t="shared" si="88"/>
        <v>Charles City</v>
      </c>
      <c r="C2844" s="30">
        <v>7256</v>
      </c>
      <c r="D2844" s="30">
        <v>7256</v>
      </c>
      <c r="E2844" s="30">
        <v>7259</v>
      </c>
      <c r="F2844" s="30">
        <v>7205</v>
      </c>
      <c r="G2844" s="30">
        <v>7126</v>
      </c>
      <c r="H2844" s="30">
        <v>7072</v>
      </c>
      <c r="I2844" s="30">
        <v>6978</v>
      </c>
      <c r="J2844" s="30">
        <v>7046</v>
      </c>
      <c r="K2844" s="30">
        <v>7034</v>
      </c>
      <c r="L2844" s="30">
        <v>7026</v>
      </c>
      <c r="M2844" s="30">
        <v>7000</v>
      </c>
      <c r="N2844" s="30">
        <v>6963</v>
      </c>
      <c r="O2844" s="24" t="str">
        <f t="shared" si="89"/>
        <v>Charles City County, Virginia</v>
      </c>
    </row>
    <row r="2845" spans="1:15" x14ac:dyDescent="0.25">
      <c r="A2845" s="35" t="s">
        <v>3320</v>
      </c>
      <c r="B2845" s="28" t="str">
        <f t="shared" si="88"/>
        <v>Charlotte</v>
      </c>
      <c r="C2845" s="30">
        <v>12586</v>
      </c>
      <c r="D2845" s="30">
        <v>12597</v>
      </c>
      <c r="E2845" s="30">
        <v>12568</v>
      </c>
      <c r="F2845" s="30">
        <v>12499</v>
      </c>
      <c r="G2845" s="30">
        <v>12401</v>
      </c>
      <c r="H2845" s="30">
        <v>12279</v>
      </c>
      <c r="I2845" s="30">
        <v>12175</v>
      </c>
      <c r="J2845" s="30">
        <v>12179</v>
      </c>
      <c r="K2845" s="30">
        <v>12119</v>
      </c>
      <c r="L2845" s="30">
        <v>12077</v>
      </c>
      <c r="M2845" s="30">
        <v>11944</v>
      </c>
      <c r="N2845" s="30">
        <v>11880</v>
      </c>
      <c r="O2845" s="24" t="str">
        <f t="shared" si="89"/>
        <v>Charlotte County, Virginia</v>
      </c>
    </row>
    <row r="2846" spans="1:15" x14ac:dyDescent="0.25">
      <c r="A2846" s="35" t="s">
        <v>3321</v>
      </c>
      <c r="B2846" s="28" t="str">
        <f t="shared" si="88"/>
        <v>Chesterfield</v>
      </c>
      <c r="C2846" s="30">
        <v>316236</v>
      </c>
      <c r="D2846" s="30">
        <v>316240</v>
      </c>
      <c r="E2846" s="30">
        <v>317198</v>
      </c>
      <c r="F2846" s="30">
        <v>320307</v>
      </c>
      <c r="G2846" s="30">
        <v>323880</v>
      </c>
      <c r="H2846" s="30">
        <v>327612</v>
      </c>
      <c r="I2846" s="30">
        <v>332093</v>
      </c>
      <c r="J2846" s="30">
        <v>334915</v>
      </c>
      <c r="K2846" s="30">
        <v>338479</v>
      </c>
      <c r="L2846" s="30">
        <v>343276</v>
      </c>
      <c r="M2846" s="30">
        <v>348281</v>
      </c>
      <c r="N2846" s="30">
        <v>352802</v>
      </c>
      <c r="O2846" s="24" t="str">
        <f t="shared" si="89"/>
        <v>Chesterfield County, Virginia</v>
      </c>
    </row>
    <row r="2847" spans="1:15" x14ac:dyDescent="0.25">
      <c r="A2847" s="35" t="s">
        <v>3322</v>
      </c>
      <c r="B2847" s="28" t="str">
        <f t="shared" si="88"/>
        <v>Clarke</v>
      </c>
      <c r="C2847" s="30">
        <v>14034</v>
      </c>
      <c r="D2847" s="30">
        <v>14025</v>
      </c>
      <c r="E2847" s="30">
        <v>14012</v>
      </c>
      <c r="F2847" s="30">
        <v>14190</v>
      </c>
      <c r="G2847" s="30">
        <v>14245</v>
      </c>
      <c r="H2847" s="30">
        <v>14253</v>
      </c>
      <c r="I2847" s="30">
        <v>14315</v>
      </c>
      <c r="J2847" s="30">
        <v>14239</v>
      </c>
      <c r="K2847" s="30">
        <v>14294</v>
      </c>
      <c r="L2847" s="30">
        <v>14454</v>
      </c>
      <c r="M2847" s="30">
        <v>14511</v>
      </c>
      <c r="N2847" s="30">
        <v>14619</v>
      </c>
      <c r="O2847" s="24" t="str">
        <f t="shared" si="89"/>
        <v>Clarke County, Virginia</v>
      </c>
    </row>
    <row r="2848" spans="1:15" x14ac:dyDescent="0.25">
      <c r="A2848" s="35" t="s">
        <v>3323</v>
      </c>
      <c r="B2848" s="28" t="str">
        <f t="shared" si="88"/>
        <v>Craig</v>
      </c>
      <c r="C2848" s="30">
        <v>5190</v>
      </c>
      <c r="D2848" s="30">
        <v>5175</v>
      </c>
      <c r="E2848" s="30">
        <v>5198</v>
      </c>
      <c r="F2848" s="30">
        <v>5169</v>
      </c>
      <c r="G2848" s="30">
        <v>5138</v>
      </c>
      <c r="H2848" s="30">
        <v>5138</v>
      </c>
      <c r="I2848" s="30">
        <v>5176</v>
      </c>
      <c r="J2848" s="30">
        <v>5136</v>
      </c>
      <c r="K2848" s="30">
        <v>5120</v>
      </c>
      <c r="L2848" s="30">
        <v>5062</v>
      </c>
      <c r="M2848" s="30">
        <v>5102</v>
      </c>
      <c r="N2848" s="30">
        <v>5131</v>
      </c>
      <c r="O2848" s="24" t="str">
        <f t="shared" si="89"/>
        <v>Craig County, Virginia</v>
      </c>
    </row>
    <row r="2849" spans="1:15" x14ac:dyDescent="0.25">
      <c r="A2849" s="35" t="s">
        <v>3324</v>
      </c>
      <c r="B2849" s="28" t="str">
        <f t="shared" si="88"/>
        <v>Culpeper</v>
      </c>
      <c r="C2849" s="30">
        <v>46689</v>
      </c>
      <c r="D2849" s="30">
        <v>46688</v>
      </c>
      <c r="E2849" s="30">
        <v>46838</v>
      </c>
      <c r="F2849" s="30">
        <v>47345</v>
      </c>
      <c r="G2849" s="30">
        <v>47844</v>
      </c>
      <c r="H2849" s="30">
        <v>48606</v>
      </c>
      <c r="I2849" s="30">
        <v>49237</v>
      </c>
      <c r="J2849" s="30">
        <v>49551</v>
      </c>
      <c r="K2849" s="30">
        <v>50319</v>
      </c>
      <c r="L2849" s="30">
        <v>51235</v>
      </c>
      <c r="M2849" s="30">
        <v>51795</v>
      </c>
      <c r="N2849" s="30">
        <v>52605</v>
      </c>
      <c r="O2849" s="24" t="str">
        <f t="shared" si="89"/>
        <v>Culpeper County, Virginia</v>
      </c>
    </row>
    <row r="2850" spans="1:15" x14ac:dyDescent="0.25">
      <c r="A2850" s="35" t="s">
        <v>3325</v>
      </c>
      <c r="B2850" s="28" t="str">
        <f t="shared" si="88"/>
        <v>Cumberland</v>
      </c>
      <c r="C2850" s="30">
        <v>10052</v>
      </c>
      <c r="D2850" s="30">
        <v>10039</v>
      </c>
      <c r="E2850" s="30">
        <v>10028</v>
      </c>
      <c r="F2850" s="30">
        <v>9985</v>
      </c>
      <c r="G2850" s="30">
        <v>9841</v>
      </c>
      <c r="H2850" s="30">
        <v>9848</v>
      </c>
      <c r="I2850" s="30">
        <v>9839</v>
      </c>
      <c r="J2850" s="30">
        <v>9756</v>
      </c>
      <c r="K2850" s="30">
        <v>9745</v>
      </c>
      <c r="L2850" s="30">
        <v>9828</v>
      </c>
      <c r="M2850" s="30">
        <v>9857</v>
      </c>
      <c r="N2850" s="30">
        <v>9932</v>
      </c>
      <c r="O2850" s="24" t="str">
        <f t="shared" si="89"/>
        <v>Cumberland County, Virginia</v>
      </c>
    </row>
    <row r="2851" spans="1:15" x14ac:dyDescent="0.25">
      <c r="A2851" s="35" t="s">
        <v>3326</v>
      </c>
      <c r="B2851" s="28" t="str">
        <f t="shared" si="88"/>
        <v>Dickenson</v>
      </c>
      <c r="C2851" s="30">
        <v>15903</v>
      </c>
      <c r="D2851" s="30">
        <v>15877</v>
      </c>
      <c r="E2851" s="30">
        <v>15847</v>
      </c>
      <c r="F2851" s="30">
        <v>15779</v>
      </c>
      <c r="G2851" s="30">
        <v>15707</v>
      </c>
      <c r="H2851" s="30">
        <v>15526</v>
      </c>
      <c r="I2851" s="30">
        <v>15344</v>
      </c>
      <c r="J2851" s="30">
        <v>15201</v>
      </c>
      <c r="K2851" s="30">
        <v>15014</v>
      </c>
      <c r="L2851" s="30">
        <v>14722</v>
      </c>
      <c r="M2851" s="30">
        <v>14526</v>
      </c>
      <c r="N2851" s="30">
        <v>14318</v>
      </c>
      <c r="O2851" s="24" t="str">
        <f t="shared" si="89"/>
        <v>Dickenson County, Virginia</v>
      </c>
    </row>
    <row r="2852" spans="1:15" x14ac:dyDescent="0.25">
      <c r="A2852" s="35" t="s">
        <v>3327</v>
      </c>
      <c r="B2852" s="28" t="str">
        <f t="shared" si="88"/>
        <v>Dinwiddie</v>
      </c>
      <c r="C2852" s="30">
        <v>28001</v>
      </c>
      <c r="D2852" s="30">
        <v>28012</v>
      </c>
      <c r="E2852" s="30">
        <v>28063</v>
      </c>
      <c r="F2852" s="30">
        <v>28119</v>
      </c>
      <c r="G2852" s="30">
        <v>28223</v>
      </c>
      <c r="H2852" s="30">
        <v>28084</v>
      </c>
      <c r="I2852" s="30">
        <v>28094</v>
      </c>
      <c r="J2852" s="30">
        <v>28148</v>
      </c>
      <c r="K2852" s="30">
        <v>28468</v>
      </c>
      <c r="L2852" s="30">
        <v>28630</v>
      </c>
      <c r="M2852" s="30">
        <v>28633</v>
      </c>
      <c r="N2852" s="30">
        <v>28544</v>
      </c>
      <c r="O2852" s="24" t="str">
        <f t="shared" si="89"/>
        <v>Dinwiddie County, Virginia</v>
      </c>
    </row>
    <row r="2853" spans="1:15" x14ac:dyDescent="0.25">
      <c r="A2853" s="35" t="s">
        <v>3328</v>
      </c>
      <c r="B2853" s="28" t="str">
        <f t="shared" si="88"/>
        <v>Essex</v>
      </c>
      <c r="C2853" s="30">
        <v>11151</v>
      </c>
      <c r="D2853" s="30">
        <v>11149</v>
      </c>
      <c r="E2853" s="30">
        <v>11146</v>
      </c>
      <c r="F2853" s="30">
        <v>11169</v>
      </c>
      <c r="G2853" s="30">
        <v>11135</v>
      </c>
      <c r="H2853" s="30">
        <v>11161</v>
      </c>
      <c r="I2853" s="30">
        <v>11071</v>
      </c>
      <c r="J2853" s="30">
        <v>11096</v>
      </c>
      <c r="K2853" s="30">
        <v>11077</v>
      </c>
      <c r="L2853" s="30">
        <v>10969</v>
      </c>
      <c r="M2853" s="30">
        <v>10896</v>
      </c>
      <c r="N2853" s="30">
        <v>10953</v>
      </c>
      <c r="O2853" s="24" t="str">
        <f t="shared" si="89"/>
        <v>Essex County, Virginia</v>
      </c>
    </row>
    <row r="2854" spans="1:15" x14ac:dyDescent="0.25">
      <c r="A2854" s="35" t="s">
        <v>3329</v>
      </c>
      <c r="B2854" s="28" t="str">
        <f t="shared" si="88"/>
        <v>Fairfax</v>
      </c>
      <c r="C2854" s="30">
        <v>1081726</v>
      </c>
      <c r="D2854" s="30">
        <v>1081703</v>
      </c>
      <c r="E2854" s="30">
        <v>1086155</v>
      </c>
      <c r="F2854" s="30">
        <v>1103439</v>
      </c>
      <c r="G2854" s="30">
        <v>1120395</v>
      </c>
      <c r="H2854" s="30">
        <v>1131784</v>
      </c>
      <c r="I2854" s="30">
        <v>1136271</v>
      </c>
      <c r="J2854" s="30">
        <v>1140401</v>
      </c>
      <c r="K2854" s="30">
        <v>1144188</v>
      </c>
      <c r="L2854" s="30">
        <v>1148728</v>
      </c>
      <c r="M2854" s="30">
        <v>1148463</v>
      </c>
      <c r="N2854" s="30">
        <v>1147532</v>
      </c>
      <c r="O2854" s="24" t="str">
        <f t="shared" si="89"/>
        <v>Fairfax County, Virginia</v>
      </c>
    </row>
    <row r="2855" spans="1:15" x14ac:dyDescent="0.25">
      <c r="A2855" s="35" t="s">
        <v>3330</v>
      </c>
      <c r="B2855" s="28" t="str">
        <f t="shared" si="88"/>
        <v>Fauquier</v>
      </c>
      <c r="C2855" s="30">
        <v>65203</v>
      </c>
      <c r="D2855" s="30">
        <v>65228</v>
      </c>
      <c r="E2855" s="30">
        <v>65440</v>
      </c>
      <c r="F2855" s="30">
        <v>66032</v>
      </c>
      <c r="G2855" s="30">
        <v>66561</v>
      </c>
      <c r="H2855" s="30">
        <v>67139</v>
      </c>
      <c r="I2855" s="30">
        <v>68116</v>
      </c>
      <c r="J2855" s="30">
        <v>68423</v>
      </c>
      <c r="K2855" s="30">
        <v>68805</v>
      </c>
      <c r="L2855" s="30">
        <v>69547</v>
      </c>
      <c r="M2855" s="30">
        <v>70642</v>
      </c>
      <c r="N2855" s="30">
        <v>71222</v>
      </c>
      <c r="O2855" s="24" t="str">
        <f t="shared" si="89"/>
        <v>Fauquier County, Virginia</v>
      </c>
    </row>
    <row r="2856" spans="1:15" x14ac:dyDescent="0.25">
      <c r="A2856" s="35" t="s">
        <v>3331</v>
      </c>
      <c r="B2856" s="28" t="str">
        <f t="shared" si="88"/>
        <v>Floyd</v>
      </c>
      <c r="C2856" s="30">
        <v>15279</v>
      </c>
      <c r="D2856" s="30">
        <v>15291</v>
      </c>
      <c r="E2856" s="30">
        <v>15365</v>
      </c>
      <c r="F2856" s="30">
        <v>15400</v>
      </c>
      <c r="G2856" s="30">
        <v>15431</v>
      </c>
      <c r="H2856" s="30">
        <v>15482</v>
      </c>
      <c r="I2856" s="30">
        <v>15526</v>
      </c>
      <c r="J2856" s="30">
        <v>15548</v>
      </c>
      <c r="K2856" s="30">
        <v>15677</v>
      </c>
      <c r="L2856" s="30">
        <v>15758</v>
      </c>
      <c r="M2856" s="30">
        <v>15790</v>
      </c>
      <c r="N2856" s="30">
        <v>15749</v>
      </c>
      <c r="O2856" s="24" t="str">
        <f t="shared" si="89"/>
        <v>Floyd County, Virginia</v>
      </c>
    </row>
    <row r="2857" spans="1:15" x14ac:dyDescent="0.25">
      <c r="A2857" s="35" t="s">
        <v>3332</v>
      </c>
      <c r="B2857" s="28" t="str">
        <f t="shared" si="88"/>
        <v>Fluvanna</v>
      </c>
      <c r="C2857" s="30">
        <v>25691</v>
      </c>
      <c r="D2857" s="30">
        <v>25742</v>
      </c>
      <c r="E2857" s="30">
        <v>25791</v>
      </c>
      <c r="F2857" s="30">
        <v>25956</v>
      </c>
      <c r="G2857" s="30">
        <v>25883</v>
      </c>
      <c r="H2857" s="30">
        <v>25825</v>
      </c>
      <c r="I2857" s="30">
        <v>25969</v>
      </c>
      <c r="J2857" s="30">
        <v>26133</v>
      </c>
      <c r="K2857" s="30">
        <v>26187</v>
      </c>
      <c r="L2857" s="30">
        <v>26480</v>
      </c>
      <c r="M2857" s="30">
        <v>26898</v>
      </c>
      <c r="N2857" s="30">
        <v>27270</v>
      </c>
      <c r="O2857" s="24" t="str">
        <f t="shared" si="89"/>
        <v>Fluvanna County, Virginia</v>
      </c>
    </row>
    <row r="2858" spans="1:15" x14ac:dyDescent="0.25">
      <c r="A2858" s="35" t="s">
        <v>3333</v>
      </c>
      <c r="B2858" s="28" t="str">
        <f t="shared" si="88"/>
        <v>Franklin</v>
      </c>
      <c r="C2858" s="30">
        <v>56159</v>
      </c>
      <c r="D2858" s="30">
        <v>56128</v>
      </c>
      <c r="E2858" s="30">
        <v>56176</v>
      </c>
      <c r="F2858" s="30">
        <v>56337</v>
      </c>
      <c r="G2858" s="30">
        <v>56290</v>
      </c>
      <c r="H2858" s="30">
        <v>56269</v>
      </c>
      <c r="I2858" s="30">
        <v>56258</v>
      </c>
      <c r="J2858" s="30">
        <v>56227</v>
      </c>
      <c r="K2858" s="30">
        <v>56158</v>
      </c>
      <c r="L2858" s="30">
        <v>56315</v>
      </c>
      <c r="M2858" s="30">
        <v>56191</v>
      </c>
      <c r="N2858" s="30">
        <v>56042</v>
      </c>
      <c r="O2858" s="24" t="str">
        <f t="shared" si="89"/>
        <v>Franklin County, Virginia</v>
      </c>
    </row>
    <row r="2859" spans="1:15" x14ac:dyDescent="0.25">
      <c r="A2859" s="35" t="s">
        <v>3334</v>
      </c>
      <c r="B2859" s="28" t="str">
        <f t="shared" si="88"/>
        <v>Frederick</v>
      </c>
      <c r="C2859" s="30">
        <v>78305</v>
      </c>
      <c r="D2859" s="30">
        <v>78269</v>
      </c>
      <c r="E2859" s="30">
        <v>78550</v>
      </c>
      <c r="F2859" s="30">
        <v>79512</v>
      </c>
      <c r="G2859" s="30">
        <v>80229</v>
      </c>
      <c r="H2859" s="30">
        <v>81474</v>
      </c>
      <c r="I2859" s="30">
        <v>82714</v>
      </c>
      <c r="J2859" s="30">
        <v>83493</v>
      </c>
      <c r="K2859" s="30">
        <v>84638</v>
      </c>
      <c r="L2859" s="30">
        <v>86456</v>
      </c>
      <c r="M2859" s="30">
        <v>88173</v>
      </c>
      <c r="N2859" s="30">
        <v>89313</v>
      </c>
      <c r="O2859" s="24" t="str">
        <f t="shared" si="89"/>
        <v>Frederick County, Virginia</v>
      </c>
    </row>
    <row r="2860" spans="1:15" x14ac:dyDescent="0.25">
      <c r="A2860" s="35" t="s">
        <v>3335</v>
      </c>
      <c r="B2860" s="28" t="str">
        <f t="shared" si="88"/>
        <v>Giles</v>
      </c>
      <c r="C2860" s="30">
        <v>17286</v>
      </c>
      <c r="D2860" s="30">
        <v>17286</v>
      </c>
      <c r="E2860" s="30">
        <v>17316</v>
      </c>
      <c r="F2860" s="30">
        <v>17151</v>
      </c>
      <c r="G2860" s="30">
        <v>17022</v>
      </c>
      <c r="H2860" s="30">
        <v>16988</v>
      </c>
      <c r="I2860" s="30">
        <v>16849</v>
      </c>
      <c r="J2860" s="30">
        <v>16762</v>
      </c>
      <c r="K2860" s="30">
        <v>16827</v>
      </c>
      <c r="L2860" s="30">
        <v>16754</v>
      </c>
      <c r="M2860" s="30">
        <v>16799</v>
      </c>
      <c r="N2860" s="30">
        <v>16720</v>
      </c>
      <c r="O2860" s="24" t="str">
        <f t="shared" si="89"/>
        <v>Giles County, Virginia</v>
      </c>
    </row>
    <row r="2861" spans="1:15" x14ac:dyDescent="0.25">
      <c r="A2861" s="35" t="s">
        <v>3336</v>
      </c>
      <c r="B2861" s="28" t="str">
        <f t="shared" si="88"/>
        <v>Gloucester</v>
      </c>
      <c r="C2861" s="30">
        <v>36858</v>
      </c>
      <c r="D2861" s="30">
        <v>36859</v>
      </c>
      <c r="E2861" s="30">
        <v>36940</v>
      </c>
      <c r="F2861" s="30">
        <v>36889</v>
      </c>
      <c r="G2861" s="30">
        <v>36838</v>
      </c>
      <c r="H2861" s="30">
        <v>36768</v>
      </c>
      <c r="I2861" s="30">
        <v>37024</v>
      </c>
      <c r="J2861" s="30">
        <v>37010</v>
      </c>
      <c r="K2861" s="30">
        <v>37114</v>
      </c>
      <c r="L2861" s="30">
        <v>37295</v>
      </c>
      <c r="M2861" s="30">
        <v>37341</v>
      </c>
      <c r="N2861" s="30">
        <v>37348</v>
      </c>
      <c r="O2861" s="24" t="str">
        <f t="shared" si="89"/>
        <v>Gloucester County, Virginia</v>
      </c>
    </row>
    <row r="2862" spans="1:15" x14ac:dyDescent="0.25">
      <c r="A2862" s="35" t="s">
        <v>3337</v>
      </c>
      <c r="B2862" s="28" t="str">
        <f t="shared" si="88"/>
        <v>Goochland</v>
      </c>
      <c r="C2862" s="30">
        <v>21717</v>
      </c>
      <c r="D2862" s="30">
        <v>21692</v>
      </c>
      <c r="E2862" s="30">
        <v>21744</v>
      </c>
      <c r="F2862" s="30">
        <v>21374</v>
      </c>
      <c r="G2862" s="30">
        <v>21273</v>
      </c>
      <c r="H2862" s="30">
        <v>21565</v>
      </c>
      <c r="I2862" s="30">
        <v>21849</v>
      </c>
      <c r="J2862" s="30">
        <v>22165</v>
      </c>
      <c r="K2862" s="30">
        <v>22485</v>
      </c>
      <c r="L2862" s="30">
        <v>22703</v>
      </c>
      <c r="M2862" s="30">
        <v>23219</v>
      </c>
      <c r="N2862" s="30">
        <v>23753</v>
      </c>
      <c r="O2862" s="24" t="str">
        <f t="shared" si="89"/>
        <v>Goochland County, Virginia</v>
      </c>
    </row>
    <row r="2863" spans="1:15" x14ac:dyDescent="0.25">
      <c r="A2863" s="35" t="s">
        <v>3338</v>
      </c>
      <c r="B2863" s="28" t="str">
        <f t="shared" si="88"/>
        <v>Grayson</v>
      </c>
      <c r="C2863" s="30">
        <v>15533</v>
      </c>
      <c r="D2863" s="30">
        <v>15554</v>
      </c>
      <c r="E2863" s="30">
        <v>15497</v>
      </c>
      <c r="F2863" s="30">
        <v>15366</v>
      </c>
      <c r="G2863" s="30">
        <v>15143</v>
      </c>
      <c r="H2863" s="30">
        <v>15128</v>
      </c>
      <c r="I2863" s="30">
        <v>15922</v>
      </c>
      <c r="J2863" s="30">
        <v>15959</v>
      </c>
      <c r="K2863" s="30">
        <v>15867</v>
      </c>
      <c r="L2863" s="30">
        <v>15697</v>
      </c>
      <c r="M2863" s="30">
        <v>15635</v>
      </c>
      <c r="N2863" s="30">
        <v>15550</v>
      </c>
      <c r="O2863" s="24" t="str">
        <f t="shared" si="89"/>
        <v>Grayson County, Virginia</v>
      </c>
    </row>
    <row r="2864" spans="1:15" x14ac:dyDescent="0.25">
      <c r="A2864" s="35" t="s">
        <v>3339</v>
      </c>
      <c r="B2864" s="28" t="str">
        <f t="shared" si="88"/>
        <v>Greene</v>
      </c>
      <c r="C2864" s="30">
        <v>18403</v>
      </c>
      <c r="D2864" s="30">
        <v>18389</v>
      </c>
      <c r="E2864" s="30">
        <v>18457</v>
      </c>
      <c r="F2864" s="30">
        <v>18667</v>
      </c>
      <c r="G2864" s="30">
        <v>18803</v>
      </c>
      <c r="H2864" s="30">
        <v>18848</v>
      </c>
      <c r="I2864" s="30">
        <v>19105</v>
      </c>
      <c r="J2864" s="30">
        <v>19183</v>
      </c>
      <c r="K2864" s="30">
        <v>19309</v>
      </c>
      <c r="L2864" s="30">
        <v>19593</v>
      </c>
      <c r="M2864" s="30">
        <v>19692</v>
      </c>
      <c r="N2864" s="30">
        <v>19819</v>
      </c>
      <c r="O2864" s="24" t="str">
        <f t="shared" si="89"/>
        <v>Greene County, Virginia</v>
      </c>
    </row>
    <row r="2865" spans="1:15" x14ac:dyDescent="0.25">
      <c r="A2865" s="35" t="s">
        <v>3340</v>
      </c>
      <c r="B2865" s="28" t="str">
        <f t="shared" si="88"/>
        <v>Greensville</v>
      </c>
      <c r="C2865" s="30">
        <v>12243</v>
      </c>
      <c r="D2865" s="30">
        <v>12245</v>
      </c>
      <c r="E2865" s="30">
        <v>12234</v>
      </c>
      <c r="F2865" s="30">
        <v>12001</v>
      </c>
      <c r="G2865" s="30">
        <v>11745</v>
      </c>
      <c r="H2865" s="30">
        <v>11689</v>
      </c>
      <c r="I2865" s="30">
        <v>11564</v>
      </c>
      <c r="J2865" s="30">
        <v>11786</v>
      </c>
      <c r="K2865" s="30">
        <v>11500</v>
      </c>
      <c r="L2865" s="30">
        <v>11569</v>
      </c>
      <c r="M2865" s="30">
        <v>11432</v>
      </c>
      <c r="N2865" s="30">
        <v>11336</v>
      </c>
      <c r="O2865" s="24" t="str">
        <f t="shared" si="89"/>
        <v>Greensville County, Virginia</v>
      </c>
    </row>
    <row r="2866" spans="1:15" x14ac:dyDescent="0.25">
      <c r="A2866" s="35" t="s">
        <v>3341</v>
      </c>
      <c r="B2866" s="28" t="str">
        <f t="shared" si="88"/>
        <v>Halifax</v>
      </c>
      <c r="C2866" s="30">
        <v>36241</v>
      </c>
      <c r="D2866" s="30">
        <v>36253</v>
      </c>
      <c r="E2866" s="30">
        <v>36206</v>
      </c>
      <c r="F2866" s="30">
        <v>36000</v>
      </c>
      <c r="G2866" s="30">
        <v>35738</v>
      </c>
      <c r="H2866" s="30">
        <v>35386</v>
      </c>
      <c r="I2866" s="30">
        <v>35204</v>
      </c>
      <c r="J2866" s="30">
        <v>35103</v>
      </c>
      <c r="K2866" s="30">
        <v>34990</v>
      </c>
      <c r="L2866" s="30">
        <v>34575</v>
      </c>
      <c r="M2866" s="30">
        <v>34181</v>
      </c>
      <c r="N2866" s="30">
        <v>33911</v>
      </c>
      <c r="O2866" s="24" t="str">
        <f t="shared" si="89"/>
        <v>Halifax County, Virginia</v>
      </c>
    </row>
    <row r="2867" spans="1:15" x14ac:dyDescent="0.25">
      <c r="A2867" s="35" t="s">
        <v>3342</v>
      </c>
      <c r="B2867" s="28" t="str">
        <f t="shared" si="88"/>
        <v>Hanover</v>
      </c>
      <c r="C2867" s="30">
        <v>99863</v>
      </c>
      <c r="D2867" s="30">
        <v>99850</v>
      </c>
      <c r="E2867" s="30">
        <v>99902</v>
      </c>
      <c r="F2867" s="30">
        <v>99908</v>
      </c>
      <c r="G2867" s="30">
        <v>100339</v>
      </c>
      <c r="H2867" s="30">
        <v>101065</v>
      </c>
      <c r="I2867" s="30">
        <v>101724</v>
      </c>
      <c r="J2867" s="30">
        <v>103071</v>
      </c>
      <c r="K2867" s="30">
        <v>104290</v>
      </c>
      <c r="L2867" s="30">
        <v>105674</v>
      </c>
      <c r="M2867" s="30">
        <v>106886</v>
      </c>
      <c r="N2867" s="30">
        <v>107766</v>
      </c>
      <c r="O2867" s="24" t="str">
        <f t="shared" si="89"/>
        <v>Hanover County, Virginia</v>
      </c>
    </row>
    <row r="2868" spans="1:15" x14ac:dyDescent="0.25">
      <c r="A2868" s="35" t="s">
        <v>3343</v>
      </c>
      <c r="B2868" s="28" t="str">
        <f t="shared" si="88"/>
        <v>Henrico</v>
      </c>
      <c r="C2868" s="30">
        <v>306935</v>
      </c>
      <c r="D2868" s="30">
        <v>306756</v>
      </c>
      <c r="E2868" s="30">
        <v>307253</v>
      </c>
      <c r="F2868" s="30">
        <v>310430</v>
      </c>
      <c r="G2868" s="30">
        <v>315587</v>
      </c>
      <c r="H2868" s="30">
        <v>318640</v>
      </c>
      <c r="I2868" s="30">
        <v>321835</v>
      </c>
      <c r="J2868" s="30">
        <v>324375</v>
      </c>
      <c r="K2868" s="30">
        <v>325931</v>
      </c>
      <c r="L2868" s="30">
        <v>327559</v>
      </c>
      <c r="M2868" s="30">
        <v>328993</v>
      </c>
      <c r="N2868" s="30">
        <v>330818</v>
      </c>
      <c r="O2868" s="24" t="str">
        <f t="shared" si="89"/>
        <v>Henrico County, Virginia</v>
      </c>
    </row>
    <row r="2869" spans="1:15" x14ac:dyDescent="0.25">
      <c r="A2869" s="35" t="s">
        <v>3344</v>
      </c>
      <c r="B2869" s="28" t="str">
        <f t="shared" si="88"/>
        <v>Henry</v>
      </c>
      <c r="C2869" s="30">
        <v>54151</v>
      </c>
      <c r="D2869" s="30">
        <v>54182</v>
      </c>
      <c r="E2869" s="30">
        <v>54135</v>
      </c>
      <c r="F2869" s="30">
        <v>53552</v>
      </c>
      <c r="G2869" s="30">
        <v>53112</v>
      </c>
      <c r="H2869" s="30">
        <v>52748</v>
      </c>
      <c r="I2869" s="30">
        <v>52237</v>
      </c>
      <c r="J2869" s="30">
        <v>51940</v>
      </c>
      <c r="K2869" s="30">
        <v>51645</v>
      </c>
      <c r="L2869" s="30">
        <v>51346</v>
      </c>
      <c r="M2869" s="30">
        <v>51050</v>
      </c>
      <c r="N2869" s="30">
        <v>50557</v>
      </c>
      <c r="O2869" s="24" t="str">
        <f t="shared" si="89"/>
        <v>Henry County, Virginia</v>
      </c>
    </row>
    <row r="2870" spans="1:15" x14ac:dyDescent="0.25">
      <c r="A2870" s="35" t="s">
        <v>3345</v>
      </c>
      <c r="B2870" s="28" t="str">
        <f t="shared" si="88"/>
        <v>Highland</v>
      </c>
      <c r="C2870" s="30">
        <v>2321</v>
      </c>
      <c r="D2870" s="30">
        <v>2319</v>
      </c>
      <c r="E2870" s="30">
        <v>2297</v>
      </c>
      <c r="F2870" s="30">
        <v>2260</v>
      </c>
      <c r="G2870" s="30">
        <v>2234</v>
      </c>
      <c r="H2870" s="30">
        <v>2205</v>
      </c>
      <c r="I2870" s="30">
        <v>2238</v>
      </c>
      <c r="J2870" s="30">
        <v>2196</v>
      </c>
      <c r="K2870" s="30">
        <v>2210</v>
      </c>
      <c r="L2870" s="30">
        <v>2217</v>
      </c>
      <c r="M2870" s="30">
        <v>2208</v>
      </c>
      <c r="N2870" s="30">
        <v>2190</v>
      </c>
      <c r="O2870" s="24" t="str">
        <f t="shared" si="89"/>
        <v>Highland County, Virginia</v>
      </c>
    </row>
    <row r="2871" spans="1:15" x14ac:dyDescent="0.25">
      <c r="A2871" s="35" t="s">
        <v>3346</v>
      </c>
      <c r="B2871" s="28" t="str">
        <f t="shared" si="88"/>
        <v>Isle of Wight</v>
      </c>
      <c r="C2871" s="30">
        <v>35270</v>
      </c>
      <c r="D2871" s="30">
        <v>35277</v>
      </c>
      <c r="E2871" s="30">
        <v>35316</v>
      </c>
      <c r="F2871" s="30">
        <v>35296</v>
      </c>
      <c r="G2871" s="30">
        <v>35343</v>
      </c>
      <c r="H2871" s="30">
        <v>35526</v>
      </c>
      <c r="I2871" s="30">
        <v>35865</v>
      </c>
      <c r="J2871" s="30">
        <v>36159</v>
      </c>
      <c r="K2871" s="30">
        <v>36326</v>
      </c>
      <c r="L2871" s="30">
        <v>36571</v>
      </c>
      <c r="M2871" s="30">
        <v>36972</v>
      </c>
      <c r="N2871" s="30">
        <v>37109</v>
      </c>
      <c r="O2871" s="24" t="str">
        <f t="shared" si="89"/>
        <v>Isle of Wight County, Virginia</v>
      </c>
    </row>
    <row r="2872" spans="1:15" x14ac:dyDescent="0.25">
      <c r="A2872" s="35" t="s">
        <v>3347</v>
      </c>
      <c r="B2872" s="28" t="str">
        <f t="shared" si="88"/>
        <v>James City</v>
      </c>
      <c r="C2872" s="30">
        <v>67009</v>
      </c>
      <c r="D2872" s="30">
        <v>67379</v>
      </c>
      <c r="E2872" s="30">
        <v>67661</v>
      </c>
      <c r="F2872" s="30">
        <v>68297</v>
      </c>
      <c r="G2872" s="30">
        <v>69409</v>
      </c>
      <c r="H2872" s="30">
        <v>70612</v>
      </c>
      <c r="I2872" s="30">
        <v>72064</v>
      </c>
      <c r="J2872" s="30">
        <v>72819</v>
      </c>
      <c r="K2872" s="30">
        <v>73930</v>
      </c>
      <c r="L2872" s="30">
        <v>75274</v>
      </c>
      <c r="M2872" s="30">
        <v>76033</v>
      </c>
      <c r="N2872" s="30">
        <v>76523</v>
      </c>
      <c r="O2872" s="24" t="str">
        <f t="shared" si="89"/>
        <v>James City County, Virginia</v>
      </c>
    </row>
    <row r="2873" spans="1:15" x14ac:dyDescent="0.25">
      <c r="A2873" s="35" t="s">
        <v>3348</v>
      </c>
      <c r="B2873" s="28" t="str">
        <f t="shared" si="88"/>
        <v>King and Queen</v>
      </c>
      <c r="C2873" s="30">
        <v>6945</v>
      </c>
      <c r="D2873" s="30">
        <v>6940</v>
      </c>
      <c r="E2873" s="30">
        <v>6976</v>
      </c>
      <c r="F2873" s="30">
        <v>6987</v>
      </c>
      <c r="G2873" s="30">
        <v>7009</v>
      </c>
      <c r="H2873" s="30">
        <v>7029</v>
      </c>
      <c r="I2873" s="30">
        <v>7082</v>
      </c>
      <c r="J2873" s="30">
        <v>7085</v>
      </c>
      <c r="K2873" s="30">
        <v>7054</v>
      </c>
      <c r="L2873" s="30">
        <v>6999</v>
      </c>
      <c r="M2873" s="30">
        <v>7045</v>
      </c>
      <c r="N2873" s="30">
        <v>7025</v>
      </c>
      <c r="O2873" s="24" t="str">
        <f t="shared" si="89"/>
        <v>King and Queen County, Virginia</v>
      </c>
    </row>
    <row r="2874" spans="1:15" x14ac:dyDescent="0.25">
      <c r="A2874" s="35" t="s">
        <v>3349</v>
      </c>
      <c r="B2874" s="28" t="str">
        <f t="shared" si="88"/>
        <v>King George</v>
      </c>
      <c r="C2874" s="30">
        <v>23584</v>
      </c>
      <c r="D2874" s="30">
        <v>23578</v>
      </c>
      <c r="E2874" s="30">
        <v>23696</v>
      </c>
      <c r="F2874" s="30">
        <v>24273</v>
      </c>
      <c r="G2874" s="30">
        <v>24606</v>
      </c>
      <c r="H2874" s="30">
        <v>24897</v>
      </c>
      <c r="I2874" s="30">
        <v>25260</v>
      </c>
      <c r="J2874" s="30">
        <v>25414</v>
      </c>
      <c r="K2874" s="30">
        <v>25947</v>
      </c>
      <c r="L2874" s="30">
        <v>26337</v>
      </c>
      <c r="M2874" s="30">
        <v>26612</v>
      </c>
      <c r="N2874" s="30">
        <v>26836</v>
      </c>
      <c r="O2874" s="24" t="str">
        <f t="shared" si="89"/>
        <v>King George County, Virginia</v>
      </c>
    </row>
    <row r="2875" spans="1:15" x14ac:dyDescent="0.25">
      <c r="A2875" s="35" t="s">
        <v>3350</v>
      </c>
      <c r="B2875" s="28" t="str">
        <f t="shared" si="88"/>
        <v>King William</v>
      </c>
      <c r="C2875" s="30">
        <v>15935</v>
      </c>
      <c r="D2875" s="30">
        <v>15927</v>
      </c>
      <c r="E2875" s="30">
        <v>15999</v>
      </c>
      <c r="F2875" s="30">
        <v>16014</v>
      </c>
      <c r="G2875" s="30">
        <v>15977</v>
      </c>
      <c r="H2875" s="30">
        <v>16092</v>
      </c>
      <c r="I2875" s="30">
        <v>16149</v>
      </c>
      <c r="J2875" s="30">
        <v>16282</v>
      </c>
      <c r="K2875" s="30">
        <v>16405</v>
      </c>
      <c r="L2875" s="30">
        <v>16684</v>
      </c>
      <c r="M2875" s="30">
        <v>16919</v>
      </c>
      <c r="N2875" s="30">
        <v>17148</v>
      </c>
      <c r="O2875" s="24" t="str">
        <f t="shared" si="89"/>
        <v>King William County, Virginia</v>
      </c>
    </row>
    <row r="2876" spans="1:15" x14ac:dyDescent="0.25">
      <c r="A2876" s="35" t="s">
        <v>3351</v>
      </c>
      <c r="B2876" s="28" t="str">
        <f t="shared" si="88"/>
        <v>Lancaster</v>
      </c>
      <c r="C2876" s="30">
        <v>11391</v>
      </c>
      <c r="D2876" s="30">
        <v>11390</v>
      </c>
      <c r="E2876" s="30">
        <v>11362</v>
      </c>
      <c r="F2876" s="30">
        <v>11275</v>
      </c>
      <c r="G2876" s="30">
        <v>11125</v>
      </c>
      <c r="H2876" s="30">
        <v>10959</v>
      </c>
      <c r="I2876" s="30">
        <v>10861</v>
      </c>
      <c r="J2876" s="30">
        <v>10825</v>
      </c>
      <c r="K2876" s="30">
        <v>10771</v>
      </c>
      <c r="L2876" s="30">
        <v>10725</v>
      </c>
      <c r="M2876" s="30">
        <v>10696</v>
      </c>
      <c r="N2876" s="30">
        <v>10603</v>
      </c>
      <c r="O2876" s="24" t="str">
        <f t="shared" si="89"/>
        <v>Lancaster County, Virginia</v>
      </c>
    </row>
    <row r="2877" spans="1:15" x14ac:dyDescent="0.25">
      <c r="A2877" s="35" t="s">
        <v>3352</v>
      </c>
      <c r="B2877" s="28" t="str">
        <f t="shared" si="88"/>
        <v>Lee</v>
      </c>
      <c r="C2877" s="30">
        <v>25587</v>
      </c>
      <c r="D2877" s="30">
        <v>25589</v>
      </c>
      <c r="E2877" s="30">
        <v>25605</v>
      </c>
      <c r="F2877" s="30">
        <v>25544</v>
      </c>
      <c r="G2877" s="30">
        <v>25428</v>
      </c>
      <c r="H2877" s="30">
        <v>25080</v>
      </c>
      <c r="I2877" s="30">
        <v>24724</v>
      </c>
      <c r="J2877" s="30">
        <v>24595</v>
      </c>
      <c r="K2877" s="30">
        <v>24165</v>
      </c>
      <c r="L2877" s="30">
        <v>23900</v>
      </c>
      <c r="M2877" s="30">
        <v>23656</v>
      </c>
      <c r="N2877" s="30">
        <v>23423</v>
      </c>
      <c r="O2877" s="24" t="str">
        <f t="shared" si="89"/>
        <v>Lee County, Virginia</v>
      </c>
    </row>
    <row r="2878" spans="1:15" x14ac:dyDescent="0.25">
      <c r="A2878" s="35" t="s">
        <v>3353</v>
      </c>
      <c r="B2878" s="28" t="str">
        <f t="shared" si="88"/>
        <v>Loudoun</v>
      </c>
      <c r="C2878" s="30">
        <v>312311</v>
      </c>
      <c r="D2878" s="30">
        <v>312348</v>
      </c>
      <c r="E2878" s="30">
        <v>315478</v>
      </c>
      <c r="F2878" s="30">
        <v>326327</v>
      </c>
      <c r="G2878" s="30">
        <v>337847</v>
      </c>
      <c r="H2878" s="30">
        <v>349915</v>
      </c>
      <c r="I2878" s="30">
        <v>362206</v>
      </c>
      <c r="J2878" s="30">
        <v>374014</v>
      </c>
      <c r="K2878" s="30">
        <v>385546</v>
      </c>
      <c r="L2878" s="30">
        <v>397049</v>
      </c>
      <c r="M2878" s="30">
        <v>405522</v>
      </c>
      <c r="N2878" s="30">
        <v>413538</v>
      </c>
      <c r="O2878" s="24" t="str">
        <f t="shared" si="89"/>
        <v>Loudoun County, Virginia</v>
      </c>
    </row>
    <row r="2879" spans="1:15" x14ac:dyDescent="0.25">
      <c r="A2879" s="35" t="s">
        <v>3354</v>
      </c>
      <c r="B2879" s="28" t="str">
        <f t="shared" si="88"/>
        <v>Louisa</v>
      </c>
      <c r="C2879" s="30">
        <v>33153</v>
      </c>
      <c r="D2879" s="30">
        <v>33168</v>
      </c>
      <c r="E2879" s="30">
        <v>33309</v>
      </c>
      <c r="F2879" s="30">
        <v>33465</v>
      </c>
      <c r="G2879" s="30">
        <v>33494</v>
      </c>
      <c r="H2879" s="30">
        <v>33987</v>
      </c>
      <c r="I2879" s="30">
        <v>34310</v>
      </c>
      <c r="J2879" s="30">
        <v>34611</v>
      </c>
      <c r="K2879" s="30">
        <v>35304</v>
      </c>
      <c r="L2879" s="30">
        <v>35912</v>
      </c>
      <c r="M2879" s="30">
        <v>36784</v>
      </c>
      <c r="N2879" s="30">
        <v>37591</v>
      </c>
      <c r="O2879" s="24" t="str">
        <f t="shared" si="89"/>
        <v>Louisa County, Virginia</v>
      </c>
    </row>
    <row r="2880" spans="1:15" x14ac:dyDescent="0.25">
      <c r="A2880" s="35" t="s">
        <v>3355</v>
      </c>
      <c r="B2880" s="28" t="str">
        <f t="shared" si="88"/>
        <v>Lunenburg</v>
      </c>
      <c r="C2880" s="30">
        <v>12914</v>
      </c>
      <c r="D2880" s="30">
        <v>12916</v>
      </c>
      <c r="E2880" s="30">
        <v>12910</v>
      </c>
      <c r="F2880" s="30">
        <v>12911</v>
      </c>
      <c r="G2880" s="30">
        <v>12638</v>
      </c>
      <c r="H2880" s="30">
        <v>12532</v>
      </c>
      <c r="I2880" s="30">
        <v>12482</v>
      </c>
      <c r="J2880" s="30">
        <v>12348</v>
      </c>
      <c r="K2880" s="30">
        <v>12319</v>
      </c>
      <c r="L2880" s="30">
        <v>12333</v>
      </c>
      <c r="M2880" s="30">
        <v>12215</v>
      </c>
      <c r="N2880" s="30">
        <v>12196</v>
      </c>
      <c r="O2880" s="24" t="str">
        <f t="shared" si="89"/>
        <v>Lunenburg County, Virginia</v>
      </c>
    </row>
    <row r="2881" spans="1:15" x14ac:dyDescent="0.25">
      <c r="A2881" s="35" t="s">
        <v>3356</v>
      </c>
      <c r="B2881" s="28" t="str">
        <f t="shared" si="88"/>
        <v>Madison</v>
      </c>
      <c r="C2881" s="30">
        <v>13308</v>
      </c>
      <c r="D2881" s="30">
        <v>13306</v>
      </c>
      <c r="E2881" s="30">
        <v>13300</v>
      </c>
      <c r="F2881" s="30">
        <v>13141</v>
      </c>
      <c r="G2881" s="30">
        <v>13132</v>
      </c>
      <c r="H2881" s="30">
        <v>13090</v>
      </c>
      <c r="I2881" s="30">
        <v>13030</v>
      </c>
      <c r="J2881" s="30">
        <v>13047</v>
      </c>
      <c r="K2881" s="30">
        <v>13081</v>
      </c>
      <c r="L2881" s="30">
        <v>13212</v>
      </c>
      <c r="M2881" s="30">
        <v>13248</v>
      </c>
      <c r="N2881" s="30">
        <v>13261</v>
      </c>
      <c r="O2881" s="24" t="str">
        <f t="shared" si="89"/>
        <v>Madison County, Virginia</v>
      </c>
    </row>
    <row r="2882" spans="1:15" x14ac:dyDescent="0.25">
      <c r="A2882" s="35" t="s">
        <v>3357</v>
      </c>
      <c r="B2882" s="28" t="str">
        <f t="shared" si="88"/>
        <v>Mathews</v>
      </c>
      <c r="C2882" s="30">
        <v>8978</v>
      </c>
      <c r="D2882" s="30">
        <v>8976</v>
      </c>
      <c r="E2882" s="30">
        <v>8974</v>
      </c>
      <c r="F2882" s="30">
        <v>8944</v>
      </c>
      <c r="G2882" s="30">
        <v>8911</v>
      </c>
      <c r="H2882" s="30">
        <v>8898</v>
      </c>
      <c r="I2882" s="30">
        <v>8813</v>
      </c>
      <c r="J2882" s="30">
        <v>8834</v>
      </c>
      <c r="K2882" s="30">
        <v>8769</v>
      </c>
      <c r="L2882" s="30">
        <v>8709</v>
      </c>
      <c r="M2882" s="30">
        <v>8792</v>
      </c>
      <c r="N2882" s="30">
        <v>8834</v>
      </c>
      <c r="O2882" s="24" t="str">
        <f t="shared" si="89"/>
        <v>Mathews County, Virginia</v>
      </c>
    </row>
    <row r="2883" spans="1:15" x14ac:dyDescent="0.25">
      <c r="A2883" s="35" t="s">
        <v>3358</v>
      </c>
      <c r="B2883" s="28" t="str">
        <f t="shared" si="88"/>
        <v>Mecklenburg</v>
      </c>
      <c r="C2883" s="30">
        <v>32727</v>
      </c>
      <c r="D2883" s="30">
        <v>32716</v>
      </c>
      <c r="E2883" s="30">
        <v>32708</v>
      </c>
      <c r="F2883" s="30">
        <v>32560</v>
      </c>
      <c r="G2883" s="30">
        <v>31686</v>
      </c>
      <c r="H2883" s="30">
        <v>31239</v>
      </c>
      <c r="I2883" s="30">
        <v>31104</v>
      </c>
      <c r="J2883" s="30">
        <v>30922</v>
      </c>
      <c r="K2883" s="30">
        <v>30813</v>
      </c>
      <c r="L2883" s="30">
        <v>30693</v>
      </c>
      <c r="M2883" s="30">
        <v>30624</v>
      </c>
      <c r="N2883" s="30">
        <v>30587</v>
      </c>
      <c r="O2883" s="24" t="str">
        <f t="shared" si="89"/>
        <v>Mecklenburg County, Virginia</v>
      </c>
    </row>
    <row r="2884" spans="1:15" x14ac:dyDescent="0.25">
      <c r="A2884" s="35" t="s">
        <v>3359</v>
      </c>
      <c r="B2884" s="28" t="str">
        <f t="shared" si="88"/>
        <v>Middlesex</v>
      </c>
      <c r="C2884" s="30">
        <v>10959</v>
      </c>
      <c r="D2884" s="30">
        <v>10959</v>
      </c>
      <c r="E2884" s="30">
        <v>10980</v>
      </c>
      <c r="F2884" s="30">
        <v>10854</v>
      </c>
      <c r="G2884" s="30">
        <v>10850</v>
      </c>
      <c r="H2884" s="30">
        <v>10781</v>
      </c>
      <c r="I2884" s="30">
        <v>10657</v>
      </c>
      <c r="J2884" s="30">
        <v>10686</v>
      </c>
      <c r="K2884" s="30">
        <v>10749</v>
      </c>
      <c r="L2884" s="30">
        <v>10625</v>
      </c>
      <c r="M2884" s="30">
        <v>10733</v>
      </c>
      <c r="N2884" s="30">
        <v>10582</v>
      </c>
      <c r="O2884" s="24" t="str">
        <f t="shared" si="89"/>
        <v>Middlesex County, Virginia</v>
      </c>
    </row>
    <row r="2885" spans="1:15" x14ac:dyDescent="0.25">
      <c r="A2885" s="35" t="s">
        <v>3360</v>
      </c>
      <c r="B2885" s="28" t="str">
        <f t="shared" si="88"/>
        <v>Montgomery</v>
      </c>
      <c r="C2885" s="30">
        <v>94392</v>
      </c>
      <c r="D2885" s="30">
        <v>94422</v>
      </c>
      <c r="E2885" s="30">
        <v>94557</v>
      </c>
      <c r="F2885" s="30">
        <v>94737</v>
      </c>
      <c r="G2885" s="30">
        <v>95652</v>
      </c>
      <c r="H2885" s="30">
        <v>96589</v>
      </c>
      <c r="I2885" s="30">
        <v>97107</v>
      </c>
      <c r="J2885" s="30">
        <v>97317</v>
      </c>
      <c r="K2885" s="30">
        <v>98172</v>
      </c>
      <c r="L2885" s="30">
        <v>98142</v>
      </c>
      <c r="M2885" s="30">
        <v>98532</v>
      </c>
      <c r="N2885" s="30">
        <v>98535</v>
      </c>
      <c r="O2885" s="24" t="str">
        <f t="shared" si="89"/>
        <v>Montgomery County, Virginia</v>
      </c>
    </row>
    <row r="2886" spans="1:15" x14ac:dyDescent="0.25">
      <c r="A2886" s="35" t="s">
        <v>3361</v>
      </c>
      <c r="B2886" s="28" t="str">
        <f t="shared" si="88"/>
        <v>Nelson</v>
      </c>
      <c r="C2886" s="30">
        <v>15020</v>
      </c>
      <c r="D2886" s="30">
        <v>15015</v>
      </c>
      <c r="E2886" s="30">
        <v>14978</v>
      </c>
      <c r="F2886" s="30">
        <v>15020</v>
      </c>
      <c r="G2886" s="30">
        <v>14802</v>
      </c>
      <c r="H2886" s="30">
        <v>14800</v>
      </c>
      <c r="I2886" s="30">
        <v>14863</v>
      </c>
      <c r="J2886" s="30">
        <v>14760</v>
      </c>
      <c r="K2886" s="30">
        <v>14805</v>
      </c>
      <c r="L2886" s="30">
        <v>14800</v>
      </c>
      <c r="M2886" s="30">
        <v>14862</v>
      </c>
      <c r="N2886" s="30">
        <v>14930</v>
      </c>
      <c r="O2886" s="24" t="str">
        <f t="shared" si="89"/>
        <v>Nelson County, Virginia</v>
      </c>
    </row>
    <row r="2887" spans="1:15" x14ac:dyDescent="0.25">
      <c r="A2887" s="35" t="s">
        <v>3362</v>
      </c>
      <c r="B2887" s="28" t="str">
        <f t="shared" ref="B2887:B2950" si="90">LEFT(A2887,FIND("County",A2887,1)-2)</f>
        <v>New Kent</v>
      </c>
      <c r="C2887" s="30">
        <v>18429</v>
      </c>
      <c r="D2887" s="30">
        <v>18432</v>
      </c>
      <c r="E2887" s="30">
        <v>18543</v>
      </c>
      <c r="F2887" s="30">
        <v>18764</v>
      </c>
      <c r="G2887" s="30">
        <v>19149</v>
      </c>
      <c r="H2887" s="30">
        <v>19516</v>
      </c>
      <c r="I2887" s="30">
        <v>20019</v>
      </c>
      <c r="J2887" s="30">
        <v>20377</v>
      </c>
      <c r="K2887" s="30">
        <v>21009</v>
      </c>
      <c r="L2887" s="30">
        <v>21638</v>
      </c>
      <c r="M2887" s="30">
        <v>22317</v>
      </c>
      <c r="N2887" s="30">
        <v>23091</v>
      </c>
      <c r="O2887" s="24" t="str">
        <f t="shared" ref="O2887:O2950" si="91">A2887</f>
        <v>New Kent County, Virginia</v>
      </c>
    </row>
    <row r="2888" spans="1:15" x14ac:dyDescent="0.25">
      <c r="A2888" s="35" t="s">
        <v>3363</v>
      </c>
      <c r="B2888" s="28" t="str">
        <f t="shared" si="90"/>
        <v>Northampton</v>
      </c>
      <c r="C2888" s="30">
        <v>12389</v>
      </c>
      <c r="D2888" s="30">
        <v>12391</v>
      </c>
      <c r="E2888" s="30">
        <v>12409</v>
      </c>
      <c r="F2888" s="30">
        <v>12408</v>
      </c>
      <c r="G2888" s="30">
        <v>12212</v>
      </c>
      <c r="H2888" s="30">
        <v>12030</v>
      </c>
      <c r="I2888" s="30">
        <v>12038</v>
      </c>
      <c r="J2888" s="30">
        <v>12080</v>
      </c>
      <c r="K2888" s="30">
        <v>12002</v>
      </c>
      <c r="L2888" s="30">
        <v>11872</v>
      </c>
      <c r="M2888" s="30">
        <v>11761</v>
      </c>
      <c r="N2888" s="30">
        <v>11710</v>
      </c>
      <c r="O2888" s="24" t="str">
        <f t="shared" si="91"/>
        <v>Northampton County, Virginia</v>
      </c>
    </row>
    <row r="2889" spans="1:15" x14ac:dyDescent="0.25">
      <c r="A2889" s="35" t="s">
        <v>3364</v>
      </c>
      <c r="B2889" s="28" t="str">
        <f t="shared" si="90"/>
        <v>Northumberland</v>
      </c>
      <c r="C2889" s="30">
        <v>12330</v>
      </c>
      <c r="D2889" s="30">
        <v>12331</v>
      </c>
      <c r="E2889" s="30">
        <v>12355</v>
      </c>
      <c r="F2889" s="30">
        <v>12451</v>
      </c>
      <c r="G2889" s="30">
        <v>12422</v>
      </c>
      <c r="H2889" s="30">
        <v>12298</v>
      </c>
      <c r="I2889" s="30">
        <v>12256</v>
      </c>
      <c r="J2889" s="30">
        <v>12241</v>
      </c>
      <c r="K2889" s="30">
        <v>12176</v>
      </c>
      <c r="L2889" s="30">
        <v>12271</v>
      </c>
      <c r="M2889" s="30">
        <v>12168</v>
      </c>
      <c r="N2889" s="30">
        <v>12095</v>
      </c>
      <c r="O2889" s="24" t="str">
        <f t="shared" si="91"/>
        <v>Northumberland County, Virginia</v>
      </c>
    </row>
    <row r="2890" spans="1:15" x14ac:dyDescent="0.25">
      <c r="A2890" s="35" t="s">
        <v>3365</v>
      </c>
      <c r="B2890" s="28" t="str">
        <f t="shared" si="90"/>
        <v>Nottoway</v>
      </c>
      <c r="C2890" s="30">
        <v>15853</v>
      </c>
      <c r="D2890" s="30">
        <v>15853</v>
      </c>
      <c r="E2890" s="30">
        <v>15840</v>
      </c>
      <c r="F2890" s="30">
        <v>15894</v>
      </c>
      <c r="G2890" s="30">
        <v>15756</v>
      </c>
      <c r="H2890" s="30">
        <v>15637</v>
      </c>
      <c r="I2890" s="30">
        <v>15511</v>
      </c>
      <c r="J2890" s="30">
        <v>15606</v>
      </c>
      <c r="K2890" s="30">
        <v>15495</v>
      </c>
      <c r="L2890" s="30">
        <v>15432</v>
      </c>
      <c r="M2890" s="30">
        <v>15400</v>
      </c>
      <c r="N2890" s="30">
        <v>15232</v>
      </c>
      <c r="O2890" s="24" t="str">
        <f t="shared" si="91"/>
        <v>Nottoway County, Virginia</v>
      </c>
    </row>
    <row r="2891" spans="1:15" x14ac:dyDescent="0.25">
      <c r="A2891" s="35" t="s">
        <v>3366</v>
      </c>
      <c r="B2891" s="28" t="str">
        <f t="shared" si="90"/>
        <v>Orange</v>
      </c>
      <c r="C2891" s="30">
        <v>33481</v>
      </c>
      <c r="D2891" s="30">
        <v>33554</v>
      </c>
      <c r="E2891" s="30">
        <v>33578</v>
      </c>
      <c r="F2891" s="30">
        <v>33994</v>
      </c>
      <c r="G2891" s="30">
        <v>34275</v>
      </c>
      <c r="H2891" s="30">
        <v>34620</v>
      </c>
      <c r="I2891" s="30">
        <v>34923</v>
      </c>
      <c r="J2891" s="30">
        <v>35178</v>
      </c>
      <c r="K2891" s="30">
        <v>35354</v>
      </c>
      <c r="L2891" s="30">
        <v>35870</v>
      </c>
      <c r="M2891" s="30">
        <v>36598</v>
      </c>
      <c r="N2891" s="30">
        <v>37051</v>
      </c>
      <c r="O2891" s="24" t="str">
        <f t="shared" si="91"/>
        <v>Orange County, Virginia</v>
      </c>
    </row>
    <row r="2892" spans="1:15" x14ac:dyDescent="0.25">
      <c r="A2892" s="35" t="s">
        <v>3367</v>
      </c>
      <c r="B2892" s="28" t="str">
        <f t="shared" si="90"/>
        <v>Page</v>
      </c>
      <c r="C2892" s="30">
        <v>24042</v>
      </c>
      <c r="D2892" s="30">
        <v>24051</v>
      </c>
      <c r="E2892" s="30">
        <v>24065</v>
      </c>
      <c r="F2892" s="30">
        <v>23957</v>
      </c>
      <c r="G2892" s="30">
        <v>23841</v>
      </c>
      <c r="H2892" s="30">
        <v>23723</v>
      </c>
      <c r="I2892" s="30">
        <v>23784</v>
      </c>
      <c r="J2892" s="30">
        <v>23662</v>
      </c>
      <c r="K2892" s="30">
        <v>23619</v>
      </c>
      <c r="L2892" s="30">
        <v>23784</v>
      </c>
      <c r="M2892" s="30">
        <v>23972</v>
      </c>
      <c r="N2892" s="30">
        <v>23902</v>
      </c>
      <c r="O2892" s="24" t="str">
        <f t="shared" si="91"/>
        <v>Page County, Virginia</v>
      </c>
    </row>
    <row r="2893" spans="1:15" x14ac:dyDescent="0.25">
      <c r="A2893" s="35" t="s">
        <v>3368</v>
      </c>
      <c r="B2893" s="28" t="str">
        <f t="shared" si="90"/>
        <v>Patrick</v>
      </c>
      <c r="C2893" s="30">
        <v>18490</v>
      </c>
      <c r="D2893" s="30">
        <v>18500</v>
      </c>
      <c r="E2893" s="30">
        <v>18470</v>
      </c>
      <c r="F2893" s="30">
        <v>18335</v>
      </c>
      <c r="G2893" s="30">
        <v>18333</v>
      </c>
      <c r="H2893" s="30">
        <v>18249</v>
      </c>
      <c r="I2893" s="30">
        <v>18175</v>
      </c>
      <c r="J2893" s="30">
        <v>17960</v>
      </c>
      <c r="K2893" s="30">
        <v>17796</v>
      </c>
      <c r="L2893" s="30">
        <v>17713</v>
      </c>
      <c r="M2893" s="30">
        <v>17663</v>
      </c>
      <c r="N2893" s="30">
        <v>17608</v>
      </c>
      <c r="O2893" s="24" t="str">
        <f t="shared" si="91"/>
        <v>Patrick County, Virginia</v>
      </c>
    </row>
    <row r="2894" spans="1:15" x14ac:dyDescent="0.25">
      <c r="A2894" s="35" t="s">
        <v>3369</v>
      </c>
      <c r="B2894" s="28" t="str">
        <f t="shared" si="90"/>
        <v>Pittsylvania</v>
      </c>
      <c r="C2894" s="30">
        <v>63506</v>
      </c>
      <c r="D2894" s="30">
        <v>63469</v>
      </c>
      <c r="E2894" s="30">
        <v>63586</v>
      </c>
      <c r="F2894" s="30">
        <v>63262</v>
      </c>
      <c r="G2894" s="30">
        <v>62895</v>
      </c>
      <c r="H2894" s="30">
        <v>62554</v>
      </c>
      <c r="I2894" s="30">
        <v>62371</v>
      </c>
      <c r="J2894" s="30">
        <v>62010</v>
      </c>
      <c r="K2894" s="30">
        <v>61704</v>
      </c>
      <c r="L2894" s="30">
        <v>61309</v>
      </c>
      <c r="M2894" s="30">
        <v>60901</v>
      </c>
      <c r="N2894" s="30">
        <v>60354</v>
      </c>
      <c r="O2894" s="24" t="str">
        <f t="shared" si="91"/>
        <v>Pittsylvania County, Virginia</v>
      </c>
    </row>
    <row r="2895" spans="1:15" x14ac:dyDescent="0.25">
      <c r="A2895" s="35" t="s">
        <v>3370</v>
      </c>
      <c r="B2895" s="28" t="str">
        <f t="shared" si="90"/>
        <v>Powhatan</v>
      </c>
      <c r="C2895" s="30">
        <v>28046</v>
      </c>
      <c r="D2895" s="30">
        <v>28069</v>
      </c>
      <c r="E2895" s="30">
        <v>28125</v>
      </c>
      <c r="F2895" s="30">
        <v>28129</v>
      </c>
      <c r="G2895" s="30">
        <v>28178</v>
      </c>
      <c r="H2895" s="30">
        <v>28300</v>
      </c>
      <c r="I2895" s="30">
        <v>28496</v>
      </c>
      <c r="J2895" s="30">
        <v>28056</v>
      </c>
      <c r="K2895" s="30">
        <v>28443</v>
      </c>
      <c r="L2895" s="30">
        <v>28716</v>
      </c>
      <c r="M2895" s="30">
        <v>29210</v>
      </c>
      <c r="N2895" s="30">
        <v>29652</v>
      </c>
      <c r="O2895" s="24" t="str">
        <f t="shared" si="91"/>
        <v>Powhatan County, Virginia</v>
      </c>
    </row>
    <row r="2896" spans="1:15" x14ac:dyDescent="0.25">
      <c r="A2896" s="35" t="s">
        <v>3371</v>
      </c>
      <c r="B2896" s="28" t="str">
        <f t="shared" si="90"/>
        <v>Prince Edward</v>
      </c>
      <c r="C2896" s="30">
        <v>23368</v>
      </c>
      <c r="D2896" s="30">
        <v>23363</v>
      </c>
      <c r="E2896" s="30">
        <v>23359</v>
      </c>
      <c r="F2896" s="30">
        <v>22318</v>
      </c>
      <c r="G2896" s="30">
        <v>23172</v>
      </c>
      <c r="H2896" s="30">
        <v>22714</v>
      </c>
      <c r="I2896" s="30">
        <v>22975</v>
      </c>
      <c r="J2896" s="30">
        <v>23120</v>
      </c>
      <c r="K2896" s="30">
        <v>23020</v>
      </c>
      <c r="L2896" s="30">
        <v>22678</v>
      </c>
      <c r="M2896" s="30">
        <v>22906</v>
      </c>
      <c r="N2896" s="30">
        <v>22802</v>
      </c>
      <c r="O2896" s="24" t="str">
        <f t="shared" si="91"/>
        <v>Prince Edward County, Virginia</v>
      </c>
    </row>
    <row r="2897" spans="1:15" x14ac:dyDescent="0.25">
      <c r="A2897" s="35" t="s">
        <v>3372</v>
      </c>
      <c r="B2897" s="28" t="str">
        <f t="shared" si="90"/>
        <v>Prince George</v>
      </c>
      <c r="C2897" s="30">
        <v>35725</v>
      </c>
      <c r="D2897" s="30">
        <v>35715</v>
      </c>
      <c r="E2897" s="30">
        <v>35642</v>
      </c>
      <c r="F2897" s="30">
        <v>36716</v>
      </c>
      <c r="G2897" s="30">
        <v>37123</v>
      </c>
      <c r="H2897" s="30">
        <v>37333</v>
      </c>
      <c r="I2897" s="30">
        <v>37415</v>
      </c>
      <c r="J2897" s="30">
        <v>38246</v>
      </c>
      <c r="K2897" s="30">
        <v>37972</v>
      </c>
      <c r="L2897" s="30">
        <v>38006</v>
      </c>
      <c r="M2897" s="30">
        <v>37993</v>
      </c>
      <c r="N2897" s="30">
        <v>38353</v>
      </c>
      <c r="O2897" s="24" t="str">
        <f t="shared" si="91"/>
        <v>Prince George County, Virginia</v>
      </c>
    </row>
    <row r="2898" spans="1:15" x14ac:dyDescent="0.25">
      <c r="A2898" s="35" t="s">
        <v>3373</v>
      </c>
      <c r="B2898" s="28" t="str">
        <f t="shared" si="90"/>
        <v>Prince William</v>
      </c>
      <c r="C2898" s="30">
        <v>402002</v>
      </c>
      <c r="D2898" s="30">
        <v>402009</v>
      </c>
      <c r="E2898" s="30">
        <v>406169</v>
      </c>
      <c r="F2898" s="30">
        <v>419094</v>
      </c>
      <c r="G2898" s="30">
        <v>429616</v>
      </c>
      <c r="H2898" s="30">
        <v>437735</v>
      </c>
      <c r="I2898" s="30">
        <v>443782</v>
      </c>
      <c r="J2898" s="30">
        <v>450978</v>
      </c>
      <c r="K2898" s="30">
        <v>456496</v>
      </c>
      <c r="L2898" s="30">
        <v>463069</v>
      </c>
      <c r="M2898" s="30">
        <v>466235</v>
      </c>
      <c r="N2898" s="30">
        <v>470335</v>
      </c>
      <c r="O2898" s="24" t="str">
        <f t="shared" si="91"/>
        <v>Prince William County, Virginia</v>
      </c>
    </row>
    <row r="2899" spans="1:15" x14ac:dyDescent="0.25">
      <c r="A2899" s="35" t="s">
        <v>3374</v>
      </c>
      <c r="B2899" s="28" t="str">
        <f t="shared" si="90"/>
        <v>Pulaski</v>
      </c>
      <c r="C2899" s="30">
        <v>34872</v>
      </c>
      <c r="D2899" s="30">
        <v>34857</v>
      </c>
      <c r="E2899" s="30">
        <v>34828</v>
      </c>
      <c r="F2899" s="30">
        <v>34740</v>
      </c>
      <c r="G2899" s="30">
        <v>34732</v>
      </c>
      <c r="H2899" s="30">
        <v>34546</v>
      </c>
      <c r="I2899" s="30">
        <v>34340</v>
      </c>
      <c r="J2899" s="30">
        <v>34351</v>
      </c>
      <c r="K2899" s="30">
        <v>34249</v>
      </c>
      <c r="L2899" s="30">
        <v>34225</v>
      </c>
      <c r="M2899" s="30">
        <v>34060</v>
      </c>
      <c r="N2899" s="30">
        <v>34027</v>
      </c>
      <c r="O2899" s="24" t="str">
        <f t="shared" si="91"/>
        <v>Pulaski County, Virginia</v>
      </c>
    </row>
    <row r="2900" spans="1:15" x14ac:dyDescent="0.25">
      <c r="A2900" s="35" t="s">
        <v>3375</v>
      </c>
      <c r="B2900" s="28" t="str">
        <f t="shared" si="90"/>
        <v>Rappahannock</v>
      </c>
      <c r="C2900" s="30">
        <v>7373</v>
      </c>
      <c r="D2900" s="30">
        <v>7506</v>
      </c>
      <c r="E2900" s="30">
        <v>7500</v>
      </c>
      <c r="F2900" s="30">
        <v>7476</v>
      </c>
      <c r="G2900" s="30">
        <v>7409</v>
      </c>
      <c r="H2900" s="30">
        <v>7428</v>
      </c>
      <c r="I2900" s="30">
        <v>7336</v>
      </c>
      <c r="J2900" s="30">
        <v>7400</v>
      </c>
      <c r="K2900" s="30">
        <v>7380</v>
      </c>
      <c r="L2900" s="30">
        <v>7393</v>
      </c>
      <c r="M2900" s="30">
        <v>7345</v>
      </c>
      <c r="N2900" s="30">
        <v>7370</v>
      </c>
      <c r="O2900" s="24" t="str">
        <f t="shared" si="91"/>
        <v>Rappahannock County, Virginia</v>
      </c>
    </row>
    <row r="2901" spans="1:15" x14ac:dyDescent="0.25">
      <c r="A2901" s="35" t="s">
        <v>3376</v>
      </c>
      <c r="B2901" s="28" t="str">
        <f t="shared" si="90"/>
        <v>Richmond</v>
      </c>
      <c r="C2901" s="30">
        <v>9254</v>
      </c>
      <c r="D2901" s="30">
        <v>9254</v>
      </c>
      <c r="E2901" s="30">
        <v>9280</v>
      </c>
      <c r="F2901" s="30">
        <v>9208</v>
      </c>
      <c r="G2901" s="30">
        <v>9079</v>
      </c>
      <c r="H2901" s="30">
        <v>8952</v>
      </c>
      <c r="I2901" s="30">
        <v>8884</v>
      </c>
      <c r="J2901" s="30">
        <v>8781</v>
      </c>
      <c r="K2901" s="30">
        <v>8758</v>
      </c>
      <c r="L2901" s="30">
        <v>8889</v>
      </c>
      <c r="M2901" s="30">
        <v>8970</v>
      </c>
      <c r="N2901" s="30">
        <v>9023</v>
      </c>
      <c r="O2901" s="24" t="str">
        <f t="shared" si="91"/>
        <v>Richmond County, Virginia</v>
      </c>
    </row>
    <row r="2902" spans="1:15" x14ac:dyDescent="0.25">
      <c r="A2902" s="35" t="s">
        <v>3377</v>
      </c>
      <c r="B2902" s="28" t="str">
        <f t="shared" si="90"/>
        <v>Roanoke</v>
      </c>
      <c r="C2902" s="30">
        <v>92376</v>
      </c>
      <c r="D2902" s="30">
        <v>92465</v>
      </c>
      <c r="E2902" s="30">
        <v>92401</v>
      </c>
      <c r="F2902" s="30">
        <v>92815</v>
      </c>
      <c r="G2902" s="30">
        <v>92738</v>
      </c>
      <c r="H2902" s="30">
        <v>93311</v>
      </c>
      <c r="I2902" s="30">
        <v>93378</v>
      </c>
      <c r="J2902" s="30">
        <v>93376</v>
      </c>
      <c r="K2902" s="30">
        <v>93528</v>
      </c>
      <c r="L2902" s="30">
        <v>93939</v>
      </c>
      <c r="M2902" s="30">
        <v>94086</v>
      </c>
      <c r="N2902" s="30">
        <v>94186</v>
      </c>
      <c r="O2902" s="24" t="str">
        <f t="shared" si="91"/>
        <v>Roanoke County, Virginia</v>
      </c>
    </row>
    <row r="2903" spans="1:15" x14ac:dyDescent="0.25">
      <c r="A2903" s="35" t="s">
        <v>3378</v>
      </c>
      <c r="B2903" s="28" t="str">
        <f t="shared" si="90"/>
        <v>Rockbridge</v>
      </c>
      <c r="C2903" s="30">
        <v>22307</v>
      </c>
      <c r="D2903" s="30">
        <v>22355</v>
      </c>
      <c r="E2903" s="30">
        <v>22346</v>
      </c>
      <c r="F2903" s="30">
        <v>22445</v>
      </c>
      <c r="G2903" s="30">
        <v>22378</v>
      </c>
      <c r="H2903" s="30">
        <v>22328</v>
      </c>
      <c r="I2903" s="30">
        <v>22432</v>
      </c>
      <c r="J2903" s="30">
        <v>22396</v>
      </c>
      <c r="K2903" s="30">
        <v>22450</v>
      </c>
      <c r="L2903" s="30">
        <v>22668</v>
      </c>
      <c r="M2903" s="30">
        <v>22761</v>
      </c>
      <c r="N2903" s="30">
        <v>22573</v>
      </c>
      <c r="O2903" s="24" t="str">
        <f t="shared" si="91"/>
        <v>Rockbridge County, Virginia</v>
      </c>
    </row>
    <row r="2904" spans="1:15" x14ac:dyDescent="0.25">
      <c r="A2904" s="35" t="s">
        <v>3379</v>
      </c>
      <c r="B2904" s="28" t="str">
        <f t="shared" si="90"/>
        <v>Rockingham</v>
      </c>
      <c r="C2904" s="30">
        <v>76314</v>
      </c>
      <c r="D2904" s="30">
        <v>76321</v>
      </c>
      <c r="E2904" s="30">
        <v>76408</v>
      </c>
      <c r="F2904" s="30">
        <v>76861</v>
      </c>
      <c r="G2904" s="30">
        <v>77137</v>
      </c>
      <c r="H2904" s="30">
        <v>77419</v>
      </c>
      <c r="I2904" s="30">
        <v>77878</v>
      </c>
      <c r="J2904" s="30">
        <v>78445</v>
      </c>
      <c r="K2904" s="30">
        <v>79367</v>
      </c>
      <c r="L2904" s="30">
        <v>80397</v>
      </c>
      <c r="M2904" s="30">
        <v>81261</v>
      </c>
      <c r="N2904" s="30">
        <v>81948</v>
      </c>
      <c r="O2904" s="24" t="str">
        <f t="shared" si="91"/>
        <v>Rockingham County, Virginia</v>
      </c>
    </row>
    <row r="2905" spans="1:15" x14ac:dyDescent="0.25">
      <c r="A2905" s="35" t="s">
        <v>3380</v>
      </c>
      <c r="B2905" s="28" t="str">
        <f t="shared" si="90"/>
        <v>Russell</v>
      </c>
      <c r="C2905" s="30">
        <v>28897</v>
      </c>
      <c r="D2905" s="30">
        <v>28923</v>
      </c>
      <c r="E2905" s="30">
        <v>28878</v>
      </c>
      <c r="F2905" s="30">
        <v>28683</v>
      </c>
      <c r="G2905" s="30">
        <v>28427</v>
      </c>
      <c r="H2905" s="30">
        <v>28336</v>
      </c>
      <c r="I2905" s="30">
        <v>28077</v>
      </c>
      <c r="J2905" s="30">
        <v>27854</v>
      </c>
      <c r="K2905" s="30">
        <v>27422</v>
      </c>
      <c r="L2905" s="30">
        <v>27046</v>
      </c>
      <c r="M2905" s="30">
        <v>26795</v>
      </c>
      <c r="N2905" s="30">
        <v>26586</v>
      </c>
      <c r="O2905" s="24" t="str">
        <f t="shared" si="91"/>
        <v>Russell County, Virginia</v>
      </c>
    </row>
    <row r="2906" spans="1:15" x14ac:dyDescent="0.25">
      <c r="A2906" s="35" t="s">
        <v>3381</v>
      </c>
      <c r="B2906" s="28" t="str">
        <f t="shared" si="90"/>
        <v>Scott</v>
      </c>
      <c r="C2906" s="30">
        <v>23177</v>
      </c>
      <c r="D2906" s="30">
        <v>23168</v>
      </c>
      <c r="E2906" s="30">
        <v>23128</v>
      </c>
      <c r="F2906" s="30">
        <v>23053</v>
      </c>
      <c r="G2906" s="30">
        <v>22954</v>
      </c>
      <c r="H2906" s="30">
        <v>22768</v>
      </c>
      <c r="I2906" s="30">
        <v>22519</v>
      </c>
      <c r="J2906" s="30">
        <v>22296</v>
      </c>
      <c r="K2906" s="30">
        <v>22082</v>
      </c>
      <c r="L2906" s="30">
        <v>21893</v>
      </c>
      <c r="M2906" s="30">
        <v>21672</v>
      </c>
      <c r="N2906" s="30">
        <v>21566</v>
      </c>
      <c r="O2906" s="24" t="str">
        <f t="shared" si="91"/>
        <v>Scott County, Virginia</v>
      </c>
    </row>
    <row r="2907" spans="1:15" x14ac:dyDescent="0.25">
      <c r="A2907" s="35" t="s">
        <v>3382</v>
      </c>
      <c r="B2907" s="28" t="str">
        <f t="shared" si="90"/>
        <v>Shenandoah</v>
      </c>
      <c r="C2907" s="30">
        <v>41993</v>
      </c>
      <c r="D2907" s="30">
        <v>41996</v>
      </c>
      <c r="E2907" s="30">
        <v>42052</v>
      </c>
      <c r="F2907" s="30">
        <v>42266</v>
      </c>
      <c r="G2907" s="30">
        <v>42530</v>
      </c>
      <c r="H2907" s="30">
        <v>42506</v>
      </c>
      <c r="I2907" s="30">
        <v>42729</v>
      </c>
      <c r="J2907" s="30">
        <v>42848</v>
      </c>
      <c r="K2907" s="30">
        <v>42907</v>
      </c>
      <c r="L2907" s="30">
        <v>43276</v>
      </c>
      <c r="M2907" s="30">
        <v>43473</v>
      </c>
      <c r="N2907" s="30">
        <v>43616</v>
      </c>
      <c r="O2907" s="24" t="str">
        <f t="shared" si="91"/>
        <v>Shenandoah County, Virginia</v>
      </c>
    </row>
    <row r="2908" spans="1:15" x14ac:dyDescent="0.25">
      <c r="A2908" s="35" t="s">
        <v>3383</v>
      </c>
      <c r="B2908" s="28" t="str">
        <f t="shared" si="90"/>
        <v>Smyth</v>
      </c>
      <c r="C2908" s="30">
        <v>32208</v>
      </c>
      <c r="D2908" s="30">
        <v>32213</v>
      </c>
      <c r="E2908" s="30">
        <v>32198</v>
      </c>
      <c r="F2908" s="30">
        <v>32047</v>
      </c>
      <c r="G2908" s="30">
        <v>31896</v>
      </c>
      <c r="H2908" s="30">
        <v>31772</v>
      </c>
      <c r="I2908" s="30">
        <v>31573</v>
      </c>
      <c r="J2908" s="30">
        <v>31419</v>
      </c>
      <c r="K2908" s="30">
        <v>31126</v>
      </c>
      <c r="L2908" s="30">
        <v>30731</v>
      </c>
      <c r="M2908" s="30">
        <v>30454</v>
      </c>
      <c r="N2908" s="30">
        <v>30104</v>
      </c>
      <c r="O2908" s="24" t="str">
        <f t="shared" si="91"/>
        <v>Smyth County, Virginia</v>
      </c>
    </row>
    <row r="2909" spans="1:15" x14ac:dyDescent="0.25">
      <c r="A2909" s="35" t="s">
        <v>3384</v>
      </c>
      <c r="B2909" s="28" t="str">
        <f t="shared" si="90"/>
        <v>Southampton</v>
      </c>
      <c r="C2909" s="30">
        <v>18570</v>
      </c>
      <c r="D2909" s="30">
        <v>18573</v>
      </c>
      <c r="E2909" s="30">
        <v>18640</v>
      </c>
      <c r="F2909" s="30">
        <v>18638</v>
      </c>
      <c r="G2909" s="30">
        <v>18507</v>
      </c>
      <c r="H2909" s="30">
        <v>18329</v>
      </c>
      <c r="I2909" s="30">
        <v>18223</v>
      </c>
      <c r="J2909" s="30">
        <v>18136</v>
      </c>
      <c r="K2909" s="30">
        <v>18080</v>
      </c>
      <c r="L2909" s="30">
        <v>17841</v>
      </c>
      <c r="M2909" s="30">
        <v>17713</v>
      </c>
      <c r="N2909" s="30">
        <v>17631</v>
      </c>
      <c r="O2909" s="24" t="str">
        <f t="shared" si="91"/>
        <v>Southampton County, Virginia</v>
      </c>
    </row>
    <row r="2910" spans="1:15" x14ac:dyDescent="0.25">
      <c r="A2910" s="35" t="s">
        <v>3385</v>
      </c>
      <c r="B2910" s="28" t="str">
        <f t="shared" si="90"/>
        <v>Spotsylvania</v>
      </c>
      <c r="C2910" s="30">
        <v>122397</v>
      </c>
      <c r="D2910" s="30">
        <v>122453</v>
      </c>
      <c r="E2910" s="30">
        <v>122976</v>
      </c>
      <c r="F2910" s="30">
        <v>124537</v>
      </c>
      <c r="G2910" s="30">
        <v>125827</v>
      </c>
      <c r="H2910" s="30">
        <v>127392</v>
      </c>
      <c r="I2910" s="30">
        <v>128804</v>
      </c>
      <c r="J2910" s="30">
        <v>129948</v>
      </c>
      <c r="K2910" s="30">
        <v>131252</v>
      </c>
      <c r="L2910" s="30">
        <v>132739</v>
      </c>
      <c r="M2910" s="30">
        <v>134011</v>
      </c>
      <c r="N2910" s="30">
        <v>136215</v>
      </c>
      <c r="O2910" s="24" t="str">
        <f t="shared" si="91"/>
        <v>Spotsylvania County, Virginia</v>
      </c>
    </row>
    <row r="2911" spans="1:15" x14ac:dyDescent="0.25">
      <c r="A2911" s="35" t="s">
        <v>3386</v>
      </c>
      <c r="B2911" s="28" t="str">
        <f t="shared" si="90"/>
        <v>Stafford</v>
      </c>
      <c r="C2911" s="30">
        <v>128961</v>
      </c>
      <c r="D2911" s="30">
        <v>128984</v>
      </c>
      <c r="E2911" s="30">
        <v>129832</v>
      </c>
      <c r="F2911" s="30">
        <v>132200</v>
      </c>
      <c r="G2911" s="30">
        <v>133368</v>
      </c>
      <c r="H2911" s="30">
        <v>135923</v>
      </c>
      <c r="I2911" s="30">
        <v>138791</v>
      </c>
      <c r="J2911" s="30">
        <v>140868</v>
      </c>
      <c r="K2911" s="30">
        <v>143501</v>
      </c>
      <c r="L2911" s="30">
        <v>146792</v>
      </c>
      <c r="M2911" s="30">
        <v>149824</v>
      </c>
      <c r="N2911" s="30">
        <v>152882</v>
      </c>
      <c r="O2911" s="24" t="str">
        <f t="shared" si="91"/>
        <v>Stafford County, Virginia</v>
      </c>
    </row>
    <row r="2912" spans="1:15" x14ac:dyDescent="0.25">
      <c r="A2912" s="35" t="s">
        <v>3387</v>
      </c>
      <c r="B2912" s="28" t="str">
        <f t="shared" si="90"/>
        <v>Surry</v>
      </c>
      <c r="C2912" s="30">
        <v>7058</v>
      </c>
      <c r="D2912" s="30">
        <v>7064</v>
      </c>
      <c r="E2912" s="30">
        <v>7044</v>
      </c>
      <c r="F2912" s="30">
        <v>6921</v>
      </c>
      <c r="G2912" s="30">
        <v>6839</v>
      </c>
      <c r="H2912" s="30">
        <v>6787</v>
      </c>
      <c r="I2912" s="30">
        <v>6780</v>
      </c>
      <c r="J2912" s="30">
        <v>6671</v>
      </c>
      <c r="K2912" s="30">
        <v>6554</v>
      </c>
      <c r="L2912" s="30">
        <v>6503</v>
      </c>
      <c r="M2912" s="30">
        <v>6463</v>
      </c>
      <c r="N2912" s="30">
        <v>6422</v>
      </c>
      <c r="O2912" s="24" t="str">
        <f t="shared" si="91"/>
        <v>Surry County, Virginia</v>
      </c>
    </row>
    <row r="2913" spans="1:15" x14ac:dyDescent="0.25">
      <c r="A2913" s="35" t="s">
        <v>3388</v>
      </c>
      <c r="B2913" s="28" t="str">
        <f t="shared" si="90"/>
        <v>Sussex</v>
      </c>
      <c r="C2913" s="30">
        <v>12087</v>
      </c>
      <c r="D2913" s="30">
        <v>12070</v>
      </c>
      <c r="E2913" s="30">
        <v>12011</v>
      </c>
      <c r="F2913" s="30">
        <v>12086</v>
      </c>
      <c r="G2913" s="30">
        <v>11924</v>
      </c>
      <c r="H2913" s="30">
        <v>11766</v>
      </c>
      <c r="I2913" s="30">
        <v>11723</v>
      </c>
      <c r="J2913" s="30">
        <v>11692</v>
      </c>
      <c r="K2913" s="30">
        <v>11414</v>
      </c>
      <c r="L2913" s="30">
        <v>11379</v>
      </c>
      <c r="M2913" s="30">
        <v>11241</v>
      </c>
      <c r="N2913" s="30">
        <v>11159</v>
      </c>
      <c r="O2913" s="24" t="str">
        <f t="shared" si="91"/>
        <v>Sussex County, Virginia</v>
      </c>
    </row>
    <row r="2914" spans="1:15" x14ac:dyDescent="0.25">
      <c r="A2914" s="35" t="s">
        <v>3389</v>
      </c>
      <c r="B2914" s="28" t="str">
        <f t="shared" si="90"/>
        <v>Tazewell</v>
      </c>
      <c r="C2914" s="30">
        <v>45078</v>
      </c>
      <c r="D2914" s="30">
        <v>45058</v>
      </c>
      <c r="E2914" s="30">
        <v>45117</v>
      </c>
      <c r="F2914" s="30">
        <v>44730</v>
      </c>
      <c r="G2914" s="30">
        <v>44264</v>
      </c>
      <c r="H2914" s="30">
        <v>44017</v>
      </c>
      <c r="I2914" s="30">
        <v>43379</v>
      </c>
      <c r="J2914" s="30">
        <v>42905</v>
      </c>
      <c r="K2914" s="30">
        <v>42155</v>
      </c>
      <c r="L2914" s="30">
        <v>41303</v>
      </c>
      <c r="M2914" s="30">
        <v>41058</v>
      </c>
      <c r="N2914" s="30">
        <v>40595</v>
      </c>
      <c r="O2914" s="24" t="str">
        <f t="shared" si="91"/>
        <v>Tazewell County, Virginia</v>
      </c>
    </row>
    <row r="2915" spans="1:15" x14ac:dyDescent="0.25">
      <c r="A2915" s="35" t="s">
        <v>3390</v>
      </c>
      <c r="B2915" s="28" t="str">
        <f t="shared" si="90"/>
        <v>Warren</v>
      </c>
      <c r="C2915" s="30">
        <v>37575</v>
      </c>
      <c r="D2915" s="30">
        <v>37450</v>
      </c>
      <c r="E2915" s="30">
        <v>37518</v>
      </c>
      <c r="F2915" s="30">
        <v>37646</v>
      </c>
      <c r="G2915" s="30">
        <v>37887</v>
      </c>
      <c r="H2915" s="30">
        <v>38500</v>
      </c>
      <c r="I2915" s="30">
        <v>40126</v>
      </c>
      <c r="J2915" s="30">
        <v>38716</v>
      </c>
      <c r="K2915" s="30">
        <v>39165</v>
      </c>
      <c r="L2915" s="30">
        <v>39409</v>
      </c>
      <c r="M2915" s="30">
        <v>40006</v>
      </c>
      <c r="N2915" s="30">
        <v>40164</v>
      </c>
      <c r="O2915" s="24" t="str">
        <f t="shared" si="91"/>
        <v>Warren County, Virginia</v>
      </c>
    </row>
    <row r="2916" spans="1:15" x14ac:dyDescent="0.25">
      <c r="A2916" s="35" t="s">
        <v>3391</v>
      </c>
      <c r="B2916" s="28" t="str">
        <f t="shared" si="90"/>
        <v>Washington</v>
      </c>
      <c r="C2916" s="30">
        <v>54876</v>
      </c>
      <c r="D2916" s="30">
        <v>54961</v>
      </c>
      <c r="E2916" s="30">
        <v>54967</v>
      </c>
      <c r="F2916" s="30">
        <v>54831</v>
      </c>
      <c r="G2916" s="30">
        <v>55095</v>
      </c>
      <c r="H2916" s="30">
        <v>54776</v>
      </c>
      <c r="I2916" s="30">
        <v>54603</v>
      </c>
      <c r="J2916" s="30">
        <v>54268</v>
      </c>
      <c r="K2916" s="30">
        <v>54100</v>
      </c>
      <c r="L2916" s="30">
        <v>54179</v>
      </c>
      <c r="M2916" s="30">
        <v>54067</v>
      </c>
      <c r="N2916" s="30">
        <v>53740</v>
      </c>
      <c r="O2916" s="24" t="str">
        <f t="shared" si="91"/>
        <v>Washington County, Virginia</v>
      </c>
    </row>
    <row r="2917" spans="1:15" x14ac:dyDescent="0.25">
      <c r="A2917" s="35" t="s">
        <v>3392</v>
      </c>
      <c r="B2917" s="28" t="str">
        <f t="shared" si="90"/>
        <v>Westmoreland</v>
      </c>
      <c r="C2917" s="30">
        <v>17454</v>
      </c>
      <c r="D2917" s="30">
        <v>17460</v>
      </c>
      <c r="E2917" s="30">
        <v>17489</v>
      </c>
      <c r="F2917" s="30">
        <v>17635</v>
      </c>
      <c r="G2917" s="30">
        <v>17513</v>
      </c>
      <c r="H2917" s="30">
        <v>17552</v>
      </c>
      <c r="I2917" s="30">
        <v>17436</v>
      </c>
      <c r="J2917" s="30">
        <v>17549</v>
      </c>
      <c r="K2917" s="30">
        <v>17649</v>
      </c>
      <c r="L2917" s="30">
        <v>17725</v>
      </c>
      <c r="M2917" s="30">
        <v>17817</v>
      </c>
      <c r="N2917" s="30">
        <v>18015</v>
      </c>
      <c r="O2917" s="24" t="str">
        <f t="shared" si="91"/>
        <v>Westmoreland County, Virginia</v>
      </c>
    </row>
    <row r="2918" spans="1:15" x14ac:dyDescent="0.25">
      <c r="A2918" s="35" t="s">
        <v>3393</v>
      </c>
      <c r="B2918" s="28" t="str">
        <f t="shared" si="90"/>
        <v>Wise</v>
      </c>
      <c r="C2918" s="30">
        <v>41452</v>
      </c>
      <c r="D2918" s="30">
        <v>41437</v>
      </c>
      <c r="E2918" s="30">
        <v>41572</v>
      </c>
      <c r="F2918" s="30">
        <v>41454</v>
      </c>
      <c r="G2918" s="30">
        <v>40909</v>
      </c>
      <c r="H2918" s="30">
        <v>40662</v>
      </c>
      <c r="I2918" s="30">
        <v>39892</v>
      </c>
      <c r="J2918" s="30">
        <v>39572</v>
      </c>
      <c r="K2918" s="30">
        <v>39027</v>
      </c>
      <c r="L2918" s="30">
        <v>38574</v>
      </c>
      <c r="M2918" s="30">
        <v>37875</v>
      </c>
      <c r="N2918" s="30">
        <v>37383</v>
      </c>
      <c r="O2918" s="24" t="str">
        <f t="shared" si="91"/>
        <v>Wise County, Virginia</v>
      </c>
    </row>
    <row r="2919" spans="1:15" x14ac:dyDescent="0.25">
      <c r="A2919" s="35" t="s">
        <v>3394</v>
      </c>
      <c r="B2919" s="28" t="str">
        <f t="shared" si="90"/>
        <v>Wythe</v>
      </c>
      <c r="C2919" s="30">
        <v>29235</v>
      </c>
      <c r="D2919" s="30">
        <v>29246</v>
      </c>
      <c r="E2919" s="30">
        <v>29252</v>
      </c>
      <c r="F2919" s="30">
        <v>29202</v>
      </c>
      <c r="G2919" s="30">
        <v>29328</v>
      </c>
      <c r="H2919" s="30">
        <v>29282</v>
      </c>
      <c r="I2919" s="30">
        <v>29055</v>
      </c>
      <c r="J2919" s="30">
        <v>29097</v>
      </c>
      <c r="K2919" s="30">
        <v>28912</v>
      </c>
      <c r="L2919" s="30">
        <v>28829</v>
      </c>
      <c r="M2919" s="30">
        <v>28698</v>
      </c>
      <c r="N2919" s="30">
        <v>28684</v>
      </c>
      <c r="O2919" s="24" t="str">
        <f t="shared" si="91"/>
        <v>Wythe County, Virginia</v>
      </c>
    </row>
    <row r="2920" spans="1:15" x14ac:dyDescent="0.25">
      <c r="A2920" s="35" t="s">
        <v>3395</v>
      </c>
      <c r="B2920" s="28" t="str">
        <f t="shared" si="90"/>
        <v>York</v>
      </c>
      <c r="C2920" s="30">
        <v>65464</v>
      </c>
      <c r="D2920" s="30">
        <v>65191</v>
      </c>
      <c r="E2920" s="30">
        <v>65222</v>
      </c>
      <c r="F2920" s="30">
        <v>65772</v>
      </c>
      <c r="G2920" s="30">
        <v>65825</v>
      </c>
      <c r="H2920" s="30">
        <v>65980</v>
      </c>
      <c r="I2920" s="30">
        <v>66523</v>
      </c>
      <c r="J2920" s="30">
        <v>67802</v>
      </c>
      <c r="K2920" s="30">
        <v>67832</v>
      </c>
      <c r="L2920" s="30">
        <v>68022</v>
      </c>
      <c r="M2920" s="30">
        <v>67976</v>
      </c>
      <c r="N2920" s="30">
        <v>68280</v>
      </c>
      <c r="O2920" s="24" t="str">
        <f t="shared" si="91"/>
        <v>York County, Virginia</v>
      </c>
    </row>
    <row r="2921" spans="1:15" x14ac:dyDescent="0.25">
      <c r="A2921" s="35" t="s">
        <v>3396</v>
      </c>
      <c r="B2921" s="28" t="e">
        <f t="shared" si="90"/>
        <v>#VALUE!</v>
      </c>
      <c r="C2921" s="30">
        <v>139966</v>
      </c>
      <c r="D2921" s="30">
        <v>139998</v>
      </c>
      <c r="E2921" s="30">
        <v>140729</v>
      </c>
      <c r="F2921" s="30">
        <v>144219</v>
      </c>
      <c r="G2921" s="30">
        <v>147291</v>
      </c>
      <c r="H2921" s="30">
        <v>149637</v>
      </c>
      <c r="I2921" s="30">
        <v>151375</v>
      </c>
      <c r="J2921" s="30">
        <v>153654</v>
      </c>
      <c r="K2921" s="30">
        <v>156698</v>
      </c>
      <c r="L2921" s="30">
        <v>159215</v>
      </c>
      <c r="M2921" s="30">
        <v>159069</v>
      </c>
      <c r="N2921" s="30">
        <v>159428</v>
      </c>
      <c r="O2921" s="24" t="str">
        <f t="shared" si="91"/>
        <v>Alexandria city, Virginia</v>
      </c>
    </row>
    <row r="2922" spans="1:15" x14ac:dyDescent="0.25">
      <c r="A2922" s="35" t="s">
        <v>3397</v>
      </c>
      <c r="B2922" s="28" t="e">
        <f t="shared" si="90"/>
        <v>#VALUE!</v>
      </c>
      <c r="C2922" s="30">
        <v>17835</v>
      </c>
      <c r="D2922" s="30">
        <v>17738</v>
      </c>
      <c r="E2922" s="30">
        <v>17766</v>
      </c>
      <c r="F2922" s="30">
        <v>17717</v>
      </c>
      <c r="G2922" s="30">
        <v>17692</v>
      </c>
      <c r="H2922" s="30">
        <v>17386</v>
      </c>
      <c r="I2922" s="30">
        <v>17191</v>
      </c>
      <c r="J2922" s="30">
        <v>17146</v>
      </c>
      <c r="K2922" s="30">
        <v>17088</v>
      </c>
      <c r="L2922" s="30">
        <v>16880</v>
      </c>
      <c r="M2922" s="30">
        <v>16685</v>
      </c>
      <c r="N2922" s="30">
        <v>16762</v>
      </c>
      <c r="O2922" s="24" t="str">
        <f t="shared" si="91"/>
        <v>Bristol city, Virginia</v>
      </c>
    </row>
    <row r="2923" spans="1:15" x14ac:dyDescent="0.25">
      <c r="A2923" s="35" t="s">
        <v>3398</v>
      </c>
      <c r="B2923" s="28" t="e">
        <f t="shared" si="90"/>
        <v>#VALUE!</v>
      </c>
      <c r="C2923" s="30">
        <v>6650</v>
      </c>
      <c r="D2923" s="30">
        <v>6607</v>
      </c>
      <c r="E2923" s="30">
        <v>6611</v>
      </c>
      <c r="F2923" s="30">
        <v>6711</v>
      </c>
      <c r="G2923" s="30">
        <v>6747</v>
      </c>
      <c r="H2923" s="30">
        <v>6652</v>
      </c>
      <c r="I2923" s="30">
        <v>6549</v>
      </c>
      <c r="J2923" s="30">
        <v>6529</v>
      </c>
      <c r="K2923" s="30">
        <v>6435</v>
      </c>
      <c r="L2923" s="30">
        <v>6482</v>
      </c>
      <c r="M2923" s="30">
        <v>6494</v>
      </c>
      <c r="N2923" s="30">
        <v>6478</v>
      </c>
      <c r="O2923" s="24" t="str">
        <f t="shared" si="91"/>
        <v>Buena Vista city, Virginia</v>
      </c>
    </row>
    <row r="2924" spans="1:15" x14ac:dyDescent="0.25">
      <c r="A2924" s="35" t="s">
        <v>3399</v>
      </c>
      <c r="B2924" s="28" t="e">
        <f t="shared" si="90"/>
        <v>#VALUE!</v>
      </c>
      <c r="C2924" s="30">
        <v>43475</v>
      </c>
      <c r="D2924" s="30">
        <v>43425</v>
      </c>
      <c r="E2924" s="30">
        <v>43461</v>
      </c>
      <c r="F2924" s="30">
        <v>43761</v>
      </c>
      <c r="G2924" s="30">
        <v>44580</v>
      </c>
      <c r="H2924" s="30">
        <v>45012</v>
      </c>
      <c r="I2924" s="30">
        <v>45518</v>
      </c>
      <c r="J2924" s="30">
        <v>46301</v>
      </c>
      <c r="K2924" s="30">
        <v>46943</v>
      </c>
      <c r="L2924" s="30">
        <v>47463</v>
      </c>
      <c r="M2924" s="30">
        <v>47506</v>
      </c>
      <c r="N2924" s="30">
        <v>47266</v>
      </c>
      <c r="O2924" s="24" t="str">
        <f t="shared" si="91"/>
        <v>Charlottesville city, Virginia</v>
      </c>
    </row>
    <row r="2925" spans="1:15" x14ac:dyDescent="0.25">
      <c r="A2925" s="35" t="s">
        <v>3400</v>
      </c>
      <c r="B2925" s="28" t="e">
        <f t="shared" si="90"/>
        <v>#VALUE!</v>
      </c>
      <c r="C2925" s="30">
        <v>222209</v>
      </c>
      <c r="D2925" s="30">
        <v>222311</v>
      </c>
      <c r="E2925" s="30">
        <v>223556</v>
      </c>
      <c r="F2925" s="30">
        <v>225361</v>
      </c>
      <c r="G2925" s="30">
        <v>228091</v>
      </c>
      <c r="H2925" s="30">
        <v>230327</v>
      </c>
      <c r="I2925" s="30">
        <v>233360</v>
      </c>
      <c r="J2925" s="30">
        <v>235111</v>
      </c>
      <c r="K2925" s="30">
        <v>237464</v>
      </c>
      <c r="L2925" s="30">
        <v>240143</v>
      </c>
      <c r="M2925" s="30">
        <v>242359</v>
      </c>
      <c r="N2925" s="30">
        <v>244835</v>
      </c>
      <c r="O2925" s="24" t="str">
        <f t="shared" si="91"/>
        <v>Chesapeake city, Virginia</v>
      </c>
    </row>
    <row r="2926" spans="1:15" x14ac:dyDescent="0.25">
      <c r="A2926" s="35" t="s">
        <v>3401</v>
      </c>
      <c r="B2926" s="28" t="e">
        <f t="shared" si="90"/>
        <v>#VALUE!</v>
      </c>
      <c r="C2926" s="30">
        <v>17411</v>
      </c>
      <c r="D2926" s="30">
        <v>17410</v>
      </c>
      <c r="E2926" s="30">
        <v>17339</v>
      </c>
      <c r="F2926" s="30">
        <v>17284</v>
      </c>
      <c r="G2926" s="30">
        <v>17383</v>
      </c>
      <c r="H2926" s="30">
        <v>17487</v>
      </c>
      <c r="I2926" s="30">
        <v>17442</v>
      </c>
      <c r="J2926" s="30">
        <v>17444</v>
      </c>
      <c r="K2926" s="30">
        <v>17398</v>
      </c>
      <c r="L2926" s="30">
        <v>17424</v>
      </c>
      <c r="M2926" s="30">
        <v>17504</v>
      </c>
      <c r="N2926" s="30">
        <v>17370</v>
      </c>
      <c r="O2926" s="24" t="str">
        <f t="shared" si="91"/>
        <v>Colonial Heights city, Virginia</v>
      </c>
    </row>
    <row r="2927" spans="1:15" x14ac:dyDescent="0.25">
      <c r="A2927" s="35" t="s">
        <v>3402</v>
      </c>
      <c r="B2927" s="28" t="e">
        <f t="shared" si="90"/>
        <v>#VALUE!</v>
      </c>
      <c r="C2927" s="30">
        <v>5961</v>
      </c>
      <c r="D2927" s="30">
        <v>5951</v>
      </c>
      <c r="E2927" s="30">
        <v>5940</v>
      </c>
      <c r="F2927" s="30">
        <v>5914</v>
      </c>
      <c r="G2927" s="30">
        <v>5842</v>
      </c>
      <c r="H2927" s="30">
        <v>5827</v>
      </c>
      <c r="I2927" s="30">
        <v>5772</v>
      </c>
      <c r="J2927" s="30">
        <v>5663</v>
      </c>
      <c r="K2927" s="30">
        <v>5637</v>
      </c>
      <c r="L2927" s="30">
        <v>5576</v>
      </c>
      <c r="M2927" s="30">
        <v>5578</v>
      </c>
      <c r="N2927" s="30">
        <v>5538</v>
      </c>
      <c r="O2927" s="24" t="str">
        <f t="shared" si="91"/>
        <v>Covington city, Virginia</v>
      </c>
    </row>
    <row r="2928" spans="1:15" x14ac:dyDescent="0.25">
      <c r="A2928" s="35" t="s">
        <v>3403</v>
      </c>
      <c r="B2928" s="28" t="e">
        <f t="shared" si="90"/>
        <v>#VALUE!</v>
      </c>
      <c r="C2928" s="30">
        <v>43055</v>
      </c>
      <c r="D2928" s="30">
        <v>43071</v>
      </c>
      <c r="E2928" s="30">
        <v>42924</v>
      </c>
      <c r="F2928" s="30">
        <v>42645</v>
      </c>
      <c r="G2928" s="30">
        <v>42705</v>
      </c>
      <c r="H2928" s="30">
        <v>42623</v>
      </c>
      <c r="I2928" s="30">
        <v>42263</v>
      </c>
      <c r="J2928" s="30">
        <v>41947</v>
      </c>
      <c r="K2928" s="30">
        <v>41665</v>
      </c>
      <c r="L2928" s="30">
        <v>41044</v>
      </c>
      <c r="M2928" s="30">
        <v>40649</v>
      </c>
      <c r="N2928" s="30">
        <v>40044</v>
      </c>
      <c r="O2928" s="24" t="str">
        <f t="shared" si="91"/>
        <v>Danville city, Virginia</v>
      </c>
    </row>
    <row r="2929" spans="1:15" x14ac:dyDescent="0.25">
      <c r="A2929" s="35" t="s">
        <v>3404</v>
      </c>
      <c r="B2929" s="28" t="e">
        <f t="shared" si="90"/>
        <v>#VALUE!</v>
      </c>
      <c r="C2929" s="30">
        <v>5927</v>
      </c>
      <c r="D2929" s="30">
        <v>5925</v>
      </c>
      <c r="E2929" s="30">
        <v>5921</v>
      </c>
      <c r="F2929" s="30">
        <v>5841</v>
      </c>
      <c r="G2929" s="30">
        <v>5813</v>
      </c>
      <c r="H2929" s="30">
        <v>5693</v>
      </c>
      <c r="I2929" s="30">
        <v>5597</v>
      </c>
      <c r="J2929" s="30">
        <v>5558</v>
      </c>
      <c r="K2929" s="30">
        <v>5478</v>
      </c>
      <c r="L2929" s="30">
        <v>5467</v>
      </c>
      <c r="M2929" s="30">
        <v>5363</v>
      </c>
      <c r="N2929" s="30">
        <v>5346</v>
      </c>
      <c r="O2929" s="24" t="str">
        <f t="shared" si="91"/>
        <v>Emporia city, Virginia</v>
      </c>
    </row>
    <row r="2930" spans="1:15" x14ac:dyDescent="0.25">
      <c r="A2930" s="35" t="s">
        <v>3405</v>
      </c>
      <c r="B2930" s="28" t="e">
        <f t="shared" si="90"/>
        <v>#VALUE!</v>
      </c>
      <c r="C2930" s="30">
        <v>22565</v>
      </c>
      <c r="D2930" s="30">
        <v>22554</v>
      </c>
      <c r="E2930" s="30">
        <v>22614</v>
      </c>
      <c r="F2930" s="30">
        <v>22460</v>
      </c>
      <c r="G2930" s="30">
        <v>22894</v>
      </c>
      <c r="H2930" s="30">
        <v>23230</v>
      </c>
      <c r="I2930" s="30">
        <v>23310</v>
      </c>
      <c r="J2930" s="30">
        <v>23230</v>
      </c>
      <c r="K2930" s="30">
        <v>23246</v>
      </c>
      <c r="L2930" s="30">
        <v>23435</v>
      </c>
      <c r="M2930" s="30">
        <v>23725</v>
      </c>
      <c r="N2930" s="30">
        <v>24019</v>
      </c>
      <c r="O2930" s="24" t="str">
        <f t="shared" si="91"/>
        <v>Fairfax city, Virginia</v>
      </c>
    </row>
    <row r="2931" spans="1:15" x14ac:dyDescent="0.25">
      <c r="A2931" s="35" t="s">
        <v>3406</v>
      </c>
      <c r="B2931" s="28" t="e">
        <f t="shared" si="90"/>
        <v>#VALUE!</v>
      </c>
      <c r="C2931" s="30">
        <v>12332</v>
      </c>
      <c r="D2931" s="30">
        <v>12244</v>
      </c>
      <c r="E2931" s="30">
        <v>12399</v>
      </c>
      <c r="F2931" s="30">
        <v>12660</v>
      </c>
      <c r="G2931" s="30">
        <v>13087</v>
      </c>
      <c r="H2931" s="30">
        <v>13360</v>
      </c>
      <c r="I2931" s="30">
        <v>13416</v>
      </c>
      <c r="J2931" s="30">
        <v>13728</v>
      </c>
      <c r="K2931" s="30">
        <v>13582</v>
      </c>
      <c r="L2931" s="30">
        <v>14245</v>
      </c>
      <c r="M2931" s="30">
        <v>14467</v>
      </c>
      <c r="N2931" s="30">
        <v>14617</v>
      </c>
      <c r="O2931" s="24" t="str">
        <f t="shared" si="91"/>
        <v>Falls Church city, Virginia</v>
      </c>
    </row>
    <row r="2932" spans="1:15" x14ac:dyDescent="0.25">
      <c r="A2932" s="35" t="s">
        <v>3407</v>
      </c>
      <c r="B2932" s="28" t="e">
        <f t="shared" si="90"/>
        <v>#VALUE!</v>
      </c>
      <c r="C2932" s="30">
        <v>8582</v>
      </c>
      <c r="D2932" s="30">
        <v>8578</v>
      </c>
      <c r="E2932" s="30">
        <v>8579</v>
      </c>
      <c r="F2932" s="30">
        <v>8445</v>
      </c>
      <c r="G2932" s="30">
        <v>8482</v>
      </c>
      <c r="H2932" s="30">
        <v>8536</v>
      </c>
      <c r="I2932" s="30">
        <v>8392</v>
      </c>
      <c r="J2932" s="30">
        <v>8331</v>
      </c>
      <c r="K2932" s="30">
        <v>8201</v>
      </c>
      <c r="L2932" s="30">
        <v>8145</v>
      </c>
      <c r="M2932" s="30">
        <v>8089</v>
      </c>
      <c r="N2932" s="30">
        <v>7967</v>
      </c>
      <c r="O2932" s="24" t="str">
        <f t="shared" si="91"/>
        <v>Franklin city, Virginia</v>
      </c>
    </row>
    <row r="2933" spans="1:15" x14ac:dyDescent="0.25">
      <c r="A2933" s="35" t="s">
        <v>3408</v>
      </c>
      <c r="B2933" s="28" t="e">
        <f t="shared" si="90"/>
        <v>#VALUE!</v>
      </c>
      <c r="C2933" s="30">
        <v>24286</v>
      </c>
      <c r="D2933" s="30">
        <v>24178</v>
      </c>
      <c r="E2933" s="30">
        <v>24354</v>
      </c>
      <c r="F2933" s="30">
        <v>25752</v>
      </c>
      <c r="G2933" s="30">
        <v>27179</v>
      </c>
      <c r="H2933" s="30">
        <v>27818</v>
      </c>
      <c r="I2933" s="30">
        <v>28256</v>
      </c>
      <c r="J2933" s="30">
        <v>28043</v>
      </c>
      <c r="K2933" s="30">
        <v>28360</v>
      </c>
      <c r="L2933" s="30">
        <v>28498</v>
      </c>
      <c r="M2933" s="30">
        <v>29171</v>
      </c>
      <c r="N2933" s="30">
        <v>29036</v>
      </c>
      <c r="O2933" s="24" t="str">
        <f t="shared" si="91"/>
        <v>Fredericksburg city, Virginia</v>
      </c>
    </row>
    <row r="2934" spans="1:15" x14ac:dyDescent="0.25">
      <c r="A2934" s="35" t="s">
        <v>3409</v>
      </c>
      <c r="B2934" s="28" t="e">
        <f t="shared" si="90"/>
        <v>#VALUE!</v>
      </c>
      <c r="C2934" s="30">
        <v>7042</v>
      </c>
      <c r="D2934" s="30">
        <v>6989</v>
      </c>
      <c r="E2934" s="30">
        <v>6991</v>
      </c>
      <c r="F2934" s="30">
        <v>6846</v>
      </c>
      <c r="G2934" s="30">
        <v>6852</v>
      </c>
      <c r="H2934" s="30">
        <v>6931</v>
      </c>
      <c r="I2934" s="30">
        <v>6899</v>
      </c>
      <c r="J2934" s="30">
        <v>6800</v>
      </c>
      <c r="K2934" s="30">
        <v>6604</v>
      </c>
      <c r="L2934" s="30">
        <v>6484</v>
      </c>
      <c r="M2934" s="30">
        <v>6348</v>
      </c>
      <c r="N2934" s="30">
        <v>6347</v>
      </c>
      <c r="O2934" s="24" t="str">
        <f t="shared" si="91"/>
        <v>Galax city, Virginia</v>
      </c>
    </row>
    <row r="2935" spans="1:15" x14ac:dyDescent="0.25">
      <c r="A2935" s="35" t="s">
        <v>3410</v>
      </c>
      <c r="B2935" s="28" t="e">
        <f t="shared" si="90"/>
        <v>#VALUE!</v>
      </c>
      <c r="C2935" s="30">
        <v>137436</v>
      </c>
      <c r="D2935" s="30">
        <v>137464</v>
      </c>
      <c r="E2935" s="30">
        <v>137415</v>
      </c>
      <c r="F2935" s="30">
        <v>136628</v>
      </c>
      <c r="G2935" s="30">
        <v>137177</v>
      </c>
      <c r="H2935" s="30">
        <v>137332</v>
      </c>
      <c r="I2935" s="30">
        <v>137680</v>
      </c>
      <c r="J2935" s="30">
        <v>136264</v>
      </c>
      <c r="K2935" s="30">
        <v>135374</v>
      </c>
      <c r="L2935" s="30">
        <v>134725</v>
      </c>
      <c r="M2935" s="30">
        <v>134330</v>
      </c>
      <c r="N2935" s="30">
        <v>134510</v>
      </c>
      <c r="O2935" s="24" t="str">
        <f t="shared" si="91"/>
        <v>Hampton city, Virginia</v>
      </c>
    </row>
    <row r="2936" spans="1:15" x14ac:dyDescent="0.25">
      <c r="A2936" s="35" t="s">
        <v>3411</v>
      </c>
      <c r="B2936" s="28" t="e">
        <f t="shared" si="90"/>
        <v>#VALUE!</v>
      </c>
      <c r="C2936" s="30">
        <v>48914</v>
      </c>
      <c r="D2936" s="30">
        <v>48900</v>
      </c>
      <c r="E2936" s="30">
        <v>48993</v>
      </c>
      <c r="F2936" s="30">
        <v>49935</v>
      </c>
      <c r="G2936" s="30">
        <v>51312</v>
      </c>
      <c r="H2936" s="30">
        <v>51537</v>
      </c>
      <c r="I2936" s="30">
        <v>52542</v>
      </c>
      <c r="J2936" s="30">
        <v>52675</v>
      </c>
      <c r="K2936" s="30">
        <v>53542</v>
      </c>
      <c r="L2936" s="30">
        <v>53644</v>
      </c>
      <c r="M2936" s="30">
        <v>53488</v>
      </c>
      <c r="N2936" s="30">
        <v>53016</v>
      </c>
      <c r="O2936" s="24" t="str">
        <f t="shared" si="91"/>
        <v>Harrisonburg city, Virginia</v>
      </c>
    </row>
    <row r="2937" spans="1:15" x14ac:dyDescent="0.25">
      <c r="A2937" s="35" t="s">
        <v>3412</v>
      </c>
      <c r="B2937" s="28" t="e">
        <f t="shared" si="90"/>
        <v>#VALUE!</v>
      </c>
      <c r="C2937" s="30">
        <v>22591</v>
      </c>
      <c r="D2937" s="30">
        <v>22591</v>
      </c>
      <c r="E2937" s="30">
        <v>22642</v>
      </c>
      <c r="F2937" s="30">
        <v>22502</v>
      </c>
      <c r="G2937" s="30">
        <v>22309</v>
      </c>
      <c r="H2937" s="30">
        <v>22161</v>
      </c>
      <c r="I2937" s="30">
        <v>22109</v>
      </c>
      <c r="J2937" s="30">
        <v>22231</v>
      </c>
      <c r="K2937" s="30">
        <v>22539</v>
      </c>
      <c r="L2937" s="30">
        <v>22505</v>
      </c>
      <c r="M2937" s="30">
        <v>22478</v>
      </c>
      <c r="N2937" s="30">
        <v>22529</v>
      </c>
      <c r="O2937" s="24" t="str">
        <f t="shared" si="91"/>
        <v>Hopewell city, Virginia</v>
      </c>
    </row>
    <row r="2938" spans="1:15" x14ac:dyDescent="0.25">
      <c r="A2938" s="35" t="s">
        <v>3413</v>
      </c>
      <c r="B2938" s="28" t="e">
        <f t="shared" si="90"/>
        <v>#VALUE!</v>
      </c>
      <c r="C2938" s="30">
        <v>7042</v>
      </c>
      <c r="D2938" s="30">
        <v>7037</v>
      </c>
      <c r="E2938" s="30">
        <v>7043</v>
      </c>
      <c r="F2938" s="30">
        <v>6972</v>
      </c>
      <c r="G2938" s="30">
        <v>7018</v>
      </c>
      <c r="H2938" s="30">
        <v>7146</v>
      </c>
      <c r="I2938" s="30">
        <v>7125</v>
      </c>
      <c r="J2938" s="30">
        <v>7162</v>
      </c>
      <c r="K2938" s="30">
        <v>7148</v>
      </c>
      <c r="L2938" s="30">
        <v>7154</v>
      </c>
      <c r="M2938" s="30">
        <v>7297</v>
      </c>
      <c r="N2938" s="30">
        <v>7446</v>
      </c>
      <c r="O2938" s="24" t="str">
        <f t="shared" si="91"/>
        <v>Lexington city, Virginia</v>
      </c>
    </row>
    <row r="2939" spans="1:15" x14ac:dyDescent="0.25">
      <c r="A2939" s="35" t="s">
        <v>3414</v>
      </c>
      <c r="B2939" s="28" t="e">
        <f t="shared" si="90"/>
        <v>#VALUE!</v>
      </c>
      <c r="C2939" s="30">
        <v>75568</v>
      </c>
      <c r="D2939" s="30">
        <v>75534</v>
      </c>
      <c r="E2939" s="30">
        <v>75548</v>
      </c>
      <c r="F2939" s="30">
        <v>76584</v>
      </c>
      <c r="G2939" s="30">
        <v>77269</v>
      </c>
      <c r="H2939" s="30">
        <v>77940</v>
      </c>
      <c r="I2939" s="30">
        <v>78141</v>
      </c>
      <c r="J2939" s="30">
        <v>79134</v>
      </c>
      <c r="K2939" s="30">
        <v>79710</v>
      </c>
      <c r="L2939" s="30">
        <v>80523</v>
      </c>
      <c r="M2939" s="30">
        <v>81309</v>
      </c>
      <c r="N2939" s="30">
        <v>82168</v>
      </c>
      <c r="O2939" s="24" t="str">
        <f t="shared" si="91"/>
        <v>Lynchburg city, Virginia</v>
      </c>
    </row>
    <row r="2940" spans="1:15" x14ac:dyDescent="0.25">
      <c r="A2940" s="35" t="s">
        <v>3415</v>
      </c>
      <c r="B2940" s="28" t="e">
        <f t="shared" si="90"/>
        <v>#VALUE!</v>
      </c>
      <c r="C2940" s="30">
        <v>37821</v>
      </c>
      <c r="D2940" s="30">
        <v>37799</v>
      </c>
      <c r="E2940" s="30">
        <v>38212</v>
      </c>
      <c r="F2940" s="30">
        <v>39101</v>
      </c>
      <c r="G2940" s="30">
        <v>40284</v>
      </c>
      <c r="H2940" s="30">
        <v>41082</v>
      </c>
      <c r="I2940" s="30">
        <v>41142</v>
      </c>
      <c r="J2940" s="30">
        <v>41409</v>
      </c>
      <c r="K2940" s="30">
        <v>41189</v>
      </c>
      <c r="L2940" s="30">
        <v>41141</v>
      </c>
      <c r="M2940" s="30">
        <v>41046</v>
      </c>
      <c r="N2940" s="30">
        <v>41085</v>
      </c>
      <c r="O2940" s="24" t="str">
        <f t="shared" si="91"/>
        <v>Manassas city, Virginia</v>
      </c>
    </row>
    <row r="2941" spans="1:15" x14ac:dyDescent="0.25">
      <c r="A2941" s="35" t="s">
        <v>3416</v>
      </c>
      <c r="B2941" s="28" t="e">
        <f t="shared" si="90"/>
        <v>#VALUE!</v>
      </c>
      <c r="C2941" s="30">
        <v>14273</v>
      </c>
      <c r="D2941" s="30">
        <v>14243</v>
      </c>
      <c r="E2941" s="30">
        <v>14449</v>
      </c>
      <c r="F2941" s="30">
        <v>15067</v>
      </c>
      <c r="G2941" s="30">
        <v>15397</v>
      </c>
      <c r="H2941" s="30">
        <v>15896</v>
      </c>
      <c r="I2941" s="30">
        <v>15916</v>
      </c>
      <c r="J2941" s="30">
        <v>16129</v>
      </c>
      <c r="K2941" s="30">
        <v>16456</v>
      </c>
      <c r="L2941" s="30">
        <v>17149</v>
      </c>
      <c r="M2941" s="30">
        <v>17718</v>
      </c>
      <c r="N2941" s="30">
        <v>17478</v>
      </c>
      <c r="O2941" s="24" t="str">
        <f t="shared" si="91"/>
        <v>Manassas Park city, Virginia</v>
      </c>
    </row>
    <row r="2942" spans="1:15" x14ac:dyDescent="0.25">
      <c r="A2942" s="35" t="s">
        <v>3417</v>
      </c>
      <c r="B2942" s="28" t="e">
        <f t="shared" si="90"/>
        <v>#VALUE!</v>
      </c>
      <c r="C2942" s="30">
        <v>13821</v>
      </c>
      <c r="D2942" s="30">
        <v>13814</v>
      </c>
      <c r="E2942" s="30">
        <v>13760</v>
      </c>
      <c r="F2942" s="30">
        <v>13596</v>
      </c>
      <c r="G2942" s="30">
        <v>13492</v>
      </c>
      <c r="H2942" s="30">
        <v>13416</v>
      </c>
      <c r="I2942" s="30">
        <v>13317</v>
      </c>
      <c r="J2942" s="30">
        <v>13259</v>
      </c>
      <c r="K2942" s="30">
        <v>12996</v>
      </c>
      <c r="L2942" s="30">
        <v>12823</v>
      </c>
      <c r="M2942" s="30">
        <v>12627</v>
      </c>
      <c r="N2942" s="30">
        <v>12554</v>
      </c>
      <c r="O2942" s="24" t="str">
        <f t="shared" si="91"/>
        <v>Martinsville city, Virginia</v>
      </c>
    </row>
    <row r="2943" spans="1:15" x14ac:dyDescent="0.25">
      <c r="A2943" s="35" t="s">
        <v>3418</v>
      </c>
      <c r="B2943" s="28" t="e">
        <f t="shared" si="90"/>
        <v>#VALUE!</v>
      </c>
      <c r="C2943" s="30">
        <v>180719</v>
      </c>
      <c r="D2943" s="30">
        <v>180955</v>
      </c>
      <c r="E2943" s="30">
        <v>180888</v>
      </c>
      <c r="F2943" s="30">
        <v>180078</v>
      </c>
      <c r="G2943" s="30">
        <v>180056</v>
      </c>
      <c r="H2943" s="30">
        <v>181275</v>
      </c>
      <c r="I2943" s="30">
        <v>181522</v>
      </c>
      <c r="J2943" s="30">
        <v>180958</v>
      </c>
      <c r="K2943" s="30">
        <v>180209</v>
      </c>
      <c r="L2943" s="30">
        <v>179447</v>
      </c>
      <c r="M2943" s="30">
        <v>178523</v>
      </c>
      <c r="N2943" s="30">
        <v>179225</v>
      </c>
      <c r="O2943" s="24" t="str">
        <f t="shared" si="91"/>
        <v>Newport News city, Virginia</v>
      </c>
    </row>
    <row r="2944" spans="1:15" x14ac:dyDescent="0.25">
      <c r="A2944" s="35" t="s">
        <v>3419</v>
      </c>
      <c r="B2944" s="28" t="e">
        <f t="shared" si="90"/>
        <v>#VALUE!</v>
      </c>
      <c r="C2944" s="30">
        <v>242803</v>
      </c>
      <c r="D2944" s="30">
        <v>242827</v>
      </c>
      <c r="E2944" s="30">
        <v>242999</v>
      </c>
      <c r="F2944" s="30">
        <v>243655</v>
      </c>
      <c r="G2944" s="30">
        <v>246149</v>
      </c>
      <c r="H2944" s="30">
        <v>245468</v>
      </c>
      <c r="I2944" s="30">
        <v>246576</v>
      </c>
      <c r="J2944" s="30">
        <v>246457</v>
      </c>
      <c r="K2944" s="30">
        <v>245680</v>
      </c>
      <c r="L2944" s="30">
        <v>244543</v>
      </c>
      <c r="M2944" s="30">
        <v>243585</v>
      </c>
      <c r="N2944" s="30">
        <v>242742</v>
      </c>
      <c r="O2944" s="24" t="str">
        <f t="shared" si="91"/>
        <v>Norfolk city, Virginia</v>
      </c>
    </row>
    <row r="2945" spans="1:15" x14ac:dyDescent="0.25">
      <c r="A2945" s="35" t="s">
        <v>3420</v>
      </c>
      <c r="B2945" s="28" t="e">
        <f t="shared" si="90"/>
        <v>#VALUE!</v>
      </c>
      <c r="C2945" s="30">
        <v>3958</v>
      </c>
      <c r="D2945" s="30">
        <v>3993</v>
      </c>
      <c r="E2945" s="30">
        <v>4012</v>
      </c>
      <c r="F2945" s="30">
        <v>4087</v>
      </c>
      <c r="G2945" s="30">
        <v>4124</v>
      </c>
      <c r="H2945" s="30">
        <v>4099</v>
      </c>
      <c r="I2945" s="30">
        <v>4135</v>
      </c>
      <c r="J2945" s="30">
        <v>4009</v>
      </c>
      <c r="K2945" s="30">
        <v>3972</v>
      </c>
      <c r="L2945" s="30">
        <v>3918</v>
      </c>
      <c r="M2945" s="30">
        <v>3972</v>
      </c>
      <c r="N2945" s="30">
        <v>3981</v>
      </c>
      <c r="O2945" s="24" t="str">
        <f t="shared" si="91"/>
        <v>Norton city, Virginia</v>
      </c>
    </row>
    <row r="2946" spans="1:15" x14ac:dyDescent="0.25">
      <c r="A2946" s="35" t="s">
        <v>3421</v>
      </c>
      <c r="B2946" s="28" t="e">
        <f t="shared" si="90"/>
        <v>#VALUE!</v>
      </c>
      <c r="C2946" s="30">
        <v>32420</v>
      </c>
      <c r="D2946" s="30">
        <v>32441</v>
      </c>
      <c r="E2946" s="30">
        <v>32502</v>
      </c>
      <c r="F2946" s="30">
        <v>32091</v>
      </c>
      <c r="G2946" s="30">
        <v>31996</v>
      </c>
      <c r="H2946" s="30">
        <v>32311</v>
      </c>
      <c r="I2946" s="30">
        <v>32241</v>
      </c>
      <c r="J2946" s="30">
        <v>31892</v>
      </c>
      <c r="K2946" s="30">
        <v>31380</v>
      </c>
      <c r="L2946" s="30">
        <v>31137</v>
      </c>
      <c r="M2946" s="30">
        <v>31056</v>
      </c>
      <c r="N2946" s="30">
        <v>31346</v>
      </c>
      <c r="O2946" s="24" t="str">
        <f t="shared" si="91"/>
        <v>Petersburg city, Virginia</v>
      </c>
    </row>
    <row r="2947" spans="1:15" x14ac:dyDescent="0.25">
      <c r="A2947" s="35" t="s">
        <v>3422</v>
      </c>
      <c r="B2947" s="28" t="e">
        <f t="shared" si="90"/>
        <v>#VALUE!</v>
      </c>
      <c r="C2947" s="30">
        <v>12150</v>
      </c>
      <c r="D2947" s="30">
        <v>12159</v>
      </c>
      <c r="E2947" s="30">
        <v>12148</v>
      </c>
      <c r="F2947" s="30">
        <v>12042</v>
      </c>
      <c r="G2947" s="30">
        <v>12114</v>
      </c>
      <c r="H2947" s="30">
        <v>12094</v>
      </c>
      <c r="I2947" s="30">
        <v>12009</v>
      </c>
      <c r="J2947" s="30">
        <v>12021</v>
      </c>
      <c r="K2947" s="30">
        <v>11952</v>
      </c>
      <c r="L2947" s="30">
        <v>12039</v>
      </c>
      <c r="M2947" s="30">
        <v>12169</v>
      </c>
      <c r="N2947" s="30">
        <v>12271</v>
      </c>
      <c r="O2947" s="24" t="str">
        <f t="shared" si="91"/>
        <v>Poquoson city, Virginia</v>
      </c>
    </row>
    <row r="2948" spans="1:15" x14ac:dyDescent="0.25">
      <c r="A2948" s="35" t="s">
        <v>3423</v>
      </c>
      <c r="B2948" s="28" t="e">
        <f t="shared" si="90"/>
        <v>#VALUE!</v>
      </c>
      <c r="C2948" s="30">
        <v>95535</v>
      </c>
      <c r="D2948" s="30">
        <v>95526</v>
      </c>
      <c r="E2948" s="30">
        <v>95451</v>
      </c>
      <c r="F2948" s="30">
        <v>95748</v>
      </c>
      <c r="G2948" s="30">
        <v>96480</v>
      </c>
      <c r="H2948" s="30">
        <v>96075</v>
      </c>
      <c r="I2948" s="30">
        <v>95829</v>
      </c>
      <c r="J2948" s="30">
        <v>96336</v>
      </c>
      <c r="K2948" s="30">
        <v>95165</v>
      </c>
      <c r="L2948" s="30">
        <v>94838</v>
      </c>
      <c r="M2948" s="30">
        <v>94750</v>
      </c>
      <c r="N2948" s="30">
        <v>94398</v>
      </c>
      <c r="O2948" s="24" t="str">
        <f t="shared" si="91"/>
        <v>Portsmouth city, Virginia</v>
      </c>
    </row>
    <row r="2949" spans="1:15" x14ac:dyDescent="0.25">
      <c r="A2949" s="35" t="s">
        <v>3424</v>
      </c>
      <c r="B2949" s="28" t="e">
        <f t="shared" si="90"/>
        <v>#VALUE!</v>
      </c>
      <c r="C2949" s="30">
        <v>16408</v>
      </c>
      <c r="D2949" s="30">
        <v>16395</v>
      </c>
      <c r="E2949" s="30">
        <v>16430</v>
      </c>
      <c r="F2949" s="30">
        <v>16814</v>
      </c>
      <c r="G2949" s="30">
        <v>16714</v>
      </c>
      <c r="H2949" s="30">
        <v>17117</v>
      </c>
      <c r="I2949" s="30">
        <v>17392</v>
      </c>
      <c r="J2949" s="30">
        <v>17295</v>
      </c>
      <c r="K2949" s="30">
        <v>17324</v>
      </c>
      <c r="L2949" s="30">
        <v>17484</v>
      </c>
      <c r="M2949" s="30">
        <v>18101</v>
      </c>
      <c r="N2949" s="30">
        <v>18249</v>
      </c>
      <c r="O2949" s="24" t="str">
        <f t="shared" si="91"/>
        <v>Radford city, Virginia</v>
      </c>
    </row>
    <row r="2950" spans="1:15" x14ac:dyDescent="0.25">
      <c r="A2950" s="35" t="s">
        <v>3425</v>
      </c>
      <c r="B2950" s="28" t="e">
        <f t="shared" si="90"/>
        <v>#VALUE!</v>
      </c>
      <c r="C2950" s="30">
        <v>204214</v>
      </c>
      <c r="D2950" s="30">
        <v>204375</v>
      </c>
      <c r="E2950" s="30">
        <v>204302</v>
      </c>
      <c r="F2950" s="30">
        <v>206391</v>
      </c>
      <c r="G2950" s="30">
        <v>210794</v>
      </c>
      <c r="H2950" s="30">
        <v>213860</v>
      </c>
      <c r="I2950" s="30">
        <v>217044</v>
      </c>
      <c r="J2950" s="30">
        <v>220856</v>
      </c>
      <c r="K2950" s="30">
        <v>225369</v>
      </c>
      <c r="L2950" s="30">
        <v>227230</v>
      </c>
      <c r="M2950" s="30">
        <v>229221</v>
      </c>
      <c r="N2950" s="30">
        <v>230436</v>
      </c>
      <c r="O2950" s="24" t="str">
        <f t="shared" si="91"/>
        <v>Richmond city, Virginia</v>
      </c>
    </row>
    <row r="2951" spans="1:15" x14ac:dyDescent="0.25">
      <c r="A2951" s="35" t="s">
        <v>3426</v>
      </c>
      <c r="B2951" s="28" t="e">
        <f t="shared" ref="B2951:B3014" si="92">LEFT(A2951,FIND("County",A2951,1)-2)</f>
        <v>#VALUE!</v>
      </c>
      <c r="C2951" s="30">
        <v>97032</v>
      </c>
      <c r="D2951" s="30">
        <v>96910</v>
      </c>
      <c r="E2951" s="30">
        <v>96720</v>
      </c>
      <c r="F2951" s="30">
        <v>96782</v>
      </c>
      <c r="G2951" s="30">
        <v>98011</v>
      </c>
      <c r="H2951" s="30">
        <v>98849</v>
      </c>
      <c r="I2951" s="30">
        <v>99427</v>
      </c>
      <c r="J2951" s="30">
        <v>99669</v>
      </c>
      <c r="K2951" s="30">
        <v>99337</v>
      </c>
      <c r="L2951" s="30">
        <v>98986</v>
      </c>
      <c r="M2951" s="30">
        <v>99009</v>
      </c>
      <c r="N2951" s="30">
        <v>99143</v>
      </c>
      <c r="O2951" s="24" t="str">
        <f t="shared" ref="O2951:O3014" si="93">A2951</f>
        <v>Roanoke city, Virginia</v>
      </c>
    </row>
    <row r="2952" spans="1:15" x14ac:dyDescent="0.25">
      <c r="A2952" s="35" t="s">
        <v>3427</v>
      </c>
      <c r="B2952" s="28" t="e">
        <f t="shared" si="92"/>
        <v>#VALUE!</v>
      </c>
      <c r="C2952" s="30">
        <v>24802</v>
      </c>
      <c r="D2952" s="30">
        <v>24836</v>
      </c>
      <c r="E2952" s="30">
        <v>24895</v>
      </c>
      <c r="F2952" s="30">
        <v>25026</v>
      </c>
      <c r="G2952" s="30">
        <v>25179</v>
      </c>
      <c r="H2952" s="30">
        <v>25317</v>
      </c>
      <c r="I2952" s="30">
        <v>25428</v>
      </c>
      <c r="J2952" s="30">
        <v>25364</v>
      </c>
      <c r="K2952" s="30">
        <v>25252</v>
      </c>
      <c r="L2952" s="30">
        <v>25373</v>
      </c>
      <c r="M2952" s="30">
        <v>25293</v>
      </c>
      <c r="N2952" s="30">
        <v>25301</v>
      </c>
      <c r="O2952" s="24" t="str">
        <f t="shared" si="93"/>
        <v>Salem city, Virginia</v>
      </c>
    </row>
    <row r="2953" spans="1:15" x14ac:dyDescent="0.25">
      <c r="A2953" s="35" t="s">
        <v>3428</v>
      </c>
      <c r="B2953" s="28" t="e">
        <f t="shared" si="92"/>
        <v>#VALUE!</v>
      </c>
      <c r="C2953" s="30">
        <v>23746</v>
      </c>
      <c r="D2953" s="30">
        <v>23745</v>
      </c>
      <c r="E2953" s="30">
        <v>23737</v>
      </c>
      <c r="F2953" s="30">
        <v>24023</v>
      </c>
      <c r="G2953" s="30">
        <v>23809</v>
      </c>
      <c r="H2953" s="30">
        <v>24101</v>
      </c>
      <c r="I2953" s="30">
        <v>24283</v>
      </c>
      <c r="J2953" s="30">
        <v>24185</v>
      </c>
      <c r="K2953" s="30">
        <v>24156</v>
      </c>
      <c r="L2953" s="30">
        <v>24325</v>
      </c>
      <c r="M2953" s="30">
        <v>24562</v>
      </c>
      <c r="N2953" s="30">
        <v>24932</v>
      </c>
      <c r="O2953" s="24" t="str">
        <f t="shared" si="93"/>
        <v>Staunton city, Virginia</v>
      </c>
    </row>
    <row r="2954" spans="1:15" x14ac:dyDescent="0.25">
      <c r="A2954" s="35" t="s">
        <v>3429</v>
      </c>
      <c r="B2954" s="28" t="e">
        <f t="shared" si="92"/>
        <v>#VALUE!</v>
      </c>
      <c r="C2954" s="30">
        <v>84585</v>
      </c>
      <c r="D2954" s="30">
        <v>84565</v>
      </c>
      <c r="E2954" s="30">
        <v>84813</v>
      </c>
      <c r="F2954" s="30">
        <v>84750</v>
      </c>
      <c r="G2954" s="30">
        <v>85251</v>
      </c>
      <c r="H2954" s="30">
        <v>85751</v>
      </c>
      <c r="I2954" s="30">
        <v>86882</v>
      </c>
      <c r="J2954" s="30">
        <v>88079</v>
      </c>
      <c r="K2954" s="30">
        <v>89194</v>
      </c>
      <c r="L2954" s="30">
        <v>90108</v>
      </c>
      <c r="M2954" s="30">
        <v>90975</v>
      </c>
      <c r="N2954" s="30">
        <v>92108</v>
      </c>
      <c r="O2954" s="24" t="str">
        <f t="shared" si="93"/>
        <v>Suffolk city, Virginia</v>
      </c>
    </row>
    <row r="2955" spans="1:15" x14ac:dyDescent="0.25">
      <c r="A2955" s="35" t="s">
        <v>3430</v>
      </c>
      <c r="B2955" s="28" t="s">
        <v>3650</v>
      </c>
      <c r="C2955" s="30">
        <v>437994</v>
      </c>
      <c r="D2955" s="30">
        <v>437903</v>
      </c>
      <c r="E2955" s="30">
        <v>438859</v>
      </c>
      <c r="F2955" s="30">
        <v>442583</v>
      </c>
      <c r="G2955" s="30">
        <v>445044</v>
      </c>
      <c r="H2955" s="30">
        <v>447706</v>
      </c>
      <c r="I2955" s="30">
        <v>448864</v>
      </c>
      <c r="J2955" s="30">
        <v>450304</v>
      </c>
      <c r="K2955" s="30">
        <v>450983</v>
      </c>
      <c r="L2955" s="30">
        <v>449896</v>
      </c>
      <c r="M2955" s="30">
        <v>449849</v>
      </c>
      <c r="N2955" s="30">
        <v>449974</v>
      </c>
      <c r="O2955" s="24" t="str">
        <f t="shared" si="93"/>
        <v>Virginia Beach city, Virginia</v>
      </c>
    </row>
    <row r="2956" spans="1:15" x14ac:dyDescent="0.25">
      <c r="A2956" s="35" t="s">
        <v>3431</v>
      </c>
      <c r="B2956" s="28" t="e">
        <f t="shared" si="92"/>
        <v>#VALUE!</v>
      </c>
      <c r="C2956" s="30">
        <v>21006</v>
      </c>
      <c r="D2956" s="30">
        <v>20998</v>
      </c>
      <c r="E2956" s="30">
        <v>20993</v>
      </c>
      <c r="F2956" s="30">
        <v>21103</v>
      </c>
      <c r="G2956" s="30">
        <v>21066</v>
      </c>
      <c r="H2956" s="30">
        <v>21167</v>
      </c>
      <c r="I2956" s="30">
        <v>21305</v>
      </c>
      <c r="J2956" s="30">
        <v>21542</v>
      </c>
      <c r="K2956" s="30">
        <v>21757</v>
      </c>
      <c r="L2956" s="30">
        <v>22242</v>
      </c>
      <c r="M2956" s="30">
        <v>22531</v>
      </c>
      <c r="N2956" s="30">
        <v>22630</v>
      </c>
      <c r="O2956" s="24" t="str">
        <f t="shared" si="93"/>
        <v>Waynesboro city, Virginia</v>
      </c>
    </row>
    <row r="2957" spans="1:15" x14ac:dyDescent="0.25">
      <c r="A2957" s="35" t="s">
        <v>3432</v>
      </c>
      <c r="B2957" s="28" t="e">
        <f t="shared" si="92"/>
        <v>#VALUE!</v>
      </c>
      <c r="C2957" s="30">
        <v>14068</v>
      </c>
      <c r="D2957" s="30">
        <v>13700</v>
      </c>
      <c r="E2957" s="30">
        <v>13727</v>
      </c>
      <c r="F2957" s="30">
        <v>14109</v>
      </c>
      <c r="G2957" s="30">
        <v>14526</v>
      </c>
      <c r="H2957" s="30">
        <v>14617</v>
      </c>
      <c r="I2957" s="30">
        <v>14580</v>
      </c>
      <c r="J2957" s="30">
        <v>14800</v>
      </c>
      <c r="K2957" s="30">
        <v>14884</v>
      </c>
      <c r="L2957" s="30">
        <v>14994</v>
      </c>
      <c r="M2957" s="30">
        <v>15002</v>
      </c>
      <c r="N2957" s="30">
        <v>14954</v>
      </c>
      <c r="O2957" s="24" t="str">
        <f t="shared" si="93"/>
        <v>Williamsburg city, Virginia</v>
      </c>
    </row>
    <row r="2958" spans="1:15" x14ac:dyDescent="0.25">
      <c r="A2958" s="35" t="s">
        <v>3433</v>
      </c>
      <c r="B2958" s="28" t="e">
        <f t="shared" si="92"/>
        <v>#VALUE!</v>
      </c>
      <c r="C2958" s="30">
        <v>26203</v>
      </c>
      <c r="D2958" s="30">
        <v>26223</v>
      </c>
      <c r="E2958" s="30">
        <v>26150</v>
      </c>
      <c r="F2958" s="30">
        <v>26660</v>
      </c>
      <c r="G2958" s="30">
        <v>27008</v>
      </c>
      <c r="H2958" s="30">
        <v>27321</v>
      </c>
      <c r="I2958" s="30">
        <v>27382</v>
      </c>
      <c r="J2958" s="30">
        <v>27480</v>
      </c>
      <c r="K2958" s="30">
        <v>27785</v>
      </c>
      <c r="L2958" s="30">
        <v>28178</v>
      </c>
      <c r="M2958" s="30">
        <v>27962</v>
      </c>
      <c r="N2958" s="30">
        <v>28078</v>
      </c>
      <c r="O2958" s="24" t="str">
        <f t="shared" si="93"/>
        <v>Winchester city, Virginia</v>
      </c>
    </row>
    <row r="2959" spans="1:15" x14ac:dyDescent="0.25">
      <c r="A2959" s="35" t="s">
        <v>3434</v>
      </c>
      <c r="B2959" s="28" t="str">
        <f t="shared" si="92"/>
        <v>Adams</v>
      </c>
      <c r="C2959" s="30">
        <v>18728</v>
      </c>
      <c r="D2959" s="30">
        <v>18731</v>
      </c>
      <c r="E2959" s="30">
        <v>18790</v>
      </c>
      <c r="F2959" s="30">
        <v>18877</v>
      </c>
      <c r="G2959" s="30">
        <v>18944</v>
      </c>
      <c r="H2959" s="30">
        <v>19098</v>
      </c>
      <c r="I2959" s="30">
        <v>19177</v>
      </c>
      <c r="J2959" s="30">
        <v>19233</v>
      </c>
      <c r="K2959" s="30">
        <v>19369</v>
      </c>
      <c r="L2959" s="30">
        <v>19651</v>
      </c>
      <c r="M2959" s="30">
        <v>19736</v>
      </c>
      <c r="N2959" s="30">
        <v>19983</v>
      </c>
      <c r="O2959" s="24" t="str">
        <f t="shared" si="93"/>
        <v>Adams County, Washington</v>
      </c>
    </row>
    <row r="2960" spans="1:15" x14ac:dyDescent="0.25">
      <c r="A2960" s="35" t="s">
        <v>3435</v>
      </c>
      <c r="B2960" s="28" t="str">
        <f t="shared" si="92"/>
        <v>Asotin</v>
      </c>
      <c r="C2960" s="30">
        <v>21623</v>
      </c>
      <c r="D2960" s="30">
        <v>21623</v>
      </c>
      <c r="E2960" s="30">
        <v>21725</v>
      </c>
      <c r="F2960" s="30">
        <v>21971</v>
      </c>
      <c r="G2960" s="30">
        <v>21909</v>
      </c>
      <c r="H2960" s="30">
        <v>22129</v>
      </c>
      <c r="I2960" s="30">
        <v>22190</v>
      </c>
      <c r="J2960" s="30">
        <v>22113</v>
      </c>
      <c r="K2960" s="30">
        <v>22286</v>
      </c>
      <c r="L2960" s="30">
        <v>22509</v>
      </c>
      <c r="M2960" s="30">
        <v>22616</v>
      </c>
      <c r="N2960" s="30">
        <v>22582</v>
      </c>
      <c r="O2960" s="24" t="str">
        <f t="shared" si="93"/>
        <v>Asotin County, Washington</v>
      </c>
    </row>
    <row r="2961" spans="1:15" x14ac:dyDescent="0.25">
      <c r="A2961" s="35" t="s">
        <v>3436</v>
      </c>
      <c r="B2961" s="28" t="str">
        <f t="shared" si="92"/>
        <v>Benton</v>
      </c>
      <c r="C2961" s="30">
        <v>175177</v>
      </c>
      <c r="D2961" s="30">
        <v>175168</v>
      </c>
      <c r="E2961" s="30">
        <v>176465</v>
      </c>
      <c r="F2961" s="30">
        <v>180436</v>
      </c>
      <c r="G2961" s="30">
        <v>182373</v>
      </c>
      <c r="H2961" s="30">
        <v>184318</v>
      </c>
      <c r="I2961" s="30">
        <v>186489</v>
      </c>
      <c r="J2961" s="30">
        <v>190218</v>
      </c>
      <c r="K2961" s="30">
        <v>193494</v>
      </c>
      <c r="L2961" s="30">
        <v>198200</v>
      </c>
      <c r="M2961" s="30">
        <v>201286</v>
      </c>
      <c r="N2961" s="30">
        <v>204390</v>
      </c>
      <c r="O2961" s="24" t="str">
        <f t="shared" si="93"/>
        <v>Benton County, Washington</v>
      </c>
    </row>
    <row r="2962" spans="1:15" x14ac:dyDescent="0.25">
      <c r="A2962" s="35" t="s">
        <v>3437</v>
      </c>
      <c r="B2962" s="28" t="str">
        <f t="shared" si="92"/>
        <v>Chelan</v>
      </c>
      <c r="C2962" s="30">
        <v>72453</v>
      </c>
      <c r="D2962" s="30">
        <v>72460</v>
      </c>
      <c r="E2962" s="30">
        <v>72750</v>
      </c>
      <c r="F2962" s="30">
        <v>73214</v>
      </c>
      <c r="G2962" s="30">
        <v>73472</v>
      </c>
      <c r="H2962" s="30">
        <v>73723</v>
      </c>
      <c r="I2962" s="30">
        <v>74121</v>
      </c>
      <c r="J2962" s="30">
        <v>75041</v>
      </c>
      <c r="K2962" s="30">
        <v>75855</v>
      </c>
      <c r="L2962" s="30">
        <v>76298</v>
      </c>
      <c r="M2962" s="30">
        <v>76752</v>
      </c>
      <c r="N2962" s="30">
        <v>77200</v>
      </c>
      <c r="O2962" s="24" t="str">
        <f t="shared" si="93"/>
        <v>Chelan County, Washington</v>
      </c>
    </row>
    <row r="2963" spans="1:15" x14ac:dyDescent="0.25">
      <c r="A2963" s="35" t="s">
        <v>3438</v>
      </c>
      <c r="B2963" s="28" t="str">
        <f t="shared" si="92"/>
        <v>Clallam</v>
      </c>
      <c r="C2963" s="30">
        <v>71404</v>
      </c>
      <c r="D2963" s="30">
        <v>71396</v>
      </c>
      <c r="E2963" s="30">
        <v>71503</v>
      </c>
      <c r="F2963" s="30">
        <v>71762</v>
      </c>
      <c r="G2963" s="30">
        <v>71766</v>
      </c>
      <c r="H2963" s="30">
        <v>72046</v>
      </c>
      <c r="I2963" s="30">
        <v>72467</v>
      </c>
      <c r="J2963" s="30">
        <v>73202</v>
      </c>
      <c r="K2963" s="30">
        <v>74240</v>
      </c>
      <c r="L2963" s="30">
        <v>75637</v>
      </c>
      <c r="M2963" s="30">
        <v>76551</v>
      </c>
      <c r="N2963" s="30">
        <v>77331</v>
      </c>
      <c r="O2963" s="24" t="str">
        <f t="shared" si="93"/>
        <v>Clallam County, Washington</v>
      </c>
    </row>
    <row r="2964" spans="1:15" x14ac:dyDescent="0.25">
      <c r="A2964" s="35" t="s">
        <v>3439</v>
      </c>
      <c r="B2964" s="28" t="str">
        <f t="shared" si="92"/>
        <v>Clark</v>
      </c>
      <c r="C2964" s="30">
        <v>425363</v>
      </c>
      <c r="D2964" s="30">
        <v>425360</v>
      </c>
      <c r="E2964" s="30">
        <v>426704</v>
      </c>
      <c r="F2964" s="30">
        <v>432283</v>
      </c>
      <c r="G2964" s="30">
        <v>436361</v>
      </c>
      <c r="H2964" s="30">
        <v>441341</v>
      </c>
      <c r="I2964" s="30">
        <v>448202</v>
      </c>
      <c r="J2964" s="30">
        <v>456939</v>
      </c>
      <c r="K2964" s="30">
        <v>465272</v>
      </c>
      <c r="L2964" s="30">
        <v>474381</v>
      </c>
      <c r="M2964" s="30">
        <v>481427</v>
      </c>
      <c r="N2964" s="30">
        <v>488241</v>
      </c>
      <c r="O2964" s="24" t="str">
        <f t="shared" si="93"/>
        <v>Clark County, Washington</v>
      </c>
    </row>
    <row r="2965" spans="1:15" x14ac:dyDescent="0.25">
      <c r="A2965" s="35" t="s">
        <v>3440</v>
      </c>
      <c r="B2965" s="28" t="str">
        <f t="shared" si="92"/>
        <v>Columbia</v>
      </c>
      <c r="C2965" s="30">
        <v>4078</v>
      </c>
      <c r="D2965" s="30">
        <v>4078</v>
      </c>
      <c r="E2965" s="30">
        <v>4094</v>
      </c>
      <c r="F2965" s="30">
        <v>4005</v>
      </c>
      <c r="G2965" s="30">
        <v>3977</v>
      </c>
      <c r="H2965" s="30">
        <v>4002</v>
      </c>
      <c r="I2965" s="30">
        <v>3985</v>
      </c>
      <c r="J2965" s="30">
        <v>3960</v>
      </c>
      <c r="K2965" s="30">
        <v>3975</v>
      </c>
      <c r="L2965" s="30">
        <v>4002</v>
      </c>
      <c r="M2965" s="30">
        <v>4039</v>
      </c>
      <c r="N2965" s="30">
        <v>3985</v>
      </c>
      <c r="O2965" s="24" t="str">
        <f t="shared" si="93"/>
        <v>Columbia County, Washington</v>
      </c>
    </row>
    <row r="2966" spans="1:15" x14ac:dyDescent="0.25">
      <c r="A2966" s="35" t="s">
        <v>3441</v>
      </c>
      <c r="B2966" s="28" t="str">
        <f t="shared" si="92"/>
        <v>Cowlitz</v>
      </c>
      <c r="C2966" s="30">
        <v>102410</v>
      </c>
      <c r="D2966" s="30">
        <v>102408</v>
      </c>
      <c r="E2966" s="30">
        <v>102358</v>
      </c>
      <c r="F2966" s="30">
        <v>102309</v>
      </c>
      <c r="G2966" s="30">
        <v>101663</v>
      </c>
      <c r="H2966" s="30">
        <v>101483</v>
      </c>
      <c r="I2966" s="30">
        <v>101790</v>
      </c>
      <c r="J2966" s="30">
        <v>102999</v>
      </c>
      <c r="K2966" s="30">
        <v>104740</v>
      </c>
      <c r="L2966" s="30">
        <v>106805</v>
      </c>
      <c r="M2966" s="30">
        <v>108752</v>
      </c>
      <c r="N2966" s="30">
        <v>110593</v>
      </c>
      <c r="O2966" s="24" t="str">
        <f t="shared" si="93"/>
        <v>Cowlitz County, Washington</v>
      </c>
    </row>
    <row r="2967" spans="1:15" x14ac:dyDescent="0.25">
      <c r="A2967" s="35" t="s">
        <v>3442</v>
      </c>
      <c r="B2967" s="28" t="str">
        <f t="shared" si="92"/>
        <v>Douglas</v>
      </c>
      <c r="C2967" s="30">
        <v>38431</v>
      </c>
      <c r="D2967" s="30">
        <v>38427</v>
      </c>
      <c r="E2967" s="30">
        <v>38514</v>
      </c>
      <c r="F2967" s="30">
        <v>38662</v>
      </c>
      <c r="G2967" s="30">
        <v>39197</v>
      </c>
      <c r="H2967" s="30">
        <v>39387</v>
      </c>
      <c r="I2967" s="30">
        <v>39773</v>
      </c>
      <c r="J2967" s="30">
        <v>40545</v>
      </c>
      <c r="K2967" s="30">
        <v>41366</v>
      </c>
      <c r="L2967" s="30">
        <v>42027</v>
      </c>
      <c r="M2967" s="30">
        <v>42749</v>
      </c>
      <c r="N2967" s="30">
        <v>43429</v>
      </c>
      <c r="O2967" s="24" t="str">
        <f t="shared" si="93"/>
        <v>Douglas County, Washington</v>
      </c>
    </row>
    <row r="2968" spans="1:15" x14ac:dyDescent="0.25">
      <c r="A2968" s="35" t="s">
        <v>3443</v>
      </c>
      <c r="B2968" s="28" t="str">
        <f t="shared" si="92"/>
        <v>Ferry</v>
      </c>
      <c r="C2968" s="30">
        <v>7551</v>
      </c>
      <c r="D2968" s="30">
        <v>7554</v>
      </c>
      <c r="E2968" s="30">
        <v>7545</v>
      </c>
      <c r="F2968" s="30">
        <v>7639</v>
      </c>
      <c r="G2968" s="30">
        <v>7663</v>
      </c>
      <c r="H2968" s="30">
        <v>7594</v>
      </c>
      <c r="I2968" s="30">
        <v>7592</v>
      </c>
      <c r="J2968" s="30">
        <v>7520</v>
      </c>
      <c r="K2968" s="30">
        <v>7531</v>
      </c>
      <c r="L2968" s="30">
        <v>7576</v>
      </c>
      <c r="M2968" s="30">
        <v>7638</v>
      </c>
      <c r="N2968" s="30">
        <v>7627</v>
      </c>
      <c r="O2968" s="24" t="str">
        <f t="shared" si="93"/>
        <v>Ferry County, Washington</v>
      </c>
    </row>
    <row r="2969" spans="1:15" x14ac:dyDescent="0.25">
      <c r="A2969" s="35" t="s">
        <v>3444</v>
      </c>
      <c r="B2969" s="28" t="str">
        <f t="shared" si="92"/>
        <v>Franklin</v>
      </c>
      <c r="C2969" s="30">
        <v>78163</v>
      </c>
      <c r="D2969" s="30">
        <v>78160</v>
      </c>
      <c r="E2969" s="30">
        <v>79077</v>
      </c>
      <c r="F2969" s="30">
        <v>83051</v>
      </c>
      <c r="G2969" s="30">
        <v>85698</v>
      </c>
      <c r="H2969" s="30">
        <v>86448</v>
      </c>
      <c r="I2969" s="30">
        <v>87665</v>
      </c>
      <c r="J2969" s="30">
        <v>88727</v>
      </c>
      <c r="K2969" s="30">
        <v>90199</v>
      </c>
      <c r="L2969" s="30">
        <v>91896</v>
      </c>
      <c r="M2969" s="30">
        <v>94003</v>
      </c>
      <c r="N2969" s="30">
        <v>95222</v>
      </c>
      <c r="O2969" s="24" t="str">
        <f t="shared" si="93"/>
        <v>Franklin County, Washington</v>
      </c>
    </row>
    <row r="2970" spans="1:15" x14ac:dyDescent="0.25">
      <c r="A2970" s="35" t="s">
        <v>3445</v>
      </c>
      <c r="B2970" s="28" t="str">
        <f t="shared" si="92"/>
        <v>Garfield</v>
      </c>
      <c r="C2970" s="30">
        <v>2266</v>
      </c>
      <c r="D2970" s="30">
        <v>2266</v>
      </c>
      <c r="E2970" s="30">
        <v>2261</v>
      </c>
      <c r="F2970" s="30">
        <v>2237</v>
      </c>
      <c r="G2970" s="30">
        <v>2209</v>
      </c>
      <c r="H2970" s="30">
        <v>2237</v>
      </c>
      <c r="I2970" s="30">
        <v>2201</v>
      </c>
      <c r="J2970" s="30">
        <v>2222</v>
      </c>
      <c r="K2970" s="30">
        <v>2246</v>
      </c>
      <c r="L2970" s="30">
        <v>2215</v>
      </c>
      <c r="M2970" s="30">
        <v>2240</v>
      </c>
      <c r="N2970" s="30">
        <v>2225</v>
      </c>
      <c r="O2970" s="24" t="str">
        <f t="shared" si="93"/>
        <v>Garfield County, Washington</v>
      </c>
    </row>
    <row r="2971" spans="1:15" x14ac:dyDescent="0.25">
      <c r="A2971" s="35" t="s">
        <v>3446</v>
      </c>
      <c r="B2971" s="28" t="str">
        <f t="shared" si="92"/>
        <v>Grant</v>
      </c>
      <c r="C2971" s="30">
        <v>89120</v>
      </c>
      <c r="D2971" s="30">
        <v>89124</v>
      </c>
      <c r="E2971" s="30">
        <v>89558</v>
      </c>
      <c r="F2971" s="30">
        <v>90594</v>
      </c>
      <c r="G2971" s="30">
        <v>91300</v>
      </c>
      <c r="H2971" s="30">
        <v>91701</v>
      </c>
      <c r="I2971" s="30">
        <v>92897</v>
      </c>
      <c r="J2971" s="30">
        <v>93527</v>
      </c>
      <c r="K2971" s="30">
        <v>94221</v>
      </c>
      <c r="L2971" s="30">
        <v>95357</v>
      </c>
      <c r="M2971" s="30">
        <v>96672</v>
      </c>
      <c r="N2971" s="30">
        <v>97733</v>
      </c>
      <c r="O2971" s="24" t="str">
        <f t="shared" si="93"/>
        <v>Grant County, Washington</v>
      </c>
    </row>
    <row r="2972" spans="1:15" x14ac:dyDescent="0.25">
      <c r="A2972" s="35" t="s">
        <v>3447</v>
      </c>
      <c r="B2972" s="28" t="str">
        <f t="shared" si="92"/>
        <v>Grays Harbor</v>
      </c>
      <c r="C2972" s="30">
        <v>72797</v>
      </c>
      <c r="D2972" s="30">
        <v>72800</v>
      </c>
      <c r="E2972" s="30">
        <v>72848</v>
      </c>
      <c r="F2972" s="30">
        <v>72366</v>
      </c>
      <c r="G2972" s="30">
        <v>71773</v>
      </c>
      <c r="H2972" s="30">
        <v>71046</v>
      </c>
      <c r="I2972" s="30">
        <v>70780</v>
      </c>
      <c r="J2972" s="30">
        <v>71011</v>
      </c>
      <c r="K2972" s="30">
        <v>71531</v>
      </c>
      <c r="L2972" s="30">
        <v>72490</v>
      </c>
      <c r="M2972" s="30">
        <v>73801</v>
      </c>
      <c r="N2972" s="30">
        <v>75061</v>
      </c>
      <c r="O2972" s="24" t="str">
        <f t="shared" si="93"/>
        <v>Grays Harbor County, Washington</v>
      </c>
    </row>
    <row r="2973" spans="1:15" x14ac:dyDescent="0.25">
      <c r="A2973" s="35" t="s">
        <v>3448</v>
      </c>
      <c r="B2973" s="28" t="str">
        <f t="shared" si="92"/>
        <v>Island</v>
      </c>
      <c r="C2973" s="30">
        <v>78506</v>
      </c>
      <c r="D2973" s="30">
        <v>78508</v>
      </c>
      <c r="E2973" s="30">
        <v>78693</v>
      </c>
      <c r="F2973" s="30">
        <v>78941</v>
      </c>
      <c r="G2973" s="30">
        <v>79039</v>
      </c>
      <c r="H2973" s="30">
        <v>78198</v>
      </c>
      <c r="I2973" s="30">
        <v>78690</v>
      </c>
      <c r="J2973" s="30">
        <v>80022</v>
      </c>
      <c r="K2973" s="30">
        <v>81692</v>
      </c>
      <c r="L2973" s="30">
        <v>83250</v>
      </c>
      <c r="M2973" s="30">
        <v>84227</v>
      </c>
      <c r="N2973" s="30">
        <v>85141</v>
      </c>
      <c r="O2973" s="24" t="str">
        <f t="shared" si="93"/>
        <v>Island County, Washington</v>
      </c>
    </row>
    <row r="2974" spans="1:15" x14ac:dyDescent="0.25">
      <c r="A2974" s="35" t="s">
        <v>3449</v>
      </c>
      <c r="B2974" s="28" t="str">
        <f t="shared" si="92"/>
        <v>Jefferson</v>
      </c>
      <c r="C2974" s="30">
        <v>29872</v>
      </c>
      <c r="D2974" s="30">
        <v>29880</v>
      </c>
      <c r="E2974" s="30">
        <v>29899</v>
      </c>
      <c r="F2974" s="30">
        <v>29853</v>
      </c>
      <c r="G2974" s="30">
        <v>29800</v>
      </c>
      <c r="H2974" s="30">
        <v>30004</v>
      </c>
      <c r="I2974" s="30">
        <v>30147</v>
      </c>
      <c r="J2974" s="30">
        <v>30339</v>
      </c>
      <c r="K2974" s="30">
        <v>30910</v>
      </c>
      <c r="L2974" s="30">
        <v>31210</v>
      </c>
      <c r="M2974" s="30">
        <v>31746</v>
      </c>
      <c r="N2974" s="30">
        <v>32221</v>
      </c>
      <c r="O2974" s="24" t="str">
        <f t="shared" si="93"/>
        <v>Jefferson County, Washington</v>
      </c>
    </row>
    <row r="2975" spans="1:15" x14ac:dyDescent="0.25">
      <c r="A2975" s="35" t="s">
        <v>3450</v>
      </c>
      <c r="B2975" s="28" t="str">
        <f t="shared" si="92"/>
        <v>King</v>
      </c>
      <c r="C2975" s="30">
        <v>1931249</v>
      </c>
      <c r="D2975" s="30">
        <v>1931287</v>
      </c>
      <c r="E2975" s="30">
        <v>1938351</v>
      </c>
      <c r="F2975" s="30">
        <v>1974200</v>
      </c>
      <c r="G2975" s="30">
        <v>2011197</v>
      </c>
      <c r="H2975" s="30">
        <v>2047223</v>
      </c>
      <c r="I2975" s="30">
        <v>2085225</v>
      </c>
      <c r="J2975" s="30">
        <v>2126178</v>
      </c>
      <c r="K2975" s="30">
        <v>2166350</v>
      </c>
      <c r="L2975" s="30">
        <v>2203836</v>
      </c>
      <c r="M2975" s="30">
        <v>2228364</v>
      </c>
      <c r="N2975" s="30">
        <v>2252782</v>
      </c>
      <c r="O2975" s="24" t="str">
        <f t="shared" si="93"/>
        <v>King County, Washington</v>
      </c>
    </row>
    <row r="2976" spans="1:15" x14ac:dyDescent="0.25">
      <c r="A2976" s="35" t="s">
        <v>3451</v>
      </c>
      <c r="B2976" s="28" t="str">
        <f t="shared" si="92"/>
        <v>Kitsap</v>
      </c>
      <c r="C2976" s="30">
        <v>251133</v>
      </c>
      <c r="D2976" s="30">
        <v>251143</v>
      </c>
      <c r="E2976" s="30">
        <v>251681</v>
      </c>
      <c r="F2976" s="30">
        <v>254297</v>
      </c>
      <c r="G2976" s="30">
        <v>254339</v>
      </c>
      <c r="H2976" s="30">
        <v>252401</v>
      </c>
      <c r="I2976" s="30">
        <v>253387</v>
      </c>
      <c r="J2976" s="30">
        <v>259232</v>
      </c>
      <c r="K2976" s="30">
        <v>263142</v>
      </c>
      <c r="L2976" s="30">
        <v>266289</v>
      </c>
      <c r="M2976" s="30">
        <v>269276</v>
      </c>
      <c r="N2976" s="30">
        <v>271473</v>
      </c>
      <c r="O2976" s="24" t="str">
        <f t="shared" si="93"/>
        <v>Kitsap County, Washington</v>
      </c>
    </row>
    <row r="2977" spans="1:15" x14ac:dyDescent="0.25">
      <c r="A2977" s="35" t="s">
        <v>3452</v>
      </c>
      <c r="B2977" s="28" t="str">
        <f t="shared" si="92"/>
        <v>Kittitas</v>
      </c>
      <c r="C2977" s="30">
        <v>40915</v>
      </c>
      <c r="D2977" s="30">
        <v>40910</v>
      </c>
      <c r="E2977" s="30">
        <v>40990</v>
      </c>
      <c r="F2977" s="30">
        <v>41554</v>
      </c>
      <c r="G2977" s="30">
        <v>41624</v>
      </c>
      <c r="H2977" s="30">
        <v>41828</v>
      </c>
      <c r="I2977" s="30">
        <v>42596</v>
      </c>
      <c r="J2977" s="30">
        <v>43095</v>
      </c>
      <c r="K2977" s="30">
        <v>44922</v>
      </c>
      <c r="L2977" s="30">
        <v>46176</v>
      </c>
      <c r="M2977" s="30">
        <v>47358</v>
      </c>
      <c r="N2977" s="30">
        <v>47935</v>
      </c>
      <c r="O2977" s="24" t="str">
        <f t="shared" si="93"/>
        <v>Kittitas County, Washington</v>
      </c>
    </row>
    <row r="2978" spans="1:15" x14ac:dyDescent="0.25">
      <c r="A2978" s="35" t="s">
        <v>3453</v>
      </c>
      <c r="B2978" s="28" t="str">
        <f t="shared" si="92"/>
        <v>Klickitat</v>
      </c>
      <c r="C2978" s="30">
        <v>20318</v>
      </c>
      <c r="D2978" s="30">
        <v>20317</v>
      </c>
      <c r="E2978" s="30">
        <v>20376</v>
      </c>
      <c r="F2978" s="30">
        <v>20689</v>
      </c>
      <c r="G2978" s="30">
        <v>20638</v>
      </c>
      <c r="H2978" s="30">
        <v>20871</v>
      </c>
      <c r="I2978" s="30">
        <v>20863</v>
      </c>
      <c r="J2978" s="30">
        <v>21005</v>
      </c>
      <c r="K2978" s="30">
        <v>21286</v>
      </c>
      <c r="L2978" s="30">
        <v>21751</v>
      </c>
      <c r="M2978" s="30">
        <v>22136</v>
      </c>
      <c r="N2978" s="30">
        <v>22425</v>
      </c>
      <c r="O2978" s="24" t="str">
        <f t="shared" si="93"/>
        <v>Klickitat County, Washington</v>
      </c>
    </row>
    <row r="2979" spans="1:15" x14ac:dyDescent="0.25">
      <c r="A2979" s="35" t="s">
        <v>3454</v>
      </c>
      <c r="B2979" s="28" t="str">
        <f t="shared" si="92"/>
        <v>Lewis</v>
      </c>
      <c r="C2979" s="30">
        <v>75455</v>
      </c>
      <c r="D2979" s="30">
        <v>75457</v>
      </c>
      <c r="E2979" s="30">
        <v>75502</v>
      </c>
      <c r="F2979" s="30">
        <v>75668</v>
      </c>
      <c r="G2979" s="30">
        <v>75435</v>
      </c>
      <c r="H2979" s="30">
        <v>74962</v>
      </c>
      <c r="I2979" s="30">
        <v>74844</v>
      </c>
      <c r="J2979" s="30">
        <v>75437</v>
      </c>
      <c r="K2979" s="30">
        <v>76693</v>
      </c>
      <c r="L2979" s="30">
        <v>78320</v>
      </c>
      <c r="M2979" s="30">
        <v>79569</v>
      </c>
      <c r="N2979" s="30">
        <v>80707</v>
      </c>
      <c r="O2979" s="24" t="str">
        <f t="shared" si="93"/>
        <v>Lewis County, Washington</v>
      </c>
    </row>
    <row r="2980" spans="1:15" x14ac:dyDescent="0.25">
      <c r="A2980" s="35" t="s">
        <v>3455</v>
      </c>
      <c r="B2980" s="28" t="str">
        <f t="shared" si="92"/>
        <v>Lincoln</v>
      </c>
      <c r="C2980" s="30">
        <v>10570</v>
      </c>
      <c r="D2980" s="30">
        <v>10570</v>
      </c>
      <c r="E2980" s="30">
        <v>10573</v>
      </c>
      <c r="F2980" s="30">
        <v>10526</v>
      </c>
      <c r="G2980" s="30">
        <v>10429</v>
      </c>
      <c r="H2980" s="30">
        <v>10295</v>
      </c>
      <c r="I2980" s="30">
        <v>10224</v>
      </c>
      <c r="J2980" s="30">
        <v>10285</v>
      </c>
      <c r="K2980" s="30">
        <v>10335</v>
      </c>
      <c r="L2980" s="30">
        <v>10585</v>
      </c>
      <c r="M2980" s="30">
        <v>10726</v>
      </c>
      <c r="N2980" s="30">
        <v>10939</v>
      </c>
      <c r="O2980" s="24" t="str">
        <f t="shared" si="93"/>
        <v>Lincoln County, Washington</v>
      </c>
    </row>
    <row r="2981" spans="1:15" x14ac:dyDescent="0.25">
      <c r="A2981" s="35" t="s">
        <v>3456</v>
      </c>
      <c r="B2981" s="28" t="str">
        <f t="shared" si="92"/>
        <v>Mason</v>
      </c>
      <c r="C2981" s="30">
        <v>60699</v>
      </c>
      <c r="D2981" s="30">
        <v>60689</v>
      </c>
      <c r="E2981" s="30">
        <v>60733</v>
      </c>
      <c r="F2981" s="30">
        <v>60870</v>
      </c>
      <c r="G2981" s="30">
        <v>60681</v>
      </c>
      <c r="H2981" s="30">
        <v>60474</v>
      </c>
      <c r="I2981" s="30">
        <v>60604</v>
      </c>
      <c r="J2981" s="30">
        <v>60991</v>
      </c>
      <c r="K2981" s="30">
        <v>62142</v>
      </c>
      <c r="L2981" s="30">
        <v>63740</v>
      </c>
      <c r="M2981" s="30">
        <v>65380</v>
      </c>
      <c r="N2981" s="30">
        <v>66768</v>
      </c>
      <c r="O2981" s="24" t="str">
        <f t="shared" si="93"/>
        <v>Mason County, Washington</v>
      </c>
    </row>
    <row r="2982" spans="1:15" x14ac:dyDescent="0.25">
      <c r="A2982" s="35" t="s">
        <v>3457</v>
      </c>
      <c r="B2982" s="28" t="str">
        <f t="shared" si="92"/>
        <v>Okanogan</v>
      </c>
      <c r="C2982" s="30">
        <v>41120</v>
      </c>
      <c r="D2982" s="30">
        <v>41117</v>
      </c>
      <c r="E2982" s="30">
        <v>41229</v>
      </c>
      <c r="F2982" s="30">
        <v>41334</v>
      </c>
      <c r="G2982" s="30">
        <v>41183</v>
      </c>
      <c r="H2982" s="30">
        <v>41053</v>
      </c>
      <c r="I2982" s="30">
        <v>41236</v>
      </c>
      <c r="J2982" s="30">
        <v>41356</v>
      </c>
      <c r="K2982" s="30">
        <v>41579</v>
      </c>
      <c r="L2982" s="30">
        <v>41915</v>
      </c>
      <c r="M2982" s="30">
        <v>42117</v>
      </c>
      <c r="N2982" s="30">
        <v>42243</v>
      </c>
      <c r="O2982" s="24" t="str">
        <f t="shared" si="93"/>
        <v>Okanogan County, Washington</v>
      </c>
    </row>
    <row r="2983" spans="1:15" x14ac:dyDescent="0.25">
      <c r="A2983" s="35" t="s">
        <v>3458</v>
      </c>
      <c r="B2983" s="28" t="str">
        <f t="shared" si="92"/>
        <v>Pacific</v>
      </c>
      <c r="C2983" s="30">
        <v>20920</v>
      </c>
      <c r="D2983" s="30">
        <v>20919</v>
      </c>
      <c r="E2983" s="30">
        <v>20879</v>
      </c>
      <c r="F2983" s="30">
        <v>20884</v>
      </c>
      <c r="G2983" s="30">
        <v>20582</v>
      </c>
      <c r="H2983" s="30">
        <v>20442</v>
      </c>
      <c r="I2983" s="30">
        <v>20564</v>
      </c>
      <c r="J2983" s="30">
        <v>20869</v>
      </c>
      <c r="K2983" s="30">
        <v>21285</v>
      </c>
      <c r="L2983" s="30">
        <v>21742</v>
      </c>
      <c r="M2983" s="30">
        <v>22074</v>
      </c>
      <c r="N2983" s="30">
        <v>22471</v>
      </c>
      <c r="O2983" s="24" t="str">
        <f t="shared" si="93"/>
        <v>Pacific County, Washington</v>
      </c>
    </row>
    <row r="2984" spans="1:15" x14ac:dyDescent="0.25">
      <c r="A2984" s="35" t="s">
        <v>3459</v>
      </c>
      <c r="B2984" s="28" t="str">
        <f t="shared" si="92"/>
        <v>Pend Oreille</v>
      </c>
      <c r="C2984" s="30">
        <v>13001</v>
      </c>
      <c r="D2984" s="30">
        <v>13001</v>
      </c>
      <c r="E2984" s="30">
        <v>12950</v>
      </c>
      <c r="F2984" s="30">
        <v>12954</v>
      </c>
      <c r="G2984" s="30">
        <v>13003</v>
      </c>
      <c r="H2984" s="30">
        <v>12885</v>
      </c>
      <c r="I2984" s="30">
        <v>12919</v>
      </c>
      <c r="J2984" s="30">
        <v>13087</v>
      </c>
      <c r="K2984" s="30">
        <v>13131</v>
      </c>
      <c r="L2984" s="30">
        <v>13358</v>
      </c>
      <c r="M2984" s="30">
        <v>13586</v>
      </c>
      <c r="N2984" s="30">
        <v>13724</v>
      </c>
      <c r="O2984" s="24" t="str">
        <f t="shared" si="93"/>
        <v>Pend Oreille County, Washington</v>
      </c>
    </row>
    <row r="2985" spans="1:15" x14ac:dyDescent="0.25">
      <c r="A2985" s="35" t="s">
        <v>3460</v>
      </c>
      <c r="B2985" s="28" t="str">
        <f t="shared" si="92"/>
        <v>Pierce</v>
      </c>
      <c r="C2985" s="30">
        <v>795225</v>
      </c>
      <c r="D2985" s="30">
        <v>795222</v>
      </c>
      <c r="E2985" s="30">
        <v>795390</v>
      </c>
      <c r="F2985" s="30">
        <v>807623</v>
      </c>
      <c r="G2985" s="30">
        <v>815535</v>
      </c>
      <c r="H2985" s="30">
        <v>821012</v>
      </c>
      <c r="I2985" s="30">
        <v>832696</v>
      </c>
      <c r="J2985" s="30">
        <v>843778</v>
      </c>
      <c r="K2985" s="30">
        <v>862895</v>
      </c>
      <c r="L2985" s="30">
        <v>879654</v>
      </c>
      <c r="M2985" s="30">
        <v>893756</v>
      </c>
      <c r="N2985" s="30">
        <v>904980</v>
      </c>
      <c r="O2985" s="24" t="str">
        <f t="shared" si="93"/>
        <v>Pierce County, Washington</v>
      </c>
    </row>
    <row r="2986" spans="1:15" x14ac:dyDescent="0.25">
      <c r="A2986" s="35" t="s">
        <v>3461</v>
      </c>
      <c r="B2986" s="28" t="str">
        <f t="shared" si="92"/>
        <v>San Juan</v>
      </c>
      <c r="C2986" s="30">
        <v>15769</v>
      </c>
      <c r="D2986" s="30">
        <v>15768</v>
      </c>
      <c r="E2986" s="30">
        <v>15783</v>
      </c>
      <c r="F2986" s="30">
        <v>15845</v>
      </c>
      <c r="G2986" s="30">
        <v>15848</v>
      </c>
      <c r="H2986" s="30">
        <v>15909</v>
      </c>
      <c r="I2986" s="30">
        <v>16009</v>
      </c>
      <c r="J2986" s="30">
        <v>16198</v>
      </c>
      <c r="K2986" s="30">
        <v>16309</v>
      </c>
      <c r="L2986" s="30">
        <v>16729</v>
      </c>
      <c r="M2986" s="30">
        <v>17124</v>
      </c>
      <c r="N2986" s="30">
        <v>17582</v>
      </c>
      <c r="O2986" s="24" t="str">
        <f t="shared" si="93"/>
        <v>San Juan County, Washington</v>
      </c>
    </row>
    <row r="2987" spans="1:15" x14ac:dyDescent="0.25">
      <c r="A2987" s="35" t="s">
        <v>3462</v>
      </c>
      <c r="B2987" s="28" t="str">
        <f t="shared" si="92"/>
        <v>Skagit</v>
      </c>
      <c r="C2987" s="30">
        <v>116901</v>
      </c>
      <c r="D2987" s="30">
        <v>116892</v>
      </c>
      <c r="E2987" s="30">
        <v>116944</v>
      </c>
      <c r="F2987" s="30">
        <v>117578</v>
      </c>
      <c r="G2987" s="30">
        <v>117714</v>
      </c>
      <c r="H2987" s="30">
        <v>118255</v>
      </c>
      <c r="I2987" s="30">
        <v>119966</v>
      </c>
      <c r="J2987" s="30">
        <v>121559</v>
      </c>
      <c r="K2987" s="30">
        <v>123603</v>
      </c>
      <c r="L2987" s="30">
        <v>125860</v>
      </c>
      <c r="M2987" s="30">
        <v>127835</v>
      </c>
      <c r="N2987" s="30">
        <v>129205</v>
      </c>
      <c r="O2987" s="24" t="str">
        <f t="shared" si="93"/>
        <v>Skagit County, Washington</v>
      </c>
    </row>
    <row r="2988" spans="1:15" x14ac:dyDescent="0.25">
      <c r="A2988" s="35" t="s">
        <v>3463</v>
      </c>
      <c r="B2988" s="28" t="str">
        <f t="shared" si="92"/>
        <v>Skamania</v>
      </c>
      <c r="C2988" s="30">
        <v>11066</v>
      </c>
      <c r="D2988" s="30">
        <v>11070</v>
      </c>
      <c r="E2988" s="30">
        <v>11116</v>
      </c>
      <c r="F2988" s="30">
        <v>11154</v>
      </c>
      <c r="G2988" s="30">
        <v>11200</v>
      </c>
      <c r="H2988" s="30">
        <v>11308</v>
      </c>
      <c r="I2988" s="30">
        <v>11377</v>
      </c>
      <c r="J2988" s="30">
        <v>11375</v>
      </c>
      <c r="K2988" s="30">
        <v>11581</v>
      </c>
      <c r="L2988" s="30">
        <v>11809</v>
      </c>
      <c r="M2988" s="30">
        <v>11919</v>
      </c>
      <c r="N2988" s="30">
        <v>12083</v>
      </c>
      <c r="O2988" s="24" t="str">
        <f t="shared" si="93"/>
        <v>Skamania County, Washington</v>
      </c>
    </row>
    <row r="2989" spans="1:15" x14ac:dyDescent="0.25">
      <c r="A2989" s="35" t="s">
        <v>3464</v>
      </c>
      <c r="B2989" s="28" t="str">
        <f t="shared" si="92"/>
        <v>Snohomish</v>
      </c>
      <c r="C2989" s="30">
        <v>713335</v>
      </c>
      <c r="D2989" s="30">
        <v>713299</v>
      </c>
      <c r="E2989" s="30">
        <v>715500</v>
      </c>
      <c r="F2989" s="30">
        <v>722068</v>
      </c>
      <c r="G2989" s="30">
        <v>732097</v>
      </c>
      <c r="H2989" s="30">
        <v>744112</v>
      </c>
      <c r="I2989" s="30">
        <v>757239</v>
      </c>
      <c r="J2989" s="30">
        <v>769698</v>
      </c>
      <c r="K2989" s="30">
        <v>787110</v>
      </c>
      <c r="L2989" s="30">
        <v>802089</v>
      </c>
      <c r="M2989" s="30">
        <v>813059</v>
      </c>
      <c r="N2989" s="30">
        <v>822083</v>
      </c>
      <c r="O2989" s="24" t="str">
        <f t="shared" si="93"/>
        <v>Snohomish County, Washington</v>
      </c>
    </row>
    <row r="2990" spans="1:15" x14ac:dyDescent="0.25">
      <c r="A2990" s="35" t="s">
        <v>3465</v>
      </c>
      <c r="B2990" s="28" t="str">
        <f t="shared" si="92"/>
        <v>Spokane</v>
      </c>
      <c r="C2990" s="30">
        <v>471221</v>
      </c>
      <c r="D2990" s="30">
        <v>471220</v>
      </c>
      <c r="E2990" s="30">
        <v>472081</v>
      </c>
      <c r="F2990" s="30">
        <v>473436</v>
      </c>
      <c r="G2990" s="30">
        <v>475447</v>
      </c>
      <c r="H2990" s="30">
        <v>478332</v>
      </c>
      <c r="I2990" s="30">
        <v>482857</v>
      </c>
      <c r="J2990" s="30">
        <v>488610</v>
      </c>
      <c r="K2990" s="30">
        <v>496889</v>
      </c>
      <c r="L2990" s="30">
        <v>505623</v>
      </c>
      <c r="M2990" s="30">
        <v>513603</v>
      </c>
      <c r="N2990" s="30">
        <v>522798</v>
      </c>
      <c r="O2990" s="24" t="str">
        <f t="shared" si="93"/>
        <v>Spokane County, Washington</v>
      </c>
    </row>
    <row r="2991" spans="1:15" x14ac:dyDescent="0.25">
      <c r="A2991" s="35" t="s">
        <v>3466</v>
      </c>
      <c r="B2991" s="28" t="str">
        <f t="shared" si="92"/>
        <v>Stevens</v>
      </c>
      <c r="C2991" s="30">
        <v>43531</v>
      </c>
      <c r="D2991" s="30">
        <v>43532</v>
      </c>
      <c r="E2991" s="30">
        <v>43472</v>
      </c>
      <c r="F2991" s="30">
        <v>43453</v>
      </c>
      <c r="G2991" s="30">
        <v>43483</v>
      </c>
      <c r="H2991" s="30">
        <v>43271</v>
      </c>
      <c r="I2991" s="30">
        <v>43479</v>
      </c>
      <c r="J2991" s="30">
        <v>43553</v>
      </c>
      <c r="K2991" s="30">
        <v>44141</v>
      </c>
      <c r="L2991" s="30">
        <v>44636</v>
      </c>
      <c r="M2991" s="30">
        <v>45224</v>
      </c>
      <c r="N2991" s="30">
        <v>45723</v>
      </c>
      <c r="O2991" s="24" t="str">
        <f t="shared" si="93"/>
        <v>Stevens County, Washington</v>
      </c>
    </row>
    <row r="2992" spans="1:15" x14ac:dyDescent="0.25">
      <c r="A2992" s="35" t="s">
        <v>3467</v>
      </c>
      <c r="B2992" s="28" t="str">
        <f t="shared" si="92"/>
        <v>Thurston</v>
      </c>
      <c r="C2992" s="30">
        <v>252264</v>
      </c>
      <c r="D2992" s="30">
        <v>252260</v>
      </c>
      <c r="E2992" s="30">
        <v>253001</v>
      </c>
      <c r="F2992" s="30">
        <v>256386</v>
      </c>
      <c r="G2992" s="30">
        <v>258527</v>
      </c>
      <c r="H2992" s="30">
        <v>261852</v>
      </c>
      <c r="I2992" s="30">
        <v>264909</v>
      </c>
      <c r="J2992" s="30">
        <v>267978</v>
      </c>
      <c r="K2992" s="30">
        <v>273714</v>
      </c>
      <c r="L2992" s="30">
        <v>280269</v>
      </c>
      <c r="M2992" s="30">
        <v>286056</v>
      </c>
      <c r="N2992" s="30">
        <v>290536</v>
      </c>
      <c r="O2992" s="24" t="str">
        <f t="shared" si="93"/>
        <v>Thurston County, Washington</v>
      </c>
    </row>
    <row r="2993" spans="1:15" x14ac:dyDescent="0.25">
      <c r="A2993" s="35" t="s">
        <v>3468</v>
      </c>
      <c r="B2993" s="28" t="str">
        <f t="shared" si="92"/>
        <v>Wahkiakum</v>
      </c>
      <c r="C2993" s="30">
        <v>3978</v>
      </c>
      <c r="D2993" s="30">
        <v>3979</v>
      </c>
      <c r="E2993" s="30">
        <v>3983</v>
      </c>
      <c r="F2993" s="30">
        <v>3992</v>
      </c>
      <c r="G2993" s="30">
        <v>4000</v>
      </c>
      <c r="H2993" s="30">
        <v>4034</v>
      </c>
      <c r="I2993" s="30">
        <v>4043</v>
      </c>
      <c r="J2993" s="30">
        <v>4023</v>
      </c>
      <c r="K2993" s="30">
        <v>4161</v>
      </c>
      <c r="L2993" s="30">
        <v>4251</v>
      </c>
      <c r="M2993" s="30">
        <v>4415</v>
      </c>
      <c r="N2993" s="30">
        <v>4488</v>
      </c>
      <c r="O2993" s="24" t="str">
        <f t="shared" si="93"/>
        <v>Wahkiakum County, Washington</v>
      </c>
    </row>
    <row r="2994" spans="1:15" x14ac:dyDescent="0.25">
      <c r="A2994" s="35" t="s">
        <v>3469</v>
      </c>
      <c r="B2994" s="28" t="str">
        <f t="shared" si="92"/>
        <v>Walla Walla</v>
      </c>
      <c r="C2994" s="30">
        <v>58781</v>
      </c>
      <c r="D2994" s="30">
        <v>58781</v>
      </c>
      <c r="E2994" s="30">
        <v>58915</v>
      </c>
      <c r="F2994" s="30">
        <v>59444</v>
      </c>
      <c r="G2994" s="30">
        <v>59329</v>
      </c>
      <c r="H2994" s="30">
        <v>59361</v>
      </c>
      <c r="I2994" s="30">
        <v>59510</v>
      </c>
      <c r="J2994" s="30">
        <v>59932</v>
      </c>
      <c r="K2994" s="30">
        <v>60008</v>
      </c>
      <c r="L2994" s="30">
        <v>60512</v>
      </c>
      <c r="M2994" s="30">
        <v>60615</v>
      </c>
      <c r="N2994" s="30">
        <v>60760</v>
      </c>
      <c r="O2994" s="24" t="str">
        <f t="shared" si="93"/>
        <v>Walla Walla County, Washington</v>
      </c>
    </row>
    <row r="2995" spans="1:15" x14ac:dyDescent="0.25">
      <c r="A2995" s="35" t="s">
        <v>3470</v>
      </c>
      <c r="B2995" s="28" t="str">
        <f t="shared" si="92"/>
        <v>Whatcom</v>
      </c>
      <c r="C2995" s="30">
        <v>201140</v>
      </c>
      <c r="D2995" s="30">
        <v>201146</v>
      </c>
      <c r="E2995" s="30">
        <v>201545</v>
      </c>
      <c r="F2995" s="30">
        <v>203490</v>
      </c>
      <c r="G2995" s="30">
        <v>204863</v>
      </c>
      <c r="H2995" s="30">
        <v>206073</v>
      </c>
      <c r="I2995" s="30">
        <v>208154</v>
      </c>
      <c r="J2995" s="30">
        <v>211836</v>
      </c>
      <c r="K2995" s="30">
        <v>216417</v>
      </c>
      <c r="L2995" s="30">
        <v>221410</v>
      </c>
      <c r="M2995" s="30">
        <v>225197</v>
      </c>
      <c r="N2995" s="30">
        <v>229247</v>
      </c>
      <c r="O2995" s="24" t="str">
        <f t="shared" si="93"/>
        <v>Whatcom County, Washington</v>
      </c>
    </row>
    <row r="2996" spans="1:15" x14ac:dyDescent="0.25">
      <c r="A2996" s="35" t="s">
        <v>3471</v>
      </c>
      <c r="B2996" s="28" t="str">
        <f t="shared" si="92"/>
        <v>Whitman</v>
      </c>
      <c r="C2996" s="30">
        <v>44776</v>
      </c>
      <c r="D2996" s="30">
        <v>44778</v>
      </c>
      <c r="E2996" s="30">
        <v>44796</v>
      </c>
      <c r="F2996" s="30">
        <v>45056</v>
      </c>
      <c r="G2996" s="30">
        <v>46633</v>
      </c>
      <c r="H2996" s="30">
        <v>46792</v>
      </c>
      <c r="I2996" s="30">
        <v>46918</v>
      </c>
      <c r="J2996" s="30">
        <v>48164</v>
      </c>
      <c r="K2996" s="30">
        <v>48824</v>
      </c>
      <c r="L2996" s="30">
        <v>49382</v>
      </c>
      <c r="M2996" s="30">
        <v>49683</v>
      </c>
      <c r="N2996" s="30">
        <v>50104</v>
      </c>
      <c r="O2996" s="24" t="str">
        <f t="shared" si="93"/>
        <v>Whitman County, Washington</v>
      </c>
    </row>
    <row r="2997" spans="1:15" x14ac:dyDescent="0.25">
      <c r="A2997" s="35" t="s">
        <v>3472</v>
      </c>
      <c r="B2997" s="28" t="str">
        <f t="shared" si="92"/>
        <v>Yakima</v>
      </c>
      <c r="C2997" s="30">
        <v>243231</v>
      </c>
      <c r="D2997" s="30">
        <v>243240</v>
      </c>
      <c r="E2997" s="30">
        <v>244256</v>
      </c>
      <c r="F2997" s="30">
        <v>245926</v>
      </c>
      <c r="G2997" s="30">
        <v>246127</v>
      </c>
      <c r="H2997" s="30">
        <v>246485</v>
      </c>
      <c r="I2997" s="30">
        <v>246870</v>
      </c>
      <c r="J2997" s="30">
        <v>247800</v>
      </c>
      <c r="K2997" s="30">
        <v>249327</v>
      </c>
      <c r="L2997" s="30">
        <v>249922</v>
      </c>
      <c r="M2997" s="30">
        <v>250562</v>
      </c>
      <c r="N2997" s="30">
        <v>250873</v>
      </c>
      <c r="O2997" s="24" t="str">
        <f t="shared" si="93"/>
        <v>Yakima County, Washington</v>
      </c>
    </row>
    <row r="2998" spans="1:15" x14ac:dyDescent="0.25">
      <c r="A2998" s="35" t="s">
        <v>3473</v>
      </c>
      <c r="B2998" s="28" t="str">
        <f t="shared" si="92"/>
        <v>Barbour</v>
      </c>
      <c r="C2998" s="30">
        <v>16589</v>
      </c>
      <c r="D2998" s="30">
        <v>16587</v>
      </c>
      <c r="E2998" s="30">
        <v>16610</v>
      </c>
      <c r="F2998" s="30">
        <v>16600</v>
      </c>
      <c r="G2998" s="30">
        <v>16869</v>
      </c>
      <c r="H2998" s="30">
        <v>16871</v>
      </c>
      <c r="I2998" s="30">
        <v>16902</v>
      </c>
      <c r="J2998" s="30">
        <v>16973</v>
      </c>
      <c r="K2998" s="30">
        <v>16749</v>
      </c>
      <c r="L2998" s="30">
        <v>16515</v>
      </c>
      <c r="M2998" s="30">
        <v>16487</v>
      </c>
      <c r="N2998" s="30">
        <v>16441</v>
      </c>
      <c r="O2998" s="24" t="str">
        <f t="shared" si="93"/>
        <v>Barbour County, West Virginia</v>
      </c>
    </row>
    <row r="2999" spans="1:15" x14ac:dyDescent="0.25">
      <c r="A2999" s="35" t="s">
        <v>3474</v>
      </c>
      <c r="B2999" s="28" t="str">
        <f t="shared" si="92"/>
        <v>Berkeley</v>
      </c>
      <c r="C2999" s="30">
        <v>104169</v>
      </c>
      <c r="D2999" s="30">
        <v>104188</v>
      </c>
      <c r="E2999" s="30">
        <v>104621</v>
      </c>
      <c r="F2999" s="30">
        <v>105743</v>
      </c>
      <c r="G2999" s="30">
        <v>106965</v>
      </c>
      <c r="H2999" s="30">
        <v>108495</v>
      </c>
      <c r="I2999" s="30">
        <v>110191</v>
      </c>
      <c r="J2999" s="30">
        <v>111678</v>
      </c>
      <c r="K2999" s="30">
        <v>113489</v>
      </c>
      <c r="L2999" s="30">
        <v>115073</v>
      </c>
      <c r="M2999" s="30">
        <v>117236</v>
      </c>
      <c r="N2999" s="30">
        <v>119171</v>
      </c>
      <c r="O2999" s="24" t="str">
        <f t="shared" si="93"/>
        <v>Berkeley County, West Virginia</v>
      </c>
    </row>
    <row r="3000" spans="1:15" x14ac:dyDescent="0.25">
      <c r="A3000" s="35" t="s">
        <v>3475</v>
      </c>
      <c r="B3000" s="28" t="str">
        <f t="shared" si="92"/>
        <v>Boone</v>
      </c>
      <c r="C3000" s="30">
        <v>24629</v>
      </c>
      <c r="D3000" s="30">
        <v>24625</v>
      </c>
      <c r="E3000" s="30">
        <v>24608</v>
      </c>
      <c r="F3000" s="30">
        <v>24412</v>
      </c>
      <c r="G3000" s="30">
        <v>24358</v>
      </c>
      <c r="H3000" s="30">
        <v>24089</v>
      </c>
      <c r="I3000" s="30">
        <v>23716</v>
      </c>
      <c r="J3000" s="30">
        <v>23252</v>
      </c>
      <c r="K3000" s="30">
        <v>22809</v>
      </c>
      <c r="L3000" s="30">
        <v>22369</v>
      </c>
      <c r="M3000" s="30">
        <v>21953</v>
      </c>
      <c r="N3000" s="30">
        <v>21457</v>
      </c>
      <c r="O3000" s="24" t="str">
        <f t="shared" si="93"/>
        <v>Boone County, West Virginia</v>
      </c>
    </row>
    <row r="3001" spans="1:15" x14ac:dyDescent="0.25">
      <c r="A3001" s="35" t="s">
        <v>3476</v>
      </c>
      <c r="B3001" s="28" t="str">
        <f t="shared" si="92"/>
        <v>Braxton</v>
      </c>
      <c r="C3001" s="30">
        <v>14523</v>
      </c>
      <c r="D3001" s="30">
        <v>14519</v>
      </c>
      <c r="E3001" s="30">
        <v>14545</v>
      </c>
      <c r="F3001" s="30">
        <v>14535</v>
      </c>
      <c r="G3001" s="30">
        <v>14451</v>
      </c>
      <c r="H3001" s="30">
        <v>14385</v>
      </c>
      <c r="I3001" s="30">
        <v>14405</v>
      </c>
      <c r="J3001" s="30">
        <v>14375</v>
      </c>
      <c r="K3001" s="30">
        <v>14323</v>
      </c>
      <c r="L3001" s="30">
        <v>14217</v>
      </c>
      <c r="M3001" s="30">
        <v>14076</v>
      </c>
      <c r="N3001" s="30">
        <v>13957</v>
      </c>
      <c r="O3001" s="24" t="str">
        <f t="shared" si="93"/>
        <v>Braxton County, West Virginia</v>
      </c>
    </row>
    <row r="3002" spans="1:15" x14ac:dyDescent="0.25">
      <c r="A3002" s="35" t="s">
        <v>3477</v>
      </c>
      <c r="B3002" s="28" t="str">
        <f t="shared" si="92"/>
        <v>Brooke</v>
      </c>
      <c r="C3002" s="30">
        <v>24069</v>
      </c>
      <c r="D3002" s="30">
        <v>24051</v>
      </c>
      <c r="E3002" s="30">
        <v>23978</v>
      </c>
      <c r="F3002" s="30">
        <v>23814</v>
      </c>
      <c r="G3002" s="30">
        <v>23677</v>
      </c>
      <c r="H3002" s="30">
        <v>23589</v>
      </c>
      <c r="I3002" s="30">
        <v>23368</v>
      </c>
      <c r="J3002" s="30">
        <v>23190</v>
      </c>
      <c r="K3002" s="30">
        <v>22663</v>
      </c>
      <c r="L3002" s="30">
        <v>22373</v>
      </c>
      <c r="M3002" s="30">
        <v>22129</v>
      </c>
      <c r="N3002" s="30">
        <v>21939</v>
      </c>
      <c r="O3002" s="24" t="str">
        <f t="shared" si="93"/>
        <v>Brooke County, West Virginia</v>
      </c>
    </row>
    <row r="3003" spans="1:15" x14ac:dyDescent="0.25">
      <c r="A3003" s="35" t="s">
        <v>3478</v>
      </c>
      <c r="B3003" s="28" t="str">
        <f t="shared" si="92"/>
        <v>Cabell</v>
      </c>
      <c r="C3003" s="30">
        <v>96319</v>
      </c>
      <c r="D3003" s="30">
        <v>96295</v>
      </c>
      <c r="E3003" s="30">
        <v>96322</v>
      </c>
      <c r="F3003" s="30">
        <v>96612</v>
      </c>
      <c r="G3003" s="30">
        <v>96949</v>
      </c>
      <c r="H3003" s="30">
        <v>97026</v>
      </c>
      <c r="I3003" s="30">
        <v>96639</v>
      </c>
      <c r="J3003" s="30">
        <v>96582</v>
      </c>
      <c r="K3003" s="30">
        <v>95681</v>
      </c>
      <c r="L3003" s="30">
        <v>94452</v>
      </c>
      <c r="M3003" s="30">
        <v>93035</v>
      </c>
      <c r="N3003" s="30">
        <v>91945</v>
      </c>
      <c r="O3003" s="24" t="str">
        <f t="shared" si="93"/>
        <v>Cabell County, West Virginia</v>
      </c>
    </row>
    <row r="3004" spans="1:15" x14ac:dyDescent="0.25">
      <c r="A3004" s="35" t="s">
        <v>3479</v>
      </c>
      <c r="B3004" s="28" t="str">
        <f t="shared" si="92"/>
        <v>Calhoun</v>
      </c>
      <c r="C3004" s="30">
        <v>7627</v>
      </c>
      <c r="D3004" s="30">
        <v>7627</v>
      </c>
      <c r="E3004" s="30">
        <v>7656</v>
      </c>
      <c r="F3004" s="30">
        <v>7637</v>
      </c>
      <c r="G3004" s="30">
        <v>7594</v>
      </c>
      <c r="H3004" s="30">
        <v>7548</v>
      </c>
      <c r="I3004" s="30">
        <v>7557</v>
      </c>
      <c r="J3004" s="30">
        <v>7463</v>
      </c>
      <c r="K3004" s="30">
        <v>7374</v>
      </c>
      <c r="L3004" s="30">
        <v>7310</v>
      </c>
      <c r="M3004" s="30">
        <v>7217</v>
      </c>
      <c r="N3004" s="30">
        <v>7109</v>
      </c>
      <c r="O3004" s="24" t="str">
        <f t="shared" si="93"/>
        <v>Calhoun County, West Virginia</v>
      </c>
    </row>
    <row r="3005" spans="1:15" x14ac:dyDescent="0.25">
      <c r="A3005" s="35" t="s">
        <v>3480</v>
      </c>
      <c r="B3005" s="28" t="str">
        <f t="shared" si="92"/>
        <v>Clay</v>
      </c>
      <c r="C3005" s="30">
        <v>9386</v>
      </c>
      <c r="D3005" s="30">
        <v>9384</v>
      </c>
      <c r="E3005" s="30">
        <v>9373</v>
      </c>
      <c r="F3005" s="30">
        <v>9334</v>
      </c>
      <c r="G3005" s="30">
        <v>9208</v>
      </c>
      <c r="H3005" s="30">
        <v>9139</v>
      </c>
      <c r="I3005" s="30">
        <v>8881</v>
      </c>
      <c r="J3005" s="30">
        <v>8875</v>
      </c>
      <c r="K3005" s="30">
        <v>8829</v>
      </c>
      <c r="L3005" s="30">
        <v>8693</v>
      </c>
      <c r="M3005" s="30">
        <v>8639</v>
      </c>
      <c r="N3005" s="30">
        <v>8508</v>
      </c>
      <c r="O3005" s="24" t="str">
        <f t="shared" si="93"/>
        <v>Clay County, West Virginia</v>
      </c>
    </row>
    <row r="3006" spans="1:15" x14ac:dyDescent="0.25">
      <c r="A3006" s="35" t="s">
        <v>3481</v>
      </c>
      <c r="B3006" s="28" t="str">
        <f t="shared" si="92"/>
        <v>Doddridge</v>
      </c>
      <c r="C3006" s="30">
        <v>8202</v>
      </c>
      <c r="D3006" s="30">
        <v>8201</v>
      </c>
      <c r="E3006" s="30">
        <v>8198</v>
      </c>
      <c r="F3006" s="30">
        <v>8252</v>
      </c>
      <c r="G3006" s="30">
        <v>8296</v>
      </c>
      <c r="H3006" s="30">
        <v>8549</v>
      </c>
      <c r="I3006" s="30">
        <v>8471</v>
      </c>
      <c r="J3006" s="30">
        <v>8703</v>
      </c>
      <c r="K3006" s="30">
        <v>8576</v>
      </c>
      <c r="L3006" s="30">
        <v>8518</v>
      </c>
      <c r="M3006" s="30">
        <v>8556</v>
      </c>
      <c r="N3006" s="30">
        <v>8448</v>
      </c>
      <c r="O3006" s="24" t="str">
        <f t="shared" si="93"/>
        <v>Doddridge County, West Virginia</v>
      </c>
    </row>
    <row r="3007" spans="1:15" x14ac:dyDescent="0.25">
      <c r="A3007" s="35" t="s">
        <v>3482</v>
      </c>
      <c r="B3007" s="28" t="str">
        <f t="shared" si="92"/>
        <v>Fayette</v>
      </c>
      <c r="C3007" s="30">
        <v>46039</v>
      </c>
      <c r="D3007" s="30">
        <v>46049</v>
      </c>
      <c r="E3007" s="30">
        <v>46030</v>
      </c>
      <c r="F3007" s="30">
        <v>45921</v>
      </c>
      <c r="G3007" s="30">
        <v>45861</v>
      </c>
      <c r="H3007" s="30">
        <v>45557</v>
      </c>
      <c r="I3007" s="30">
        <v>45159</v>
      </c>
      <c r="J3007" s="30">
        <v>44707</v>
      </c>
      <c r="K3007" s="30">
        <v>44179</v>
      </c>
      <c r="L3007" s="30">
        <v>43607</v>
      </c>
      <c r="M3007" s="30">
        <v>42982</v>
      </c>
      <c r="N3007" s="30">
        <v>42406</v>
      </c>
      <c r="O3007" s="24" t="str">
        <f t="shared" si="93"/>
        <v>Fayette County, West Virginia</v>
      </c>
    </row>
    <row r="3008" spans="1:15" x14ac:dyDescent="0.25">
      <c r="A3008" s="35" t="s">
        <v>3483</v>
      </c>
      <c r="B3008" s="28" t="str">
        <f t="shared" si="92"/>
        <v>Gilmer</v>
      </c>
      <c r="C3008" s="30">
        <v>8693</v>
      </c>
      <c r="D3008" s="30">
        <v>8695</v>
      </c>
      <c r="E3008" s="30">
        <v>8731</v>
      </c>
      <c r="F3008" s="30">
        <v>8751</v>
      </c>
      <c r="G3008" s="30">
        <v>8748</v>
      </c>
      <c r="H3008" s="30">
        <v>8622</v>
      </c>
      <c r="I3008" s="30">
        <v>8498</v>
      </c>
      <c r="J3008" s="30">
        <v>8306</v>
      </c>
      <c r="K3008" s="30">
        <v>8134</v>
      </c>
      <c r="L3008" s="30">
        <v>8042</v>
      </c>
      <c r="M3008" s="30">
        <v>7898</v>
      </c>
      <c r="N3008" s="30">
        <v>7823</v>
      </c>
      <c r="O3008" s="24" t="str">
        <f t="shared" si="93"/>
        <v>Gilmer County, West Virginia</v>
      </c>
    </row>
    <row r="3009" spans="1:15" x14ac:dyDescent="0.25">
      <c r="A3009" s="35" t="s">
        <v>3484</v>
      </c>
      <c r="B3009" s="28" t="str">
        <f t="shared" si="92"/>
        <v>Grant</v>
      </c>
      <c r="C3009" s="30">
        <v>11937</v>
      </c>
      <c r="D3009" s="30">
        <v>11920</v>
      </c>
      <c r="E3009" s="30">
        <v>11893</v>
      </c>
      <c r="F3009" s="30">
        <v>11883</v>
      </c>
      <c r="G3009" s="30">
        <v>11802</v>
      </c>
      <c r="H3009" s="30">
        <v>11740</v>
      </c>
      <c r="I3009" s="30">
        <v>11617</v>
      </c>
      <c r="J3009" s="30">
        <v>11651</v>
      </c>
      <c r="K3009" s="30">
        <v>11602</v>
      </c>
      <c r="L3009" s="30">
        <v>11627</v>
      </c>
      <c r="M3009" s="30">
        <v>11630</v>
      </c>
      <c r="N3009" s="30">
        <v>11568</v>
      </c>
      <c r="O3009" s="24" t="str">
        <f t="shared" si="93"/>
        <v>Grant County, West Virginia</v>
      </c>
    </row>
    <row r="3010" spans="1:15" x14ac:dyDescent="0.25">
      <c r="A3010" s="35" t="s">
        <v>3485</v>
      </c>
      <c r="B3010" s="28" t="str">
        <f t="shared" si="92"/>
        <v>Greenbrier</v>
      </c>
      <c r="C3010" s="30">
        <v>35480</v>
      </c>
      <c r="D3010" s="30">
        <v>35483</v>
      </c>
      <c r="E3010" s="30">
        <v>35548</v>
      </c>
      <c r="F3010" s="30">
        <v>35732</v>
      </c>
      <c r="G3010" s="30">
        <v>35877</v>
      </c>
      <c r="H3010" s="30">
        <v>35798</v>
      </c>
      <c r="I3010" s="30">
        <v>35579</v>
      </c>
      <c r="J3010" s="30">
        <v>35580</v>
      </c>
      <c r="K3010" s="30">
        <v>35532</v>
      </c>
      <c r="L3010" s="30">
        <v>35208</v>
      </c>
      <c r="M3010" s="30">
        <v>34792</v>
      </c>
      <c r="N3010" s="30">
        <v>34662</v>
      </c>
      <c r="O3010" s="24" t="str">
        <f t="shared" si="93"/>
        <v>Greenbrier County, West Virginia</v>
      </c>
    </row>
    <row r="3011" spans="1:15" x14ac:dyDescent="0.25">
      <c r="A3011" s="35" t="s">
        <v>3486</v>
      </c>
      <c r="B3011" s="28" t="str">
        <f t="shared" si="92"/>
        <v>Hampshire</v>
      </c>
      <c r="C3011" s="30">
        <v>23964</v>
      </c>
      <c r="D3011" s="30">
        <v>23960</v>
      </c>
      <c r="E3011" s="30">
        <v>23952</v>
      </c>
      <c r="F3011" s="30">
        <v>23782</v>
      </c>
      <c r="G3011" s="30">
        <v>23673</v>
      </c>
      <c r="H3011" s="30">
        <v>23483</v>
      </c>
      <c r="I3011" s="30">
        <v>23430</v>
      </c>
      <c r="J3011" s="30">
        <v>23311</v>
      </c>
      <c r="K3011" s="30">
        <v>23316</v>
      </c>
      <c r="L3011" s="30">
        <v>23386</v>
      </c>
      <c r="M3011" s="30">
        <v>23357</v>
      </c>
      <c r="N3011" s="30">
        <v>23175</v>
      </c>
      <c r="O3011" s="24" t="str">
        <f t="shared" si="93"/>
        <v>Hampshire County, West Virginia</v>
      </c>
    </row>
    <row r="3012" spans="1:15" x14ac:dyDescent="0.25">
      <c r="A3012" s="35" t="s">
        <v>3487</v>
      </c>
      <c r="B3012" s="28" t="str">
        <f t="shared" si="92"/>
        <v>Hancock</v>
      </c>
      <c r="C3012" s="30">
        <v>30676</v>
      </c>
      <c r="D3012" s="30">
        <v>30688</v>
      </c>
      <c r="E3012" s="30">
        <v>30681</v>
      </c>
      <c r="F3012" s="30">
        <v>30633</v>
      </c>
      <c r="G3012" s="30">
        <v>30465</v>
      </c>
      <c r="H3012" s="30">
        <v>30382</v>
      </c>
      <c r="I3012" s="30">
        <v>30263</v>
      </c>
      <c r="J3012" s="30">
        <v>29980</v>
      </c>
      <c r="K3012" s="30">
        <v>29662</v>
      </c>
      <c r="L3012" s="30">
        <v>29383</v>
      </c>
      <c r="M3012" s="30">
        <v>29079</v>
      </c>
      <c r="N3012" s="30">
        <v>28810</v>
      </c>
      <c r="O3012" s="24" t="str">
        <f t="shared" si="93"/>
        <v>Hancock County, West Virginia</v>
      </c>
    </row>
    <row r="3013" spans="1:15" x14ac:dyDescent="0.25">
      <c r="A3013" s="35" t="s">
        <v>3488</v>
      </c>
      <c r="B3013" s="28" t="str">
        <f t="shared" si="92"/>
        <v>Hardy</v>
      </c>
      <c r="C3013" s="30">
        <v>14025</v>
      </c>
      <c r="D3013" s="30">
        <v>14027</v>
      </c>
      <c r="E3013" s="30">
        <v>14044</v>
      </c>
      <c r="F3013" s="30">
        <v>13962</v>
      </c>
      <c r="G3013" s="30">
        <v>13849</v>
      </c>
      <c r="H3013" s="30">
        <v>13968</v>
      </c>
      <c r="I3013" s="30">
        <v>13956</v>
      </c>
      <c r="J3013" s="30">
        <v>13826</v>
      </c>
      <c r="K3013" s="30">
        <v>13812</v>
      </c>
      <c r="L3013" s="30">
        <v>13849</v>
      </c>
      <c r="M3013" s="30">
        <v>13764</v>
      </c>
      <c r="N3013" s="30">
        <v>13776</v>
      </c>
      <c r="O3013" s="24" t="str">
        <f t="shared" si="93"/>
        <v>Hardy County, West Virginia</v>
      </c>
    </row>
    <row r="3014" spans="1:15" x14ac:dyDescent="0.25">
      <c r="A3014" s="35" t="s">
        <v>3489</v>
      </c>
      <c r="B3014" s="28" t="str">
        <f t="shared" si="92"/>
        <v>Harrison</v>
      </c>
      <c r="C3014" s="30">
        <v>69099</v>
      </c>
      <c r="D3014" s="30">
        <v>69094</v>
      </c>
      <c r="E3014" s="30">
        <v>69249</v>
      </c>
      <c r="F3014" s="30">
        <v>69302</v>
      </c>
      <c r="G3014" s="30">
        <v>69098</v>
      </c>
      <c r="H3014" s="30">
        <v>68907</v>
      </c>
      <c r="I3014" s="30">
        <v>68670</v>
      </c>
      <c r="J3014" s="30">
        <v>68535</v>
      </c>
      <c r="K3014" s="30">
        <v>68349</v>
      </c>
      <c r="L3014" s="30">
        <v>67905</v>
      </c>
      <c r="M3014" s="30">
        <v>67494</v>
      </c>
      <c r="N3014" s="30">
        <v>67256</v>
      </c>
      <c r="O3014" s="24" t="str">
        <f t="shared" si="93"/>
        <v>Harrison County, West Virginia</v>
      </c>
    </row>
    <row r="3015" spans="1:15" x14ac:dyDescent="0.25">
      <c r="A3015" s="35" t="s">
        <v>3490</v>
      </c>
      <c r="B3015" s="28" t="str">
        <f t="shared" ref="B3015:B3078" si="94">LEFT(A3015,FIND("County",A3015,1)-2)</f>
        <v>Jackson</v>
      </c>
      <c r="C3015" s="30">
        <v>29211</v>
      </c>
      <c r="D3015" s="30">
        <v>29214</v>
      </c>
      <c r="E3015" s="30">
        <v>29234</v>
      </c>
      <c r="F3015" s="30">
        <v>29321</v>
      </c>
      <c r="G3015" s="30">
        <v>29283</v>
      </c>
      <c r="H3015" s="30">
        <v>29193</v>
      </c>
      <c r="I3015" s="30">
        <v>29134</v>
      </c>
      <c r="J3015" s="30">
        <v>29170</v>
      </c>
      <c r="K3015" s="30">
        <v>29188</v>
      </c>
      <c r="L3015" s="30">
        <v>28908</v>
      </c>
      <c r="M3015" s="30">
        <v>28695</v>
      </c>
      <c r="N3015" s="30">
        <v>28576</v>
      </c>
      <c r="O3015" s="24" t="str">
        <f t="shared" ref="O3015:O3078" si="95">A3015</f>
        <v>Jackson County, West Virginia</v>
      </c>
    </row>
    <row r="3016" spans="1:15" x14ac:dyDescent="0.25">
      <c r="A3016" s="35" t="s">
        <v>3491</v>
      </c>
      <c r="B3016" s="28" t="str">
        <f t="shared" si="94"/>
        <v>Jefferson</v>
      </c>
      <c r="C3016" s="30">
        <v>53498</v>
      </c>
      <c r="D3016" s="30">
        <v>53490</v>
      </c>
      <c r="E3016" s="30">
        <v>53609</v>
      </c>
      <c r="F3016" s="30">
        <v>54458</v>
      </c>
      <c r="G3016" s="30">
        <v>54699</v>
      </c>
      <c r="H3016" s="30">
        <v>55001</v>
      </c>
      <c r="I3016" s="30">
        <v>55625</v>
      </c>
      <c r="J3016" s="30">
        <v>56070</v>
      </c>
      <c r="K3016" s="30">
        <v>55979</v>
      </c>
      <c r="L3016" s="30">
        <v>56444</v>
      </c>
      <c r="M3016" s="30">
        <v>56890</v>
      </c>
      <c r="N3016" s="30">
        <v>57146</v>
      </c>
      <c r="O3016" s="24" t="str">
        <f t="shared" si="95"/>
        <v>Jefferson County, West Virginia</v>
      </c>
    </row>
    <row r="3017" spans="1:15" x14ac:dyDescent="0.25">
      <c r="A3017" s="35" t="s">
        <v>3492</v>
      </c>
      <c r="B3017" s="28" t="str">
        <f t="shared" si="94"/>
        <v>Kanawha</v>
      </c>
      <c r="C3017" s="30">
        <v>193063</v>
      </c>
      <c r="D3017" s="30">
        <v>193053</v>
      </c>
      <c r="E3017" s="30">
        <v>192917</v>
      </c>
      <c r="F3017" s="30">
        <v>192183</v>
      </c>
      <c r="G3017" s="30">
        <v>192248</v>
      </c>
      <c r="H3017" s="30">
        <v>191539</v>
      </c>
      <c r="I3017" s="30">
        <v>190355</v>
      </c>
      <c r="J3017" s="30">
        <v>188282</v>
      </c>
      <c r="K3017" s="30">
        <v>186196</v>
      </c>
      <c r="L3017" s="30">
        <v>183385</v>
      </c>
      <c r="M3017" s="30">
        <v>180410</v>
      </c>
      <c r="N3017" s="30">
        <v>178124</v>
      </c>
      <c r="O3017" s="24" t="str">
        <f t="shared" si="95"/>
        <v>Kanawha County, West Virginia</v>
      </c>
    </row>
    <row r="3018" spans="1:15" x14ac:dyDescent="0.25">
      <c r="A3018" s="35" t="s">
        <v>3493</v>
      </c>
      <c r="B3018" s="28" t="str">
        <f t="shared" si="94"/>
        <v>Lewis</v>
      </c>
      <c r="C3018" s="30">
        <v>16372</v>
      </c>
      <c r="D3018" s="30">
        <v>16372</v>
      </c>
      <c r="E3018" s="30">
        <v>16414</v>
      </c>
      <c r="F3018" s="30">
        <v>16439</v>
      </c>
      <c r="G3018" s="30">
        <v>16453</v>
      </c>
      <c r="H3018" s="30">
        <v>16480</v>
      </c>
      <c r="I3018" s="30">
        <v>16448</v>
      </c>
      <c r="J3018" s="30">
        <v>16440</v>
      </c>
      <c r="K3018" s="30">
        <v>16289</v>
      </c>
      <c r="L3018" s="30">
        <v>16178</v>
      </c>
      <c r="M3018" s="30">
        <v>16017</v>
      </c>
      <c r="N3018" s="30">
        <v>15907</v>
      </c>
      <c r="O3018" s="24" t="str">
        <f t="shared" si="95"/>
        <v>Lewis County, West Virginia</v>
      </c>
    </row>
    <row r="3019" spans="1:15" x14ac:dyDescent="0.25">
      <c r="A3019" s="35" t="s">
        <v>3494</v>
      </c>
      <c r="B3019" s="28" t="str">
        <f t="shared" si="94"/>
        <v>Lincoln</v>
      </c>
      <c r="C3019" s="30">
        <v>21720</v>
      </c>
      <c r="D3019" s="30">
        <v>21709</v>
      </c>
      <c r="E3019" s="30">
        <v>21673</v>
      </c>
      <c r="F3019" s="30">
        <v>21567</v>
      </c>
      <c r="G3019" s="30">
        <v>21607</v>
      </c>
      <c r="H3019" s="30">
        <v>21452</v>
      </c>
      <c r="I3019" s="30">
        <v>21520</v>
      </c>
      <c r="J3019" s="30">
        <v>21279</v>
      </c>
      <c r="K3019" s="30">
        <v>21108</v>
      </c>
      <c r="L3019" s="30">
        <v>20872</v>
      </c>
      <c r="M3019" s="30">
        <v>20583</v>
      </c>
      <c r="N3019" s="30">
        <v>20409</v>
      </c>
      <c r="O3019" s="24" t="str">
        <f t="shared" si="95"/>
        <v>Lincoln County, West Virginia</v>
      </c>
    </row>
    <row r="3020" spans="1:15" x14ac:dyDescent="0.25">
      <c r="A3020" s="35" t="s">
        <v>3495</v>
      </c>
      <c r="B3020" s="28" t="str">
        <f t="shared" si="94"/>
        <v>Logan</v>
      </c>
      <c r="C3020" s="30">
        <v>36743</v>
      </c>
      <c r="D3020" s="30">
        <v>36754</v>
      </c>
      <c r="E3020" s="30">
        <v>36723</v>
      </c>
      <c r="F3020" s="30">
        <v>36461</v>
      </c>
      <c r="G3020" s="30">
        <v>36316</v>
      </c>
      <c r="H3020" s="30">
        <v>35933</v>
      </c>
      <c r="I3020" s="30">
        <v>35251</v>
      </c>
      <c r="J3020" s="30">
        <v>34441</v>
      </c>
      <c r="K3020" s="30">
        <v>33674</v>
      </c>
      <c r="L3020" s="30">
        <v>33028</v>
      </c>
      <c r="M3020" s="30">
        <v>32609</v>
      </c>
      <c r="N3020" s="30">
        <v>32019</v>
      </c>
      <c r="O3020" s="24" t="str">
        <f t="shared" si="95"/>
        <v>Logan County, West Virginia</v>
      </c>
    </row>
    <row r="3021" spans="1:15" x14ac:dyDescent="0.25">
      <c r="A3021" s="35" t="s">
        <v>3496</v>
      </c>
      <c r="B3021" s="28" t="str">
        <f t="shared" si="94"/>
        <v>McDowell</v>
      </c>
      <c r="C3021" s="30">
        <v>22113</v>
      </c>
      <c r="D3021" s="30">
        <v>22109</v>
      </c>
      <c r="E3021" s="30">
        <v>22097</v>
      </c>
      <c r="F3021" s="30">
        <v>21730</v>
      </c>
      <c r="G3021" s="30">
        <v>21318</v>
      </c>
      <c r="H3021" s="30">
        <v>20958</v>
      </c>
      <c r="I3021" s="30">
        <v>20385</v>
      </c>
      <c r="J3021" s="30">
        <v>19762</v>
      </c>
      <c r="K3021" s="30">
        <v>19192</v>
      </c>
      <c r="L3021" s="30">
        <v>18505</v>
      </c>
      <c r="M3021" s="30">
        <v>18221</v>
      </c>
      <c r="N3021" s="30">
        <v>17624</v>
      </c>
      <c r="O3021" s="24" t="str">
        <f t="shared" si="95"/>
        <v>McDowell County, West Virginia</v>
      </c>
    </row>
    <row r="3022" spans="1:15" x14ac:dyDescent="0.25">
      <c r="A3022" s="35" t="s">
        <v>3497</v>
      </c>
      <c r="B3022" s="28" t="str">
        <f t="shared" si="94"/>
        <v>Marion</v>
      </c>
      <c r="C3022" s="30">
        <v>56418</v>
      </c>
      <c r="D3022" s="30">
        <v>56433</v>
      </c>
      <c r="E3022" s="30">
        <v>56548</v>
      </c>
      <c r="F3022" s="30">
        <v>56692</v>
      </c>
      <c r="G3022" s="30">
        <v>56760</v>
      </c>
      <c r="H3022" s="30">
        <v>56723</v>
      </c>
      <c r="I3022" s="30">
        <v>56792</v>
      </c>
      <c r="J3022" s="30">
        <v>56761</v>
      </c>
      <c r="K3022" s="30">
        <v>56504</v>
      </c>
      <c r="L3022" s="30">
        <v>56349</v>
      </c>
      <c r="M3022" s="30">
        <v>56091</v>
      </c>
      <c r="N3022" s="30">
        <v>56072</v>
      </c>
      <c r="O3022" s="24" t="str">
        <f t="shared" si="95"/>
        <v>Marion County, West Virginia</v>
      </c>
    </row>
    <row r="3023" spans="1:15" x14ac:dyDescent="0.25">
      <c r="A3023" s="35" t="s">
        <v>3498</v>
      </c>
      <c r="B3023" s="28" t="str">
        <f t="shared" si="94"/>
        <v>Marshall</v>
      </c>
      <c r="C3023" s="30">
        <v>33107</v>
      </c>
      <c r="D3023" s="30">
        <v>33131</v>
      </c>
      <c r="E3023" s="30">
        <v>33094</v>
      </c>
      <c r="F3023" s="30">
        <v>32936</v>
      </c>
      <c r="G3023" s="30">
        <v>32826</v>
      </c>
      <c r="H3023" s="30">
        <v>32643</v>
      </c>
      <c r="I3023" s="30">
        <v>32360</v>
      </c>
      <c r="J3023" s="30">
        <v>32215</v>
      </c>
      <c r="K3023" s="30">
        <v>31720</v>
      </c>
      <c r="L3023" s="30">
        <v>31252</v>
      </c>
      <c r="M3023" s="30">
        <v>30821</v>
      </c>
      <c r="N3023" s="30">
        <v>30531</v>
      </c>
      <c r="O3023" s="24" t="str">
        <f t="shared" si="95"/>
        <v>Marshall County, West Virginia</v>
      </c>
    </row>
    <row r="3024" spans="1:15" x14ac:dyDescent="0.25">
      <c r="A3024" s="35" t="s">
        <v>3499</v>
      </c>
      <c r="B3024" s="28" t="str">
        <f t="shared" si="94"/>
        <v>Mason</v>
      </c>
      <c r="C3024" s="30">
        <v>27324</v>
      </c>
      <c r="D3024" s="30">
        <v>27348</v>
      </c>
      <c r="E3024" s="30">
        <v>27368</v>
      </c>
      <c r="F3024" s="30">
        <v>27316</v>
      </c>
      <c r="G3024" s="30">
        <v>27217</v>
      </c>
      <c r="H3024" s="30">
        <v>27144</v>
      </c>
      <c r="I3024" s="30">
        <v>27153</v>
      </c>
      <c r="J3024" s="30">
        <v>27089</v>
      </c>
      <c r="K3024" s="30">
        <v>26938</v>
      </c>
      <c r="L3024" s="30">
        <v>26806</v>
      </c>
      <c r="M3024" s="30">
        <v>26752</v>
      </c>
      <c r="N3024" s="30">
        <v>26516</v>
      </c>
      <c r="O3024" s="24" t="str">
        <f t="shared" si="95"/>
        <v>Mason County, West Virginia</v>
      </c>
    </row>
    <row r="3025" spans="1:15" x14ac:dyDescent="0.25">
      <c r="A3025" s="35" t="s">
        <v>3500</v>
      </c>
      <c r="B3025" s="28" t="str">
        <f t="shared" si="94"/>
        <v>Mercer</v>
      </c>
      <c r="C3025" s="30">
        <v>62264</v>
      </c>
      <c r="D3025" s="30">
        <v>62265</v>
      </c>
      <c r="E3025" s="30">
        <v>62336</v>
      </c>
      <c r="F3025" s="30">
        <v>62560</v>
      </c>
      <c r="G3025" s="30">
        <v>62419</v>
      </c>
      <c r="H3025" s="30">
        <v>61911</v>
      </c>
      <c r="I3025" s="30">
        <v>61759</v>
      </c>
      <c r="J3025" s="30">
        <v>61133</v>
      </c>
      <c r="K3025" s="30">
        <v>60632</v>
      </c>
      <c r="L3025" s="30">
        <v>59869</v>
      </c>
      <c r="M3025" s="30">
        <v>59202</v>
      </c>
      <c r="N3025" s="30">
        <v>58758</v>
      </c>
      <c r="O3025" s="24" t="str">
        <f t="shared" si="95"/>
        <v>Mercer County, West Virginia</v>
      </c>
    </row>
    <row r="3026" spans="1:15" x14ac:dyDescent="0.25">
      <c r="A3026" s="35" t="s">
        <v>3501</v>
      </c>
      <c r="B3026" s="28" t="str">
        <f t="shared" si="94"/>
        <v>Mineral</v>
      </c>
      <c r="C3026" s="30">
        <v>28212</v>
      </c>
      <c r="D3026" s="30">
        <v>28225</v>
      </c>
      <c r="E3026" s="30">
        <v>28205</v>
      </c>
      <c r="F3026" s="30">
        <v>28057</v>
      </c>
      <c r="G3026" s="30">
        <v>27886</v>
      </c>
      <c r="H3026" s="30">
        <v>27691</v>
      </c>
      <c r="I3026" s="30">
        <v>27567</v>
      </c>
      <c r="J3026" s="30">
        <v>27417</v>
      </c>
      <c r="K3026" s="30">
        <v>27375</v>
      </c>
      <c r="L3026" s="30">
        <v>27223</v>
      </c>
      <c r="M3026" s="30">
        <v>26953</v>
      </c>
      <c r="N3026" s="30">
        <v>26868</v>
      </c>
      <c r="O3026" s="24" t="str">
        <f t="shared" si="95"/>
        <v>Mineral County, West Virginia</v>
      </c>
    </row>
    <row r="3027" spans="1:15" x14ac:dyDescent="0.25">
      <c r="A3027" s="35" t="s">
        <v>3502</v>
      </c>
      <c r="B3027" s="28" t="str">
        <f t="shared" si="94"/>
        <v>Mingo</v>
      </c>
      <c r="C3027" s="30">
        <v>26839</v>
      </c>
      <c r="D3027" s="30">
        <v>26834</v>
      </c>
      <c r="E3027" s="30">
        <v>26768</v>
      </c>
      <c r="F3027" s="30">
        <v>26603</v>
      </c>
      <c r="G3027" s="30">
        <v>26190</v>
      </c>
      <c r="H3027" s="30">
        <v>26013</v>
      </c>
      <c r="I3027" s="30">
        <v>25739</v>
      </c>
      <c r="J3027" s="30">
        <v>25317</v>
      </c>
      <c r="K3027" s="30">
        <v>24716</v>
      </c>
      <c r="L3027" s="30">
        <v>24142</v>
      </c>
      <c r="M3027" s="30">
        <v>23851</v>
      </c>
      <c r="N3027" s="30">
        <v>23424</v>
      </c>
      <c r="O3027" s="24" t="str">
        <f t="shared" si="95"/>
        <v>Mingo County, West Virginia</v>
      </c>
    </row>
    <row r="3028" spans="1:15" x14ac:dyDescent="0.25">
      <c r="A3028" s="35" t="s">
        <v>3503</v>
      </c>
      <c r="B3028" s="28" t="str">
        <f t="shared" si="94"/>
        <v>Monongalia</v>
      </c>
      <c r="C3028" s="30">
        <v>96189</v>
      </c>
      <c r="D3028" s="30">
        <v>96184</v>
      </c>
      <c r="E3028" s="30">
        <v>96754</v>
      </c>
      <c r="F3028" s="30">
        <v>99018</v>
      </c>
      <c r="G3028" s="30">
        <v>100915</v>
      </c>
      <c r="H3028" s="30">
        <v>102266</v>
      </c>
      <c r="I3028" s="30">
        <v>103480</v>
      </c>
      <c r="J3028" s="30">
        <v>104681</v>
      </c>
      <c r="K3028" s="30">
        <v>105643</v>
      </c>
      <c r="L3028" s="30">
        <v>105782</v>
      </c>
      <c r="M3028" s="30">
        <v>105651</v>
      </c>
      <c r="N3028" s="30">
        <v>105612</v>
      </c>
      <c r="O3028" s="24" t="str">
        <f t="shared" si="95"/>
        <v>Monongalia County, West Virginia</v>
      </c>
    </row>
    <row r="3029" spans="1:15" x14ac:dyDescent="0.25">
      <c r="A3029" s="35" t="s">
        <v>3504</v>
      </c>
      <c r="B3029" s="28" t="str">
        <f t="shared" si="94"/>
        <v>Monroe</v>
      </c>
      <c r="C3029" s="30">
        <v>13502</v>
      </c>
      <c r="D3029" s="30">
        <v>13498</v>
      </c>
      <c r="E3029" s="30">
        <v>13522</v>
      </c>
      <c r="F3029" s="30">
        <v>13551</v>
      </c>
      <c r="G3029" s="30">
        <v>13502</v>
      </c>
      <c r="H3029" s="30">
        <v>13520</v>
      </c>
      <c r="I3029" s="30">
        <v>13613</v>
      </c>
      <c r="J3029" s="30">
        <v>13573</v>
      </c>
      <c r="K3029" s="30">
        <v>13487</v>
      </c>
      <c r="L3029" s="30">
        <v>13382</v>
      </c>
      <c r="M3029" s="30">
        <v>13289</v>
      </c>
      <c r="N3029" s="30">
        <v>13275</v>
      </c>
      <c r="O3029" s="24" t="str">
        <f t="shared" si="95"/>
        <v>Monroe County, West Virginia</v>
      </c>
    </row>
    <row r="3030" spans="1:15" x14ac:dyDescent="0.25">
      <c r="A3030" s="35" t="s">
        <v>3505</v>
      </c>
      <c r="B3030" s="28" t="str">
        <f t="shared" si="94"/>
        <v>Morgan</v>
      </c>
      <c r="C3030" s="30">
        <v>17541</v>
      </c>
      <c r="D3030" s="30">
        <v>17541</v>
      </c>
      <c r="E3030" s="30">
        <v>17491</v>
      </c>
      <c r="F3030" s="30">
        <v>17464</v>
      </c>
      <c r="G3030" s="30">
        <v>17427</v>
      </c>
      <c r="H3030" s="30">
        <v>17445</v>
      </c>
      <c r="I3030" s="30">
        <v>17516</v>
      </c>
      <c r="J3030" s="30">
        <v>17490</v>
      </c>
      <c r="K3030" s="30">
        <v>17626</v>
      </c>
      <c r="L3030" s="30">
        <v>17716</v>
      </c>
      <c r="M3030" s="30">
        <v>17830</v>
      </c>
      <c r="N3030" s="30">
        <v>17884</v>
      </c>
      <c r="O3030" s="24" t="str">
        <f t="shared" si="95"/>
        <v>Morgan County, West Virginia</v>
      </c>
    </row>
    <row r="3031" spans="1:15" x14ac:dyDescent="0.25">
      <c r="A3031" s="35" t="s">
        <v>3506</v>
      </c>
      <c r="B3031" s="28" t="str">
        <f t="shared" si="94"/>
        <v>Nicholas</v>
      </c>
      <c r="C3031" s="30">
        <v>26233</v>
      </c>
      <c r="D3031" s="30">
        <v>26233</v>
      </c>
      <c r="E3031" s="30">
        <v>26229</v>
      </c>
      <c r="F3031" s="30">
        <v>26216</v>
      </c>
      <c r="G3031" s="30">
        <v>26262</v>
      </c>
      <c r="H3031" s="30">
        <v>25948</v>
      </c>
      <c r="I3031" s="30">
        <v>25719</v>
      </c>
      <c r="J3031" s="30">
        <v>25551</v>
      </c>
      <c r="K3031" s="30">
        <v>25381</v>
      </c>
      <c r="L3031" s="30">
        <v>25125</v>
      </c>
      <c r="M3031" s="30">
        <v>24835</v>
      </c>
      <c r="N3031" s="30">
        <v>24496</v>
      </c>
      <c r="O3031" s="24" t="str">
        <f t="shared" si="95"/>
        <v>Nicholas County, West Virginia</v>
      </c>
    </row>
    <row r="3032" spans="1:15" x14ac:dyDescent="0.25">
      <c r="A3032" s="35" t="s">
        <v>3507</v>
      </c>
      <c r="B3032" s="28" t="str">
        <f t="shared" si="94"/>
        <v>Ohio</v>
      </c>
      <c r="C3032" s="30">
        <v>44443</v>
      </c>
      <c r="D3032" s="30">
        <v>44426</v>
      </c>
      <c r="E3032" s="30">
        <v>44472</v>
      </c>
      <c r="F3032" s="30">
        <v>44202</v>
      </c>
      <c r="G3032" s="30">
        <v>43992</v>
      </c>
      <c r="H3032" s="30">
        <v>43732</v>
      </c>
      <c r="I3032" s="30">
        <v>43241</v>
      </c>
      <c r="J3032" s="30">
        <v>42969</v>
      </c>
      <c r="K3032" s="30">
        <v>42629</v>
      </c>
      <c r="L3032" s="30">
        <v>42001</v>
      </c>
      <c r="M3032" s="30">
        <v>41705</v>
      </c>
      <c r="N3032" s="30">
        <v>41411</v>
      </c>
      <c r="O3032" s="24" t="str">
        <f t="shared" si="95"/>
        <v>Ohio County, West Virginia</v>
      </c>
    </row>
    <row r="3033" spans="1:15" x14ac:dyDescent="0.25">
      <c r="A3033" s="35" t="s">
        <v>3508</v>
      </c>
      <c r="B3033" s="28" t="str">
        <f t="shared" si="94"/>
        <v>Pendleton</v>
      </c>
      <c r="C3033" s="30">
        <v>7695</v>
      </c>
      <c r="D3033" s="30">
        <v>7695</v>
      </c>
      <c r="E3033" s="30">
        <v>7675</v>
      </c>
      <c r="F3033" s="30">
        <v>7537</v>
      </c>
      <c r="G3033" s="30">
        <v>7470</v>
      </c>
      <c r="H3033" s="30">
        <v>7375</v>
      </c>
      <c r="I3033" s="30">
        <v>7229</v>
      </c>
      <c r="J3033" s="30">
        <v>7103</v>
      </c>
      <c r="K3033" s="30">
        <v>6977</v>
      </c>
      <c r="L3033" s="30">
        <v>6973</v>
      </c>
      <c r="M3033" s="30">
        <v>6984</v>
      </c>
      <c r="N3033" s="30">
        <v>6969</v>
      </c>
      <c r="O3033" s="24" t="str">
        <f t="shared" si="95"/>
        <v>Pendleton County, West Virginia</v>
      </c>
    </row>
    <row r="3034" spans="1:15" x14ac:dyDescent="0.25">
      <c r="A3034" s="35" t="s">
        <v>3509</v>
      </c>
      <c r="B3034" s="28" t="str">
        <f t="shared" si="94"/>
        <v>Pleasants</v>
      </c>
      <c r="C3034" s="30">
        <v>7605</v>
      </c>
      <c r="D3034" s="30">
        <v>7602</v>
      </c>
      <c r="E3034" s="30">
        <v>7571</v>
      </c>
      <c r="F3034" s="30">
        <v>7575</v>
      </c>
      <c r="G3034" s="30">
        <v>7533</v>
      </c>
      <c r="H3034" s="30">
        <v>7518</v>
      </c>
      <c r="I3034" s="30">
        <v>7588</v>
      </c>
      <c r="J3034" s="30">
        <v>7499</v>
      </c>
      <c r="K3034" s="30">
        <v>7490</v>
      </c>
      <c r="L3034" s="30">
        <v>7455</v>
      </c>
      <c r="M3034" s="30">
        <v>7505</v>
      </c>
      <c r="N3034" s="30">
        <v>7460</v>
      </c>
      <c r="O3034" s="24" t="str">
        <f t="shared" si="95"/>
        <v>Pleasants County, West Virginia</v>
      </c>
    </row>
    <row r="3035" spans="1:15" x14ac:dyDescent="0.25">
      <c r="A3035" s="35" t="s">
        <v>3510</v>
      </c>
      <c r="B3035" s="28" t="str">
        <f t="shared" si="94"/>
        <v>Pocahontas</v>
      </c>
      <c r="C3035" s="30">
        <v>8719</v>
      </c>
      <c r="D3035" s="30">
        <v>8722</v>
      </c>
      <c r="E3035" s="30">
        <v>8734</v>
      </c>
      <c r="F3035" s="30">
        <v>8825</v>
      </c>
      <c r="G3035" s="30">
        <v>8703</v>
      </c>
      <c r="H3035" s="30">
        <v>8680</v>
      </c>
      <c r="I3035" s="30">
        <v>8651</v>
      </c>
      <c r="J3035" s="30">
        <v>8573</v>
      </c>
      <c r="K3035" s="30">
        <v>8528</v>
      </c>
      <c r="L3035" s="30">
        <v>8493</v>
      </c>
      <c r="M3035" s="30">
        <v>8408</v>
      </c>
      <c r="N3035" s="30">
        <v>8247</v>
      </c>
      <c r="O3035" s="24" t="str">
        <f t="shared" si="95"/>
        <v>Pocahontas County, West Virginia</v>
      </c>
    </row>
    <row r="3036" spans="1:15" x14ac:dyDescent="0.25">
      <c r="A3036" s="35" t="s">
        <v>3511</v>
      </c>
      <c r="B3036" s="28" t="str">
        <f t="shared" si="94"/>
        <v>Preston</v>
      </c>
      <c r="C3036" s="30">
        <v>33520</v>
      </c>
      <c r="D3036" s="30">
        <v>33518</v>
      </c>
      <c r="E3036" s="30">
        <v>33554</v>
      </c>
      <c r="F3036" s="30">
        <v>33660</v>
      </c>
      <c r="G3036" s="30">
        <v>33898</v>
      </c>
      <c r="H3036" s="30">
        <v>33682</v>
      </c>
      <c r="I3036" s="30">
        <v>33916</v>
      </c>
      <c r="J3036" s="30">
        <v>33842</v>
      </c>
      <c r="K3036" s="30">
        <v>33760</v>
      </c>
      <c r="L3036" s="30">
        <v>33826</v>
      </c>
      <c r="M3036" s="30">
        <v>33553</v>
      </c>
      <c r="N3036" s="30">
        <v>33432</v>
      </c>
      <c r="O3036" s="24" t="str">
        <f t="shared" si="95"/>
        <v>Preston County, West Virginia</v>
      </c>
    </row>
    <row r="3037" spans="1:15" x14ac:dyDescent="0.25">
      <c r="A3037" s="35" t="s">
        <v>3512</v>
      </c>
      <c r="B3037" s="28" t="str">
        <f t="shared" si="94"/>
        <v>Putnam</v>
      </c>
      <c r="C3037" s="30">
        <v>55486</v>
      </c>
      <c r="D3037" s="30">
        <v>55489</v>
      </c>
      <c r="E3037" s="30">
        <v>55620</v>
      </c>
      <c r="F3037" s="30">
        <v>56030</v>
      </c>
      <c r="G3037" s="30">
        <v>56445</v>
      </c>
      <c r="H3037" s="30">
        <v>56492</v>
      </c>
      <c r="I3037" s="30">
        <v>56625</v>
      </c>
      <c r="J3037" s="30">
        <v>56592</v>
      </c>
      <c r="K3037" s="30">
        <v>56675</v>
      </c>
      <c r="L3037" s="30">
        <v>56692</v>
      </c>
      <c r="M3037" s="30">
        <v>56642</v>
      </c>
      <c r="N3037" s="30">
        <v>56450</v>
      </c>
      <c r="O3037" s="24" t="str">
        <f t="shared" si="95"/>
        <v>Putnam County, West Virginia</v>
      </c>
    </row>
    <row r="3038" spans="1:15" x14ac:dyDescent="0.25">
      <c r="A3038" s="35" t="s">
        <v>3513</v>
      </c>
      <c r="B3038" s="28" t="str">
        <f t="shared" si="94"/>
        <v>Raleigh</v>
      </c>
      <c r="C3038" s="30">
        <v>78859</v>
      </c>
      <c r="D3038" s="30">
        <v>78865</v>
      </c>
      <c r="E3038" s="30">
        <v>78919</v>
      </c>
      <c r="F3038" s="30">
        <v>79345</v>
      </c>
      <c r="G3038" s="30">
        <v>79249</v>
      </c>
      <c r="H3038" s="30">
        <v>78799</v>
      </c>
      <c r="I3038" s="30">
        <v>78183</v>
      </c>
      <c r="J3038" s="30">
        <v>77363</v>
      </c>
      <c r="K3038" s="30">
        <v>76296</v>
      </c>
      <c r="L3038" s="30">
        <v>75066</v>
      </c>
      <c r="M3038" s="30">
        <v>74172</v>
      </c>
      <c r="N3038" s="30">
        <v>73361</v>
      </c>
      <c r="O3038" s="24" t="str">
        <f t="shared" si="95"/>
        <v>Raleigh County, West Virginia</v>
      </c>
    </row>
    <row r="3039" spans="1:15" x14ac:dyDescent="0.25">
      <c r="A3039" s="35" t="s">
        <v>3514</v>
      </c>
      <c r="B3039" s="28" t="str">
        <f t="shared" si="94"/>
        <v>Randolph</v>
      </c>
      <c r="C3039" s="30">
        <v>29405</v>
      </c>
      <c r="D3039" s="30">
        <v>29405</v>
      </c>
      <c r="E3039" s="30">
        <v>29363</v>
      </c>
      <c r="F3039" s="30">
        <v>29435</v>
      </c>
      <c r="G3039" s="30">
        <v>29392</v>
      </c>
      <c r="H3039" s="30">
        <v>29522</v>
      </c>
      <c r="I3039" s="30">
        <v>29377</v>
      </c>
      <c r="J3039" s="30">
        <v>29212</v>
      </c>
      <c r="K3039" s="30">
        <v>29034</v>
      </c>
      <c r="L3039" s="30">
        <v>28894</v>
      </c>
      <c r="M3039" s="30">
        <v>28814</v>
      </c>
      <c r="N3039" s="30">
        <v>28695</v>
      </c>
      <c r="O3039" s="24" t="str">
        <f t="shared" si="95"/>
        <v>Randolph County, West Virginia</v>
      </c>
    </row>
    <row r="3040" spans="1:15" x14ac:dyDescent="0.25">
      <c r="A3040" s="35" t="s">
        <v>3515</v>
      </c>
      <c r="B3040" s="28" t="str">
        <f t="shared" si="94"/>
        <v>Ritchie</v>
      </c>
      <c r="C3040" s="30">
        <v>10449</v>
      </c>
      <c r="D3040" s="30">
        <v>10449</v>
      </c>
      <c r="E3040" s="30">
        <v>10420</v>
      </c>
      <c r="F3040" s="30">
        <v>10313</v>
      </c>
      <c r="G3040" s="30">
        <v>10250</v>
      </c>
      <c r="H3040" s="30">
        <v>10147</v>
      </c>
      <c r="I3040" s="30">
        <v>10077</v>
      </c>
      <c r="J3040" s="30">
        <v>10084</v>
      </c>
      <c r="K3040" s="30">
        <v>9985</v>
      </c>
      <c r="L3040" s="30">
        <v>9851</v>
      </c>
      <c r="M3040" s="30">
        <v>9748</v>
      </c>
      <c r="N3040" s="30">
        <v>9554</v>
      </c>
      <c r="O3040" s="24" t="str">
        <f t="shared" si="95"/>
        <v>Ritchie County, West Virginia</v>
      </c>
    </row>
    <row r="3041" spans="1:15" x14ac:dyDescent="0.25">
      <c r="A3041" s="35" t="s">
        <v>3516</v>
      </c>
      <c r="B3041" s="28" t="str">
        <f t="shared" si="94"/>
        <v>Roane</v>
      </c>
      <c r="C3041" s="30">
        <v>14926</v>
      </c>
      <c r="D3041" s="30">
        <v>14927</v>
      </c>
      <c r="E3041" s="30">
        <v>14895</v>
      </c>
      <c r="F3041" s="30">
        <v>14801</v>
      </c>
      <c r="G3041" s="30">
        <v>14679</v>
      </c>
      <c r="H3041" s="30">
        <v>14607</v>
      </c>
      <c r="I3041" s="30">
        <v>14595</v>
      </c>
      <c r="J3041" s="30">
        <v>14375</v>
      </c>
      <c r="K3041" s="30">
        <v>14114</v>
      </c>
      <c r="L3041" s="30">
        <v>14004</v>
      </c>
      <c r="M3041" s="30">
        <v>13918</v>
      </c>
      <c r="N3041" s="30">
        <v>13688</v>
      </c>
      <c r="O3041" s="24" t="str">
        <f t="shared" si="95"/>
        <v>Roane County, West Virginia</v>
      </c>
    </row>
    <row r="3042" spans="1:15" x14ac:dyDescent="0.25">
      <c r="A3042" s="35" t="s">
        <v>3517</v>
      </c>
      <c r="B3042" s="28" t="str">
        <f t="shared" si="94"/>
        <v>Summers</v>
      </c>
      <c r="C3042" s="30">
        <v>13927</v>
      </c>
      <c r="D3042" s="30">
        <v>13926</v>
      </c>
      <c r="E3042" s="30">
        <v>13940</v>
      </c>
      <c r="F3042" s="30">
        <v>13857</v>
      </c>
      <c r="G3042" s="30">
        <v>13836</v>
      </c>
      <c r="H3042" s="30">
        <v>13589</v>
      </c>
      <c r="I3042" s="30">
        <v>13329</v>
      </c>
      <c r="J3042" s="30">
        <v>13137</v>
      </c>
      <c r="K3042" s="30">
        <v>12978</v>
      </c>
      <c r="L3042" s="30">
        <v>12882</v>
      </c>
      <c r="M3042" s="30">
        <v>12672</v>
      </c>
      <c r="N3042" s="30">
        <v>12573</v>
      </c>
      <c r="O3042" s="24" t="str">
        <f t="shared" si="95"/>
        <v>Summers County, West Virginia</v>
      </c>
    </row>
    <row r="3043" spans="1:15" x14ac:dyDescent="0.25">
      <c r="A3043" s="35" t="s">
        <v>3518</v>
      </c>
      <c r="B3043" s="28" t="str">
        <f t="shared" si="94"/>
        <v>Taylor</v>
      </c>
      <c r="C3043" s="30">
        <v>16895</v>
      </c>
      <c r="D3043" s="30">
        <v>16891</v>
      </c>
      <c r="E3043" s="30">
        <v>16889</v>
      </c>
      <c r="F3043" s="30">
        <v>16934</v>
      </c>
      <c r="G3043" s="30">
        <v>16973</v>
      </c>
      <c r="H3043" s="30">
        <v>16990</v>
      </c>
      <c r="I3043" s="30">
        <v>17102</v>
      </c>
      <c r="J3043" s="30">
        <v>16930</v>
      </c>
      <c r="K3043" s="30">
        <v>16952</v>
      </c>
      <c r="L3043" s="30">
        <v>16914</v>
      </c>
      <c r="M3043" s="30">
        <v>16828</v>
      </c>
      <c r="N3043" s="30">
        <v>16695</v>
      </c>
      <c r="O3043" s="24" t="str">
        <f t="shared" si="95"/>
        <v>Taylor County, West Virginia</v>
      </c>
    </row>
    <row r="3044" spans="1:15" x14ac:dyDescent="0.25">
      <c r="A3044" s="35" t="s">
        <v>3519</v>
      </c>
      <c r="B3044" s="28" t="str">
        <f t="shared" si="94"/>
        <v>Tucker</v>
      </c>
      <c r="C3044" s="30">
        <v>7141</v>
      </c>
      <c r="D3044" s="30">
        <v>7141</v>
      </c>
      <c r="E3044" s="30">
        <v>7129</v>
      </c>
      <c r="F3044" s="30">
        <v>7130</v>
      </c>
      <c r="G3044" s="30">
        <v>7078</v>
      </c>
      <c r="H3044" s="30">
        <v>7080</v>
      </c>
      <c r="I3044" s="30">
        <v>7052</v>
      </c>
      <c r="J3044" s="30">
        <v>7089</v>
      </c>
      <c r="K3044" s="30">
        <v>7053</v>
      </c>
      <c r="L3044" s="30">
        <v>6992</v>
      </c>
      <c r="M3044" s="30">
        <v>6937</v>
      </c>
      <c r="N3044" s="30">
        <v>6839</v>
      </c>
      <c r="O3044" s="24" t="str">
        <f t="shared" si="95"/>
        <v>Tucker County, West Virginia</v>
      </c>
    </row>
    <row r="3045" spans="1:15" x14ac:dyDescent="0.25">
      <c r="A3045" s="35" t="s">
        <v>3520</v>
      </c>
      <c r="B3045" s="28" t="str">
        <f t="shared" si="94"/>
        <v>Tyler</v>
      </c>
      <c r="C3045" s="30">
        <v>9208</v>
      </c>
      <c r="D3045" s="30">
        <v>9230</v>
      </c>
      <c r="E3045" s="30">
        <v>9218</v>
      </c>
      <c r="F3045" s="30">
        <v>9120</v>
      </c>
      <c r="G3045" s="30">
        <v>9054</v>
      </c>
      <c r="H3045" s="30">
        <v>9007</v>
      </c>
      <c r="I3045" s="30">
        <v>9085</v>
      </c>
      <c r="J3045" s="30">
        <v>8958</v>
      </c>
      <c r="K3045" s="30">
        <v>8967</v>
      </c>
      <c r="L3045" s="30">
        <v>8800</v>
      </c>
      <c r="M3045" s="30">
        <v>8740</v>
      </c>
      <c r="N3045" s="30">
        <v>8591</v>
      </c>
      <c r="O3045" s="24" t="str">
        <f t="shared" si="95"/>
        <v>Tyler County, West Virginia</v>
      </c>
    </row>
    <row r="3046" spans="1:15" x14ac:dyDescent="0.25">
      <c r="A3046" s="35" t="s">
        <v>3521</v>
      </c>
      <c r="B3046" s="28" t="str">
        <f t="shared" si="94"/>
        <v>Upshur</v>
      </c>
      <c r="C3046" s="30">
        <v>24254</v>
      </c>
      <c r="D3046" s="30">
        <v>24256</v>
      </c>
      <c r="E3046" s="30">
        <v>24239</v>
      </c>
      <c r="F3046" s="30">
        <v>24270</v>
      </c>
      <c r="G3046" s="30">
        <v>24441</v>
      </c>
      <c r="H3046" s="30">
        <v>24601</v>
      </c>
      <c r="I3046" s="30">
        <v>24662</v>
      </c>
      <c r="J3046" s="30">
        <v>24727</v>
      </c>
      <c r="K3046" s="30">
        <v>24680</v>
      </c>
      <c r="L3046" s="30">
        <v>24555</v>
      </c>
      <c r="M3046" s="30">
        <v>24372</v>
      </c>
      <c r="N3046" s="30">
        <v>24176</v>
      </c>
      <c r="O3046" s="24" t="str">
        <f t="shared" si="95"/>
        <v>Upshur County, West Virginia</v>
      </c>
    </row>
    <row r="3047" spans="1:15" x14ac:dyDescent="0.25">
      <c r="A3047" s="35" t="s">
        <v>3522</v>
      </c>
      <c r="B3047" s="28" t="str">
        <f t="shared" si="94"/>
        <v>Wayne</v>
      </c>
      <c r="C3047" s="30">
        <v>42481</v>
      </c>
      <c r="D3047" s="30">
        <v>42506</v>
      </c>
      <c r="E3047" s="30">
        <v>42466</v>
      </c>
      <c r="F3047" s="30">
        <v>42194</v>
      </c>
      <c r="G3047" s="30">
        <v>41885</v>
      </c>
      <c r="H3047" s="30">
        <v>41840</v>
      </c>
      <c r="I3047" s="30">
        <v>41517</v>
      </c>
      <c r="J3047" s="30">
        <v>41211</v>
      </c>
      <c r="K3047" s="30">
        <v>40724</v>
      </c>
      <c r="L3047" s="30">
        <v>40215</v>
      </c>
      <c r="M3047" s="30">
        <v>39961</v>
      </c>
      <c r="N3047" s="30">
        <v>39402</v>
      </c>
      <c r="O3047" s="24" t="str">
        <f t="shared" si="95"/>
        <v>Wayne County, West Virginia</v>
      </c>
    </row>
    <row r="3048" spans="1:15" x14ac:dyDescent="0.25">
      <c r="A3048" s="35" t="s">
        <v>3523</v>
      </c>
      <c r="B3048" s="28" t="str">
        <f t="shared" si="94"/>
        <v>Webster</v>
      </c>
      <c r="C3048" s="30">
        <v>9154</v>
      </c>
      <c r="D3048" s="30">
        <v>9150</v>
      </c>
      <c r="E3048" s="30">
        <v>9153</v>
      </c>
      <c r="F3048" s="30">
        <v>9124</v>
      </c>
      <c r="G3048" s="30">
        <v>8982</v>
      </c>
      <c r="H3048" s="30">
        <v>8833</v>
      </c>
      <c r="I3048" s="30">
        <v>8750</v>
      </c>
      <c r="J3048" s="30">
        <v>8635</v>
      </c>
      <c r="K3048" s="30">
        <v>8557</v>
      </c>
      <c r="L3048" s="30">
        <v>8348</v>
      </c>
      <c r="M3048" s="30">
        <v>8274</v>
      </c>
      <c r="N3048" s="30">
        <v>8114</v>
      </c>
      <c r="O3048" s="24" t="str">
        <f t="shared" si="95"/>
        <v>Webster County, West Virginia</v>
      </c>
    </row>
    <row r="3049" spans="1:15" x14ac:dyDescent="0.25">
      <c r="A3049" s="35" t="s">
        <v>3524</v>
      </c>
      <c r="B3049" s="28" t="str">
        <f t="shared" si="94"/>
        <v>Wetzel</v>
      </c>
      <c r="C3049" s="30">
        <v>16583</v>
      </c>
      <c r="D3049" s="30">
        <v>16563</v>
      </c>
      <c r="E3049" s="30">
        <v>16535</v>
      </c>
      <c r="F3049" s="30">
        <v>16369</v>
      </c>
      <c r="G3049" s="30">
        <v>16344</v>
      </c>
      <c r="H3049" s="30">
        <v>16112</v>
      </c>
      <c r="I3049" s="30">
        <v>15955</v>
      </c>
      <c r="J3049" s="30">
        <v>15777</v>
      </c>
      <c r="K3049" s="30">
        <v>15644</v>
      </c>
      <c r="L3049" s="30">
        <v>15433</v>
      </c>
      <c r="M3049" s="30">
        <v>15259</v>
      </c>
      <c r="N3049" s="30">
        <v>15065</v>
      </c>
      <c r="O3049" s="24" t="str">
        <f t="shared" si="95"/>
        <v>Wetzel County, West Virginia</v>
      </c>
    </row>
    <row r="3050" spans="1:15" x14ac:dyDescent="0.25">
      <c r="A3050" s="35" t="s">
        <v>3525</v>
      </c>
      <c r="B3050" s="28" t="str">
        <f t="shared" si="94"/>
        <v>Wirt</v>
      </c>
      <c r="C3050" s="30">
        <v>5717</v>
      </c>
      <c r="D3050" s="30">
        <v>5714</v>
      </c>
      <c r="E3050" s="30">
        <v>5725</v>
      </c>
      <c r="F3050" s="30">
        <v>5755</v>
      </c>
      <c r="G3050" s="30">
        <v>5774</v>
      </c>
      <c r="H3050" s="30">
        <v>5838</v>
      </c>
      <c r="I3050" s="30">
        <v>5790</v>
      </c>
      <c r="J3050" s="30">
        <v>5804</v>
      </c>
      <c r="K3050" s="30">
        <v>5767</v>
      </c>
      <c r="L3050" s="30">
        <v>5786</v>
      </c>
      <c r="M3050" s="30">
        <v>5811</v>
      </c>
      <c r="N3050" s="30">
        <v>5821</v>
      </c>
      <c r="O3050" s="24" t="str">
        <f t="shared" si="95"/>
        <v>Wirt County, West Virginia</v>
      </c>
    </row>
    <row r="3051" spans="1:15" x14ac:dyDescent="0.25">
      <c r="A3051" s="35" t="s">
        <v>3526</v>
      </c>
      <c r="B3051" s="28" t="str">
        <f t="shared" si="94"/>
        <v>Wood</v>
      </c>
      <c r="C3051" s="30">
        <v>86956</v>
      </c>
      <c r="D3051" s="30">
        <v>86953</v>
      </c>
      <c r="E3051" s="30">
        <v>86973</v>
      </c>
      <c r="F3051" s="30">
        <v>86888</v>
      </c>
      <c r="G3051" s="30">
        <v>86616</v>
      </c>
      <c r="H3051" s="30">
        <v>86522</v>
      </c>
      <c r="I3051" s="30">
        <v>86469</v>
      </c>
      <c r="J3051" s="30">
        <v>86335</v>
      </c>
      <c r="K3051" s="30">
        <v>85709</v>
      </c>
      <c r="L3051" s="30">
        <v>85060</v>
      </c>
      <c r="M3051" s="30">
        <v>84180</v>
      </c>
      <c r="N3051" s="30">
        <v>83518</v>
      </c>
      <c r="O3051" s="24" t="str">
        <f t="shared" si="95"/>
        <v>Wood County, West Virginia</v>
      </c>
    </row>
    <row r="3052" spans="1:15" x14ac:dyDescent="0.25">
      <c r="A3052" s="35" t="s">
        <v>3527</v>
      </c>
      <c r="B3052" s="28" t="str">
        <f t="shared" si="94"/>
        <v>Wyoming</v>
      </c>
      <c r="C3052" s="30">
        <v>23796</v>
      </c>
      <c r="D3052" s="30">
        <v>23804</v>
      </c>
      <c r="E3052" s="30">
        <v>23728</v>
      </c>
      <c r="F3052" s="30">
        <v>23460</v>
      </c>
      <c r="G3052" s="30">
        <v>23210</v>
      </c>
      <c r="H3052" s="30">
        <v>22940</v>
      </c>
      <c r="I3052" s="30">
        <v>22578</v>
      </c>
      <c r="J3052" s="30">
        <v>22177</v>
      </c>
      <c r="K3052" s="30">
        <v>21777</v>
      </c>
      <c r="L3052" s="30">
        <v>21271</v>
      </c>
      <c r="M3052" s="30">
        <v>20784</v>
      </c>
      <c r="N3052" s="30">
        <v>20394</v>
      </c>
      <c r="O3052" s="24" t="str">
        <f t="shared" si="95"/>
        <v>Wyoming County, West Virginia</v>
      </c>
    </row>
    <row r="3053" spans="1:15" x14ac:dyDescent="0.25">
      <c r="A3053" s="35" t="s">
        <v>3528</v>
      </c>
      <c r="B3053" s="28" t="str">
        <f t="shared" si="94"/>
        <v>Adams</v>
      </c>
      <c r="C3053" s="30">
        <v>20875</v>
      </c>
      <c r="D3053" s="30">
        <v>20867</v>
      </c>
      <c r="E3053" s="30">
        <v>20878</v>
      </c>
      <c r="F3053" s="30">
        <v>20769</v>
      </c>
      <c r="G3053" s="30">
        <v>20417</v>
      </c>
      <c r="H3053" s="30">
        <v>20413</v>
      </c>
      <c r="I3053" s="30">
        <v>20125</v>
      </c>
      <c r="J3053" s="30">
        <v>20028</v>
      </c>
      <c r="K3053" s="30">
        <v>19982</v>
      </c>
      <c r="L3053" s="30">
        <v>19900</v>
      </c>
      <c r="M3053" s="30">
        <v>20341</v>
      </c>
      <c r="N3053" s="30">
        <v>20220</v>
      </c>
      <c r="O3053" s="24" t="str">
        <f t="shared" si="95"/>
        <v>Adams County, Wisconsin</v>
      </c>
    </row>
    <row r="3054" spans="1:15" x14ac:dyDescent="0.25">
      <c r="A3054" s="35" t="s">
        <v>3529</v>
      </c>
      <c r="B3054" s="28" t="str">
        <f t="shared" si="94"/>
        <v>Ashland</v>
      </c>
      <c r="C3054" s="30">
        <v>16157</v>
      </c>
      <c r="D3054" s="30">
        <v>16157</v>
      </c>
      <c r="E3054" s="30">
        <v>16143</v>
      </c>
      <c r="F3054" s="30">
        <v>16029</v>
      </c>
      <c r="G3054" s="30">
        <v>15838</v>
      </c>
      <c r="H3054" s="30">
        <v>15970</v>
      </c>
      <c r="I3054" s="30">
        <v>15995</v>
      </c>
      <c r="J3054" s="30">
        <v>15804</v>
      </c>
      <c r="K3054" s="30">
        <v>15633</v>
      </c>
      <c r="L3054" s="30">
        <v>15501</v>
      </c>
      <c r="M3054" s="30">
        <v>15587</v>
      </c>
      <c r="N3054" s="30">
        <v>15562</v>
      </c>
      <c r="O3054" s="24" t="str">
        <f t="shared" si="95"/>
        <v>Ashland County, Wisconsin</v>
      </c>
    </row>
    <row r="3055" spans="1:15" x14ac:dyDescent="0.25">
      <c r="A3055" s="35" t="s">
        <v>3530</v>
      </c>
      <c r="B3055" s="28" t="str">
        <f t="shared" si="94"/>
        <v>Barron</v>
      </c>
      <c r="C3055" s="30">
        <v>45870</v>
      </c>
      <c r="D3055" s="30">
        <v>45873</v>
      </c>
      <c r="E3055" s="30">
        <v>45814</v>
      </c>
      <c r="F3055" s="30">
        <v>45890</v>
      </c>
      <c r="G3055" s="30">
        <v>45777</v>
      </c>
      <c r="H3055" s="30">
        <v>45581</v>
      </c>
      <c r="I3055" s="30">
        <v>45349</v>
      </c>
      <c r="J3055" s="30">
        <v>45367</v>
      </c>
      <c r="K3055" s="30">
        <v>45242</v>
      </c>
      <c r="L3055" s="30">
        <v>45141</v>
      </c>
      <c r="M3055" s="30">
        <v>45150</v>
      </c>
      <c r="N3055" s="30">
        <v>45244</v>
      </c>
      <c r="O3055" s="24" t="str">
        <f t="shared" si="95"/>
        <v>Barron County, Wisconsin</v>
      </c>
    </row>
    <row r="3056" spans="1:15" x14ac:dyDescent="0.25">
      <c r="A3056" s="35" t="s">
        <v>3531</v>
      </c>
      <c r="B3056" s="28" t="str">
        <f t="shared" si="94"/>
        <v>Bayfield</v>
      </c>
      <c r="C3056" s="30">
        <v>15014</v>
      </c>
      <c r="D3056" s="30">
        <v>15008</v>
      </c>
      <c r="E3056" s="30">
        <v>15000</v>
      </c>
      <c r="F3056" s="30">
        <v>15059</v>
      </c>
      <c r="G3056" s="30">
        <v>15057</v>
      </c>
      <c r="H3056" s="30">
        <v>15113</v>
      </c>
      <c r="I3056" s="30">
        <v>14973</v>
      </c>
      <c r="J3056" s="30">
        <v>14976</v>
      </c>
      <c r="K3056" s="30">
        <v>14923</v>
      </c>
      <c r="L3056" s="30">
        <v>15006</v>
      </c>
      <c r="M3056" s="30">
        <v>15026</v>
      </c>
      <c r="N3056" s="30">
        <v>15036</v>
      </c>
      <c r="O3056" s="24" t="str">
        <f t="shared" si="95"/>
        <v>Bayfield County, Wisconsin</v>
      </c>
    </row>
    <row r="3057" spans="1:15" x14ac:dyDescent="0.25">
      <c r="A3057" s="35" t="s">
        <v>3532</v>
      </c>
      <c r="B3057" s="28" t="str">
        <f t="shared" si="94"/>
        <v>Brown</v>
      </c>
      <c r="C3057" s="30">
        <v>248007</v>
      </c>
      <c r="D3057" s="30">
        <v>248003</v>
      </c>
      <c r="E3057" s="30">
        <v>248476</v>
      </c>
      <c r="F3057" s="30">
        <v>250481</v>
      </c>
      <c r="G3057" s="30">
        <v>252682</v>
      </c>
      <c r="H3057" s="30">
        <v>254211</v>
      </c>
      <c r="I3057" s="30">
        <v>256202</v>
      </c>
      <c r="J3057" s="30">
        <v>257856</v>
      </c>
      <c r="K3057" s="30">
        <v>259514</v>
      </c>
      <c r="L3057" s="30">
        <v>261762</v>
      </c>
      <c r="M3057" s="30">
        <v>263165</v>
      </c>
      <c r="N3057" s="30">
        <v>264542</v>
      </c>
      <c r="O3057" s="24" t="str">
        <f t="shared" si="95"/>
        <v>Brown County, Wisconsin</v>
      </c>
    </row>
    <row r="3058" spans="1:15" x14ac:dyDescent="0.25">
      <c r="A3058" s="35" t="s">
        <v>3533</v>
      </c>
      <c r="B3058" s="28" t="str">
        <f t="shared" si="94"/>
        <v>Buffalo</v>
      </c>
      <c r="C3058" s="30">
        <v>13587</v>
      </c>
      <c r="D3058" s="30">
        <v>13588</v>
      </c>
      <c r="E3058" s="30">
        <v>13551</v>
      </c>
      <c r="F3058" s="30">
        <v>13440</v>
      </c>
      <c r="G3058" s="30">
        <v>13343</v>
      </c>
      <c r="H3058" s="30">
        <v>13365</v>
      </c>
      <c r="I3058" s="30">
        <v>13231</v>
      </c>
      <c r="J3058" s="30">
        <v>13245</v>
      </c>
      <c r="K3058" s="30">
        <v>13134</v>
      </c>
      <c r="L3058" s="30">
        <v>13105</v>
      </c>
      <c r="M3058" s="30">
        <v>13114</v>
      </c>
      <c r="N3058" s="30">
        <v>13031</v>
      </c>
      <c r="O3058" s="24" t="str">
        <f t="shared" si="95"/>
        <v>Buffalo County, Wisconsin</v>
      </c>
    </row>
    <row r="3059" spans="1:15" x14ac:dyDescent="0.25">
      <c r="A3059" s="35" t="s">
        <v>3534</v>
      </c>
      <c r="B3059" s="28" t="str">
        <f t="shared" si="94"/>
        <v>Burnett</v>
      </c>
      <c r="C3059" s="30">
        <v>15457</v>
      </c>
      <c r="D3059" s="30">
        <v>15458</v>
      </c>
      <c r="E3059" s="30">
        <v>15430</v>
      </c>
      <c r="F3059" s="30">
        <v>15464</v>
      </c>
      <c r="G3059" s="30">
        <v>15340</v>
      </c>
      <c r="H3059" s="30">
        <v>15269</v>
      </c>
      <c r="I3059" s="30">
        <v>15232</v>
      </c>
      <c r="J3059" s="30">
        <v>15142</v>
      </c>
      <c r="K3059" s="30">
        <v>15222</v>
      </c>
      <c r="L3059" s="30">
        <v>15295</v>
      </c>
      <c r="M3059" s="30">
        <v>15374</v>
      </c>
      <c r="N3059" s="30">
        <v>15414</v>
      </c>
      <c r="O3059" s="24" t="str">
        <f t="shared" si="95"/>
        <v>Burnett County, Wisconsin</v>
      </c>
    </row>
    <row r="3060" spans="1:15" x14ac:dyDescent="0.25">
      <c r="A3060" s="35" t="s">
        <v>3535</v>
      </c>
      <c r="B3060" s="28" t="str">
        <f t="shared" si="94"/>
        <v>Calumet</v>
      </c>
      <c r="C3060" s="30">
        <v>48971</v>
      </c>
      <c r="D3060" s="30">
        <v>48981</v>
      </c>
      <c r="E3060" s="30">
        <v>49040</v>
      </c>
      <c r="F3060" s="30">
        <v>49622</v>
      </c>
      <c r="G3060" s="30">
        <v>49653</v>
      </c>
      <c r="H3060" s="30">
        <v>49648</v>
      </c>
      <c r="I3060" s="30">
        <v>49479</v>
      </c>
      <c r="J3060" s="30">
        <v>49818</v>
      </c>
      <c r="K3060" s="30">
        <v>49607</v>
      </c>
      <c r="L3060" s="30">
        <v>49995</v>
      </c>
      <c r="M3060" s="30">
        <v>50132</v>
      </c>
      <c r="N3060" s="30">
        <v>50089</v>
      </c>
      <c r="O3060" s="24" t="str">
        <f t="shared" si="95"/>
        <v>Calumet County, Wisconsin</v>
      </c>
    </row>
    <row r="3061" spans="1:15" x14ac:dyDescent="0.25">
      <c r="A3061" s="35" t="s">
        <v>3536</v>
      </c>
      <c r="B3061" s="28" t="str">
        <f t="shared" si="94"/>
        <v>Chippewa</v>
      </c>
      <c r="C3061" s="30">
        <v>62415</v>
      </c>
      <c r="D3061" s="30">
        <v>62502</v>
      </c>
      <c r="E3061" s="30">
        <v>62638</v>
      </c>
      <c r="F3061" s="30">
        <v>62948</v>
      </c>
      <c r="G3061" s="30">
        <v>63053</v>
      </c>
      <c r="H3061" s="30">
        <v>63088</v>
      </c>
      <c r="I3061" s="30">
        <v>63333</v>
      </c>
      <c r="J3061" s="30">
        <v>63421</v>
      </c>
      <c r="K3061" s="30">
        <v>63523</v>
      </c>
      <c r="L3061" s="30">
        <v>63747</v>
      </c>
      <c r="M3061" s="30">
        <v>64109</v>
      </c>
      <c r="N3061" s="30">
        <v>64658</v>
      </c>
      <c r="O3061" s="24" t="str">
        <f t="shared" si="95"/>
        <v>Chippewa County, Wisconsin</v>
      </c>
    </row>
    <row r="3062" spans="1:15" x14ac:dyDescent="0.25">
      <c r="A3062" s="35" t="s">
        <v>3537</v>
      </c>
      <c r="B3062" s="28" t="str">
        <f t="shared" si="94"/>
        <v>Clark</v>
      </c>
      <c r="C3062" s="30">
        <v>34690</v>
      </c>
      <c r="D3062" s="30">
        <v>34691</v>
      </c>
      <c r="E3062" s="30">
        <v>34683</v>
      </c>
      <c r="F3062" s="30">
        <v>34683</v>
      </c>
      <c r="G3062" s="30">
        <v>34445</v>
      </c>
      <c r="H3062" s="30">
        <v>34538</v>
      </c>
      <c r="I3062" s="30">
        <v>34355</v>
      </c>
      <c r="J3062" s="30">
        <v>34358</v>
      </c>
      <c r="K3062" s="30">
        <v>34485</v>
      </c>
      <c r="L3062" s="30">
        <v>34571</v>
      </c>
      <c r="M3062" s="30">
        <v>34705</v>
      </c>
      <c r="N3062" s="30">
        <v>34774</v>
      </c>
      <c r="O3062" s="24" t="str">
        <f t="shared" si="95"/>
        <v>Clark County, Wisconsin</v>
      </c>
    </row>
    <row r="3063" spans="1:15" x14ac:dyDescent="0.25">
      <c r="A3063" s="35" t="s">
        <v>3538</v>
      </c>
      <c r="B3063" s="28" t="str">
        <f t="shared" si="94"/>
        <v>Columbia</v>
      </c>
      <c r="C3063" s="30">
        <v>56833</v>
      </c>
      <c r="D3063" s="30">
        <v>56859</v>
      </c>
      <c r="E3063" s="30">
        <v>56860</v>
      </c>
      <c r="F3063" s="30">
        <v>56713</v>
      </c>
      <c r="G3063" s="30">
        <v>56479</v>
      </c>
      <c r="H3063" s="30">
        <v>56581</v>
      </c>
      <c r="I3063" s="30">
        <v>56648</v>
      </c>
      <c r="J3063" s="30">
        <v>56682</v>
      </c>
      <c r="K3063" s="30">
        <v>56875</v>
      </c>
      <c r="L3063" s="30">
        <v>57244</v>
      </c>
      <c r="M3063" s="30">
        <v>57333</v>
      </c>
      <c r="N3063" s="30">
        <v>57532</v>
      </c>
      <c r="O3063" s="24" t="str">
        <f t="shared" si="95"/>
        <v>Columbia County, Wisconsin</v>
      </c>
    </row>
    <row r="3064" spans="1:15" x14ac:dyDescent="0.25">
      <c r="A3064" s="35" t="s">
        <v>3539</v>
      </c>
      <c r="B3064" s="28" t="str">
        <f t="shared" si="94"/>
        <v>Crawford</v>
      </c>
      <c r="C3064" s="30">
        <v>16644</v>
      </c>
      <c r="D3064" s="30">
        <v>16644</v>
      </c>
      <c r="E3064" s="30">
        <v>16633</v>
      </c>
      <c r="F3064" s="30">
        <v>16680</v>
      </c>
      <c r="G3064" s="30">
        <v>16517</v>
      </c>
      <c r="H3064" s="30">
        <v>16392</v>
      </c>
      <c r="I3064" s="30">
        <v>16348</v>
      </c>
      <c r="J3064" s="30">
        <v>16328</v>
      </c>
      <c r="K3064" s="30">
        <v>16250</v>
      </c>
      <c r="L3064" s="30">
        <v>16199</v>
      </c>
      <c r="M3064" s="30">
        <v>16265</v>
      </c>
      <c r="N3064" s="30">
        <v>16131</v>
      </c>
      <c r="O3064" s="24" t="str">
        <f t="shared" si="95"/>
        <v>Crawford County, Wisconsin</v>
      </c>
    </row>
    <row r="3065" spans="1:15" x14ac:dyDescent="0.25">
      <c r="A3065" s="35" t="s">
        <v>3540</v>
      </c>
      <c r="B3065" s="28" t="str">
        <f t="shared" si="94"/>
        <v>Dane</v>
      </c>
      <c r="C3065" s="30">
        <v>488073</v>
      </c>
      <c r="D3065" s="30">
        <v>488081</v>
      </c>
      <c r="E3065" s="30">
        <v>489218</v>
      </c>
      <c r="F3065" s="30">
        <v>496009</v>
      </c>
      <c r="G3065" s="30">
        <v>502902</v>
      </c>
      <c r="H3065" s="30">
        <v>509762</v>
      </c>
      <c r="I3065" s="30">
        <v>516282</v>
      </c>
      <c r="J3065" s="30">
        <v>523000</v>
      </c>
      <c r="K3065" s="30">
        <v>531296</v>
      </c>
      <c r="L3065" s="30">
        <v>537453</v>
      </c>
      <c r="M3065" s="30">
        <v>541948</v>
      </c>
      <c r="N3065" s="30">
        <v>546695</v>
      </c>
      <c r="O3065" s="24" t="str">
        <f t="shared" si="95"/>
        <v>Dane County, Wisconsin</v>
      </c>
    </row>
    <row r="3066" spans="1:15" x14ac:dyDescent="0.25">
      <c r="A3066" s="35" t="s">
        <v>3541</v>
      </c>
      <c r="B3066" s="28" t="str">
        <f t="shared" si="94"/>
        <v>Dodge</v>
      </c>
      <c r="C3066" s="30">
        <v>88759</v>
      </c>
      <c r="D3066" s="30">
        <v>88750</v>
      </c>
      <c r="E3066" s="30">
        <v>88728</v>
      </c>
      <c r="F3066" s="30">
        <v>88389</v>
      </c>
      <c r="G3066" s="30">
        <v>88148</v>
      </c>
      <c r="H3066" s="30">
        <v>87933</v>
      </c>
      <c r="I3066" s="30">
        <v>88071</v>
      </c>
      <c r="J3066" s="30">
        <v>87816</v>
      </c>
      <c r="K3066" s="30">
        <v>87382</v>
      </c>
      <c r="L3066" s="30">
        <v>87705</v>
      </c>
      <c r="M3066" s="30">
        <v>87833</v>
      </c>
      <c r="N3066" s="30">
        <v>87839</v>
      </c>
      <c r="O3066" s="24" t="str">
        <f t="shared" si="95"/>
        <v>Dodge County, Wisconsin</v>
      </c>
    </row>
    <row r="3067" spans="1:15" x14ac:dyDescent="0.25">
      <c r="A3067" s="35" t="s">
        <v>3542</v>
      </c>
      <c r="B3067" s="28" t="str">
        <f t="shared" si="94"/>
        <v>Door</v>
      </c>
      <c r="C3067" s="30">
        <v>27785</v>
      </c>
      <c r="D3067" s="30">
        <v>27785</v>
      </c>
      <c r="E3067" s="30">
        <v>27750</v>
      </c>
      <c r="F3067" s="30">
        <v>27766</v>
      </c>
      <c r="G3067" s="30">
        <v>27536</v>
      </c>
      <c r="H3067" s="30">
        <v>27609</v>
      </c>
      <c r="I3067" s="30">
        <v>27470</v>
      </c>
      <c r="J3067" s="30">
        <v>27311</v>
      </c>
      <c r="K3067" s="30">
        <v>27338</v>
      </c>
      <c r="L3067" s="30">
        <v>27454</v>
      </c>
      <c r="M3067" s="30">
        <v>27589</v>
      </c>
      <c r="N3067" s="30">
        <v>27668</v>
      </c>
      <c r="O3067" s="24" t="str">
        <f t="shared" si="95"/>
        <v>Door County, Wisconsin</v>
      </c>
    </row>
    <row r="3068" spans="1:15" x14ac:dyDescent="0.25">
      <c r="A3068" s="35" t="s">
        <v>3543</v>
      </c>
      <c r="B3068" s="28" t="str">
        <f t="shared" si="94"/>
        <v>Douglas</v>
      </c>
      <c r="C3068" s="30">
        <v>44159</v>
      </c>
      <c r="D3068" s="30">
        <v>44159</v>
      </c>
      <c r="E3068" s="30">
        <v>44134</v>
      </c>
      <c r="F3068" s="30">
        <v>43958</v>
      </c>
      <c r="G3068" s="30">
        <v>43751</v>
      </c>
      <c r="H3068" s="30">
        <v>43760</v>
      </c>
      <c r="I3068" s="30">
        <v>43643</v>
      </c>
      <c r="J3068" s="30">
        <v>43495</v>
      </c>
      <c r="K3068" s="30">
        <v>43359</v>
      </c>
      <c r="L3068" s="30">
        <v>43328</v>
      </c>
      <c r="M3068" s="30">
        <v>43143</v>
      </c>
      <c r="N3068" s="30">
        <v>43150</v>
      </c>
      <c r="O3068" s="24" t="str">
        <f t="shared" si="95"/>
        <v>Douglas County, Wisconsin</v>
      </c>
    </row>
    <row r="3069" spans="1:15" x14ac:dyDescent="0.25">
      <c r="A3069" s="35" t="s">
        <v>3544</v>
      </c>
      <c r="B3069" s="28" t="str">
        <f t="shared" si="94"/>
        <v>Dunn</v>
      </c>
      <c r="C3069" s="30">
        <v>43857</v>
      </c>
      <c r="D3069" s="30">
        <v>43865</v>
      </c>
      <c r="E3069" s="30">
        <v>43887</v>
      </c>
      <c r="F3069" s="30">
        <v>43800</v>
      </c>
      <c r="G3069" s="30">
        <v>43806</v>
      </c>
      <c r="H3069" s="30">
        <v>44046</v>
      </c>
      <c r="I3069" s="30">
        <v>44075</v>
      </c>
      <c r="J3069" s="30">
        <v>44267</v>
      </c>
      <c r="K3069" s="30">
        <v>44354</v>
      </c>
      <c r="L3069" s="30">
        <v>44714</v>
      </c>
      <c r="M3069" s="30">
        <v>45091</v>
      </c>
      <c r="N3069" s="30">
        <v>45368</v>
      </c>
      <c r="O3069" s="24" t="str">
        <f t="shared" si="95"/>
        <v>Dunn County, Wisconsin</v>
      </c>
    </row>
    <row r="3070" spans="1:15" x14ac:dyDescent="0.25">
      <c r="A3070" s="35" t="s">
        <v>3545</v>
      </c>
      <c r="B3070" s="28" t="str">
        <f t="shared" si="94"/>
        <v>Eau Claire</v>
      </c>
      <c r="C3070" s="30">
        <v>98736</v>
      </c>
      <c r="D3070" s="30">
        <v>98881</v>
      </c>
      <c r="E3070" s="30">
        <v>99017</v>
      </c>
      <c r="F3070" s="30">
        <v>99938</v>
      </c>
      <c r="G3070" s="30">
        <v>100839</v>
      </c>
      <c r="H3070" s="30">
        <v>101734</v>
      </c>
      <c r="I3070" s="30">
        <v>101690</v>
      </c>
      <c r="J3070" s="30">
        <v>102080</v>
      </c>
      <c r="K3070" s="30">
        <v>102907</v>
      </c>
      <c r="L3070" s="30">
        <v>103582</v>
      </c>
      <c r="M3070" s="30">
        <v>104355</v>
      </c>
      <c r="N3070" s="30">
        <v>104646</v>
      </c>
      <c r="O3070" s="24" t="str">
        <f t="shared" si="95"/>
        <v>Eau Claire County, Wisconsin</v>
      </c>
    </row>
    <row r="3071" spans="1:15" x14ac:dyDescent="0.25">
      <c r="A3071" s="35" t="s">
        <v>3546</v>
      </c>
      <c r="B3071" s="28" t="str">
        <f t="shared" si="94"/>
        <v>Florence</v>
      </c>
      <c r="C3071" s="30">
        <v>4423</v>
      </c>
      <c r="D3071" s="30">
        <v>4423</v>
      </c>
      <c r="E3071" s="30">
        <v>4398</v>
      </c>
      <c r="F3071" s="30">
        <v>4382</v>
      </c>
      <c r="G3071" s="30">
        <v>4366</v>
      </c>
      <c r="H3071" s="30">
        <v>4383</v>
      </c>
      <c r="I3071" s="30">
        <v>4344</v>
      </c>
      <c r="J3071" s="30">
        <v>4338</v>
      </c>
      <c r="K3071" s="30">
        <v>4313</v>
      </c>
      <c r="L3071" s="30">
        <v>4335</v>
      </c>
      <c r="M3071" s="30">
        <v>4294</v>
      </c>
      <c r="N3071" s="30">
        <v>4295</v>
      </c>
      <c r="O3071" s="24" t="str">
        <f t="shared" si="95"/>
        <v>Florence County, Wisconsin</v>
      </c>
    </row>
    <row r="3072" spans="1:15" x14ac:dyDescent="0.25">
      <c r="A3072" s="35" t="s">
        <v>3547</v>
      </c>
      <c r="B3072" s="28" t="str">
        <f t="shared" si="94"/>
        <v>Fond du Lac</v>
      </c>
      <c r="C3072" s="30">
        <v>101633</v>
      </c>
      <c r="D3072" s="30">
        <v>101623</v>
      </c>
      <c r="E3072" s="30">
        <v>101576</v>
      </c>
      <c r="F3072" s="30">
        <v>101810</v>
      </c>
      <c r="G3072" s="30">
        <v>101788</v>
      </c>
      <c r="H3072" s="30">
        <v>101787</v>
      </c>
      <c r="I3072" s="30">
        <v>101977</v>
      </c>
      <c r="J3072" s="30">
        <v>101955</v>
      </c>
      <c r="K3072" s="30">
        <v>102211</v>
      </c>
      <c r="L3072" s="30">
        <v>102417</v>
      </c>
      <c r="M3072" s="30">
        <v>103001</v>
      </c>
      <c r="N3072" s="30">
        <v>103403</v>
      </c>
      <c r="O3072" s="24" t="str">
        <f t="shared" si="95"/>
        <v>Fond du Lac County, Wisconsin</v>
      </c>
    </row>
    <row r="3073" spans="1:15" x14ac:dyDescent="0.25">
      <c r="A3073" s="35" t="s">
        <v>3548</v>
      </c>
      <c r="B3073" s="28" t="str">
        <f t="shared" si="94"/>
        <v>Forest</v>
      </c>
      <c r="C3073" s="30">
        <v>9304</v>
      </c>
      <c r="D3073" s="30">
        <v>9304</v>
      </c>
      <c r="E3073" s="30">
        <v>9294</v>
      </c>
      <c r="F3073" s="30">
        <v>9246</v>
      </c>
      <c r="G3073" s="30">
        <v>9157</v>
      </c>
      <c r="H3073" s="30">
        <v>9090</v>
      </c>
      <c r="I3073" s="30">
        <v>9102</v>
      </c>
      <c r="J3073" s="30">
        <v>9004</v>
      </c>
      <c r="K3073" s="30">
        <v>9021</v>
      </c>
      <c r="L3073" s="30">
        <v>8969</v>
      </c>
      <c r="M3073" s="30">
        <v>8977</v>
      </c>
      <c r="N3073" s="30">
        <v>9004</v>
      </c>
      <c r="O3073" s="24" t="str">
        <f t="shared" si="95"/>
        <v>Forest County, Wisconsin</v>
      </c>
    </row>
    <row r="3074" spans="1:15" x14ac:dyDescent="0.25">
      <c r="A3074" s="35" t="s">
        <v>3549</v>
      </c>
      <c r="B3074" s="28" t="str">
        <f t="shared" si="94"/>
        <v>Grant</v>
      </c>
      <c r="C3074" s="30">
        <v>51208</v>
      </c>
      <c r="D3074" s="30">
        <v>51204</v>
      </c>
      <c r="E3074" s="30">
        <v>51233</v>
      </c>
      <c r="F3074" s="30">
        <v>51178</v>
      </c>
      <c r="G3074" s="30">
        <v>50871</v>
      </c>
      <c r="H3074" s="30">
        <v>50994</v>
      </c>
      <c r="I3074" s="30">
        <v>51684</v>
      </c>
      <c r="J3074" s="30">
        <v>52071</v>
      </c>
      <c r="K3074" s="30">
        <v>51985</v>
      </c>
      <c r="L3074" s="30">
        <v>51728</v>
      </c>
      <c r="M3074" s="30">
        <v>51444</v>
      </c>
      <c r="N3074" s="30">
        <v>51439</v>
      </c>
      <c r="O3074" s="24" t="str">
        <f t="shared" si="95"/>
        <v>Grant County, Wisconsin</v>
      </c>
    </row>
    <row r="3075" spans="1:15" x14ac:dyDescent="0.25">
      <c r="A3075" s="35" t="s">
        <v>3550</v>
      </c>
      <c r="B3075" s="28" t="str">
        <f t="shared" si="94"/>
        <v>Green</v>
      </c>
      <c r="C3075" s="30">
        <v>36842</v>
      </c>
      <c r="D3075" s="30">
        <v>36839</v>
      </c>
      <c r="E3075" s="30">
        <v>36857</v>
      </c>
      <c r="F3075" s="30">
        <v>36856</v>
      </c>
      <c r="G3075" s="30">
        <v>36760</v>
      </c>
      <c r="H3075" s="30">
        <v>36934</v>
      </c>
      <c r="I3075" s="30">
        <v>36858</v>
      </c>
      <c r="J3075" s="30">
        <v>36931</v>
      </c>
      <c r="K3075" s="30">
        <v>36787</v>
      </c>
      <c r="L3075" s="30">
        <v>36877</v>
      </c>
      <c r="M3075" s="30">
        <v>36924</v>
      </c>
      <c r="N3075" s="30">
        <v>36960</v>
      </c>
      <c r="O3075" s="24" t="str">
        <f t="shared" si="95"/>
        <v>Green County, Wisconsin</v>
      </c>
    </row>
    <row r="3076" spans="1:15" x14ac:dyDescent="0.25">
      <c r="A3076" s="35" t="s">
        <v>3551</v>
      </c>
      <c r="B3076" s="28" t="str">
        <f t="shared" si="94"/>
        <v>Green Lake</v>
      </c>
      <c r="C3076" s="30">
        <v>19051</v>
      </c>
      <c r="D3076" s="30">
        <v>19044</v>
      </c>
      <c r="E3076" s="30">
        <v>19015</v>
      </c>
      <c r="F3076" s="30">
        <v>19055</v>
      </c>
      <c r="G3076" s="30">
        <v>18998</v>
      </c>
      <c r="H3076" s="30">
        <v>18880</v>
      </c>
      <c r="I3076" s="30">
        <v>18751</v>
      </c>
      <c r="J3076" s="30">
        <v>18698</v>
      </c>
      <c r="K3076" s="30">
        <v>18596</v>
      </c>
      <c r="L3076" s="30">
        <v>18720</v>
      </c>
      <c r="M3076" s="30">
        <v>18849</v>
      </c>
      <c r="N3076" s="30">
        <v>18913</v>
      </c>
      <c r="O3076" s="24" t="str">
        <f t="shared" si="95"/>
        <v>Green Lake County, Wisconsin</v>
      </c>
    </row>
    <row r="3077" spans="1:15" x14ac:dyDescent="0.25">
      <c r="A3077" s="35" t="s">
        <v>3552</v>
      </c>
      <c r="B3077" s="28" t="str">
        <f t="shared" si="94"/>
        <v>Iowa</v>
      </c>
      <c r="C3077" s="30">
        <v>23687</v>
      </c>
      <c r="D3077" s="30">
        <v>23687</v>
      </c>
      <c r="E3077" s="30">
        <v>23690</v>
      </c>
      <c r="F3077" s="30">
        <v>23581</v>
      </c>
      <c r="G3077" s="30">
        <v>23578</v>
      </c>
      <c r="H3077" s="30">
        <v>23556</v>
      </c>
      <c r="I3077" s="30">
        <v>23581</v>
      </c>
      <c r="J3077" s="30">
        <v>23585</v>
      </c>
      <c r="K3077" s="30">
        <v>23430</v>
      </c>
      <c r="L3077" s="30">
        <v>23676</v>
      </c>
      <c r="M3077" s="30">
        <v>23722</v>
      </c>
      <c r="N3077" s="30">
        <v>23678</v>
      </c>
      <c r="O3077" s="24" t="str">
        <f t="shared" si="95"/>
        <v>Iowa County, Wisconsin</v>
      </c>
    </row>
    <row r="3078" spans="1:15" x14ac:dyDescent="0.25">
      <c r="A3078" s="35" t="s">
        <v>3553</v>
      </c>
      <c r="B3078" s="28" t="str">
        <f t="shared" si="94"/>
        <v>Iron</v>
      </c>
      <c r="C3078" s="30">
        <v>5916</v>
      </c>
      <c r="D3078" s="30">
        <v>5916</v>
      </c>
      <c r="E3078" s="30">
        <v>5924</v>
      </c>
      <c r="F3078" s="30">
        <v>5959</v>
      </c>
      <c r="G3078" s="30">
        <v>5888</v>
      </c>
      <c r="H3078" s="30">
        <v>5829</v>
      </c>
      <c r="I3078" s="30">
        <v>5861</v>
      </c>
      <c r="J3078" s="30">
        <v>5727</v>
      </c>
      <c r="K3078" s="30">
        <v>5660</v>
      </c>
      <c r="L3078" s="30">
        <v>5675</v>
      </c>
      <c r="M3078" s="30">
        <v>5687</v>
      </c>
      <c r="N3078" s="30">
        <v>5687</v>
      </c>
      <c r="O3078" s="24" t="str">
        <f t="shared" si="95"/>
        <v>Iron County, Wisconsin</v>
      </c>
    </row>
    <row r="3079" spans="1:15" x14ac:dyDescent="0.25">
      <c r="A3079" s="35" t="s">
        <v>3554</v>
      </c>
      <c r="B3079" s="28" t="str">
        <f t="shared" ref="B3079:B3142" si="96">LEFT(A3079,FIND("County",A3079,1)-2)</f>
        <v>Jackson</v>
      </c>
      <c r="C3079" s="30">
        <v>20449</v>
      </c>
      <c r="D3079" s="30">
        <v>20441</v>
      </c>
      <c r="E3079" s="30">
        <v>20465</v>
      </c>
      <c r="F3079" s="30">
        <v>20522</v>
      </c>
      <c r="G3079" s="30">
        <v>20496</v>
      </c>
      <c r="H3079" s="30">
        <v>20559</v>
      </c>
      <c r="I3079" s="30">
        <v>20581</v>
      </c>
      <c r="J3079" s="30">
        <v>20524</v>
      </c>
      <c r="K3079" s="30">
        <v>20484</v>
      </c>
      <c r="L3079" s="30">
        <v>20485</v>
      </c>
      <c r="M3079" s="30">
        <v>20472</v>
      </c>
      <c r="N3079" s="30">
        <v>20643</v>
      </c>
      <c r="O3079" s="24" t="str">
        <f t="shared" ref="O3079:O3142" si="97">A3079</f>
        <v>Jackson County, Wisconsin</v>
      </c>
    </row>
    <row r="3080" spans="1:15" x14ac:dyDescent="0.25">
      <c r="A3080" s="35" t="s">
        <v>3555</v>
      </c>
      <c r="B3080" s="28" t="str">
        <f t="shared" si="96"/>
        <v>Jefferson</v>
      </c>
      <c r="C3080" s="30">
        <v>83686</v>
      </c>
      <c r="D3080" s="30">
        <v>83688</v>
      </c>
      <c r="E3080" s="30">
        <v>83724</v>
      </c>
      <c r="F3080" s="30">
        <v>83846</v>
      </c>
      <c r="G3080" s="30">
        <v>84359</v>
      </c>
      <c r="H3080" s="30">
        <v>84604</v>
      </c>
      <c r="I3080" s="30">
        <v>84361</v>
      </c>
      <c r="J3080" s="30">
        <v>84488</v>
      </c>
      <c r="K3080" s="30">
        <v>84464</v>
      </c>
      <c r="L3080" s="30">
        <v>84733</v>
      </c>
      <c r="M3080" s="30">
        <v>85049</v>
      </c>
      <c r="N3080" s="30">
        <v>84769</v>
      </c>
      <c r="O3080" s="24" t="str">
        <f t="shared" si="97"/>
        <v>Jefferson County, Wisconsin</v>
      </c>
    </row>
    <row r="3081" spans="1:15" x14ac:dyDescent="0.25">
      <c r="A3081" s="35" t="s">
        <v>3556</v>
      </c>
      <c r="B3081" s="28" t="str">
        <f t="shared" si="96"/>
        <v>Juneau</v>
      </c>
      <c r="C3081" s="30">
        <v>26664</v>
      </c>
      <c r="D3081" s="30">
        <v>26665</v>
      </c>
      <c r="E3081" s="30">
        <v>26672</v>
      </c>
      <c r="F3081" s="30">
        <v>26700</v>
      </c>
      <c r="G3081" s="30">
        <v>26771</v>
      </c>
      <c r="H3081" s="30">
        <v>26567</v>
      </c>
      <c r="I3081" s="30">
        <v>26339</v>
      </c>
      <c r="J3081" s="30">
        <v>26307</v>
      </c>
      <c r="K3081" s="30">
        <v>26345</v>
      </c>
      <c r="L3081" s="30">
        <v>26460</v>
      </c>
      <c r="M3081" s="30">
        <v>26593</v>
      </c>
      <c r="N3081" s="30">
        <v>26687</v>
      </c>
      <c r="O3081" s="24" t="str">
        <f t="shared" si="97"/>
        <v>Juneau County, Wisconsin</v>
      </c>
    </row>
    <row r="3082" spans="1:15" x14ac:dyDescent="0.25">
      <c r="A3082" s="35" t="s">
        <v>3557</v>
      </c>
      <c r="B3082" s="28" t="str">
        <f t="shared" si="96"/>
        <v>Kenosha</v>
      </c>
      <c r="C3082" s="30">
        <v>166426</v>
      </c>
      <c r="D3082" s="30">
        <v>166424</v>
      </c>
      <c r="E3082" s="30">
        <v>166626</v>
      </c>
      <c r="F3082" s="30">
        <v>166835</v>
      </c>
      <c r="G3082" s="30">
        <v>167216</v>
      </c>
      <c r="H3082" s="30">
        <v>167300</v>
      </c>
      <c r="I3082" s="30">
        <v>167836</v>
      </c>
      <c r="J3082" s="30">
        <v>167910</v>
      </c>
      <c r="K3082" s="30">
        <v>167867</v>
      </c>
      <c r="L3082" s="30">
        <v>168356</v>
      </c>
      <c r="M3082" s="30">
        <v>168926</v>
      </c>
      <c r="N3082" s="30">
        <v>169561</v>
      </c>
      <c r="O3082" s="24" t="str">
        <f t="shared" si="97"/>
        <v>Kenosha County, Wisconsin</v>
      </c>
    </row>
    <row r="3083" spans="1:15" x14ac:dyDescent="0.25">
      <c r="A3083" s="35" t="s">
        <v>3558</v>
      </c>
      <c r="B3083" s="28" t="str">
        <f t="shared" si="96"/>
        <v>Kewaunee</v>
      </c>
      <c r="C3083" s="30">
        <v>20574</v>
      </c>
      <c r="D3083" s="30">
        <v>20578</v>
      </c>
      <c r="E3083" s="30">
        <v>20561</v>
      </c>
      <c r="F3083" s="30">
        <v>20558</v>
      </c>
      <c r="G3083" s="30">
        <v>20505</v>
      </c>
      <c r="H3083" s="30">
        <v>20370</v>
      </c>
      <c r="I3083" s="30">
        <v>20341</v>
      </c>
      <c r="J3083" s="30">
        <v>20324</v>
      </c>
      <c r="K3083" s="30">
        <v>20380</v>
      </c>
      <c r="L3083" s="30">
        <v>20401</v>
      </c>
      <c r="M3083" s="30">
        <v>20395</v>
      </c>
      <c r="N3083" s="30">
        <v>20434</v>
      </c>
      <c r="O3083" s="24" t="str">
        <f t="shared" si="97"/>
        <v>Kewaunee County, Wisconsin</v>
      </c>
    </row>
    <row r="3084" spans="1:15" x14ac:dyDescent="0.25">
      <c r="A3084" s="35" t="s">
        <v>3559</v>
      </c>
      <c r="B3084" s="28" t="str">
        <f t="shared" si="96"/>
        <v>La Crosse</v>
      </c>
      <c r="C3084" s="30">
        <v>114638</v>
      </c>
      <c r="D3084" s="30">
        <v>114638</v>
      </c>
      <c r="E3084" s="30">
        <v>114872</v>
      </c>
      <c r="F3084" s="30">
        <v>115230</v>
      </c>
      <c r="G3084" s="30">
        <v>116543</v>
      </c>
      <c r="H3084" s="30">
        <v>116881</v>
      </c>
      <c r="I3084" s="30">
        <v>117440</v>
      </c>
      <c r="J3084" s="30">
        <v>117699</v>
      </c>
      <c r="K3084" s="30">
        <v>117681</v>
      </c>
      <c r="L3084" s="30">
        <v>118033</v>
      </c>
      <c r="M3084" s="30">
        <v>118041</v>
      </c>
      <c r="N3084" s="30">
        <v>118016</v>
      </c>
      <c r="O3084" s="24" t="str">
        <f t="shared" si="97"/>
        <v>La Crosse County, Wisconsin</v>
      </c>
    </row>
    <row r="3085" spans="1:15" x14ac:dyDescent="0.25">
      <c r="A3085" s="35" t="s">
        <v>3560</v>
      </c>
      <c r="B3085" s="28" t="str">
        <f t="shared" si="96"/>
        <v>Lafayette</v>
      </c>
      <c r="C3085" s="30">
        <v>16836</v>
      </c>
      <c r="D3085" s="30">
        <v>16833</v>
      </c>
      <c r="E3085" s="30">
        <v>16807</v>
      </c>
      <c r="F3085" s="30">
        <v>16863</v>
      </c>
      <c r="G3085" s="30">
        <v>16800</v>
      </c>
      <c r="H3085" s="30">
        <v>16669</v>
      </c>
      <c r="I3085" s="30">
        <v>16777</v>
      </c>
      <c r="J3085" s="30">
        <v>16791</v>
      </c>
      <c r="K3085" s="30">
        <v>16757</v>
      </c>
      <c r="L3085" s="30">
        <v>16689</v>
      </c>
      <c r="M3085" s="30">
        <v>16672</v>
      </c>
      <c r="N3085" s="30">
        <v>16665</v>
      </c>
      <c r="O3085" s="24" t="str">
        <f t="shared" si="97"/>
        <v>Lafayette County, Wisconsin</v>
      </c>
    </row>
    <row r="3086" spans="1:15" x14ac:dyDescent="0.25">
      <c r="A3086" s="35" t="s">
        <v>3561</v>
      </c>
      <c r="B3086" s="28" t="str">
        <f t="shared" si="96"/>
        <v>Langlade</v>
      </c>
      <c r="C3086" s="30">
        <v>19977</v>
      </c>
      <c r="D3086" s="30">
        <v>19977</v>
      </c>
      <c r="E3086" s="30">
        <v>19963</v>
      </c>
      <c r="F3086" s="30">
        <v>19792</v>
      </c>
      <c r="G3086" s="30">
        <v>19618</v>
      </c>
      <c r="H3086" s="30">
        <v>19408</v>
      </c>
      <c r="I3086" s="30">
        <v>19250</v>
      </c>
      <c r="J3086" s="30">
        <v>19048</v>
      </c>
      <c r="K3086" s="30">
        <v>19083</v>
      </c>
      <c r="L3086" s="30">
        <v>19175</v>
      </c>
      <c r="M3086" s="30">
        <v>19236</v>
      </c>
      <c r="N3086" s="30">
        <v>19189</v>
      </c>
      <c r="O3086" s="24" t="str">
        <f t="shared" si="97"/>
        <v>Langlade County, Wisconsin</v>
      </c>
    </row>
    <row r="3087" spans="1:15" x14ac:dyDescent="0.25">
      <c r="A3087" s="35" t="s">
        <v>3562</v>
      </c>
      <c r="B3087" s="28" t="str">
        <f t="shared" si="96"/>
        <v>Lincoln</v>
      </c>
      <c r="C3087" s="30">
        <v>28743</v>
      </c>
      <c r="D3087" s="30">
        <v>28743</v>
      </c>
      <c r="E3087" s="30">
        <v>28779</v>
      </c>
      <c r="F3087" s="30">
        <v>28505</v>
      </c>
      <c r="G3087" s="30">
        <v>28502</v>
      </c>
      <c r="H3087" s="30">
        <v>28305</v>
      </c>
      <c r="I3087" s="30">
        <v>28108</v>
      </c>
      <c r="J3087" s="30">
        <v>27867</v>
      </c>
      <c r="K3087" s="30">
        <v>27834</v>
      </c>
      <c r="L3087" s="30">
        <v>27751</v>
      </c>
      <c r="M3087" s="30">
        <v>27673</v>
      </c>
      <c r="N3087" s="30">
        <v>27593</v>
      </c>
      <c r="O3087" s="24" t="str">
        <f t="shared" si="97"/>
        <v>Lincoln County, Wisconsin</v>
      </c>
    </row>
    <row r="3088" spans="1:15" x14ac:dyDescent="0.25">
      <c r="A3088" s="35" t="s">
        <v>3563</v>
      </c>
      <c r="B3088" s="28" t="str">
        <f t="shared" si="96"/>
        <v>Manitowoc</v>
      </c>
      <c r="C3088" s="30">
        <v>81442</v>
      </c>
      <c r="D3088" s="30">
        <v>81444</v>
      </c>
      <c r="E3088" s="30">
        <v>81331</v>
      </c>
      <c r="F3088" s="30">
        <v>81038</v>
      </c>
      <c r="G3088" s="30">
        <v>80726</v>
      </c>
      <c r="H3088" s="30">
        <v>80485</v>
      </c>
      <c r="I3088" s="30">
        <v>79951</v>
      </c>
      <c r="J3088" s="30">
        <v>79483</v>
      </c>
      <c r="K3088" s="30">
        <v>79348</v>
      </c>
      <c r="L3088" s="30">
        <v>79099</v>
      </c>
      <c r="M3088" s="30">
        <v>79015</v>
      </c>
      <c r="N3088" s="30">
        <v>78981</v>
      </c>
      <c r="O3088" s="24" t="str">
        <f t="shared" si="97"/>
        <v>Manitowoc County, Wisconsin</v>
      </c>
    </row>
    <row r="3089" spans="1:15" x14ac:dyDescent="0.25">
      <c r="A3089" s="35" t="s">
        <v>3564</v>
      </c>
      <c r="B3089" s="28" t="str">
        <f t="shared" si="96"/>
        <v>Marathon</v>
      </c>
      <c r="C3089" s="30">
        <v>134063</v>
      </c>
      <c r="D3089" s="30">
        <v>134061</v>
      </c>
      <c r="E3089" s="30">
        <v>134050</v>
      </c>
      <c r="F3089" s="30">
        <v>134339</v>
      </c>
      <c r="G3089" s="30">
        <v>134368</v>
      </c>
      <c r="H3089" s="30">
        <v>134884</v>
      </c>
      <c r="I3089" s="30">
        <v>135133</v>
      </c>
      <c r="J3089" s="30">
        <v>135314</v>
      </c>
      <c r="K3089" s="30">
        <v>135101</v>
      </c>
      <c r="L3089" s="30">
        <v>135452</v>
      </c>
      <c r="M3089" s="30">
        <v>135421</v>
      </c>
      <c r="N3089" s="30">
        <v>135692</v>
      </c>
      <c r="O3089" s="24" t="str">
        <f t="shared" si="97"/>
        <v>Marathon County, Wisconsin</v>
      </c>
    </row>
    <row r="3090" spans="1:15" x14ac:dyDescent="0.25">
      <c r="A3090" s="35" t="s">
        <v>3565</v>
      </c>
      <c r="B3090" s="28" t="str">
        <f t="shared" si="96"/>
        <v>Marinette</v>
      </c>
      <c r="C3090" s="30">
        <v>41749</v>
      </c>
      <c r="D3090" s="30">
        <v>41749</v>
      </c>
      <c r="E3090" s="30">
        <v>41663</v>
      </c>
      <c r="F3090" s="30">
        <v>41415</v>
      </c>
      <c r="G3090" s="30">
        <v>41350</v>
      </c>
      <c r="H3090" s="30">
        <v>41288</v>
      </c>
      <c r="I3090" s="30">
        <v>41048</v>
      </c>
      <c r="J3090" s="30">
        <v>40649</v>
      </c>
      <c r="K3090" s="30">
        <v>40255</v>
      </c>
      <c r="L3090" s="30">
        <v>40300</v>
      </c>
      <c r="M3090" s="30">
        <v>40402</v>
      </c>
      <c r="N3090" s="30">
        <v>40350</v>
      </c>
      <c r="O3090" s="24" t="str">
        <f t="shared" si="97"/>
        <v>Marinette County, Wisconsin</v>
      </c>
    </row>
    <row r="3091" spans="1:15" x14ac:dyDescent="0.25">
      <c r="A3091" s="35" t="s">
        <v>3566</v>
      </c>
      <c r="B3091" s="28" t="str">
        <f t="shared" si="96"/>
        <v>Marquette</v>
      </c>
      <c r="C3091" s="30">
        <v>15404</v>
      </c>
      <c r="D3091" s="30">
        <v>15399</v>
      </c>
      <c r="E3091" s="30">
        <v>15375</v>
      </c>
      <c r="F3091" s="30">
        <v>15367</v>
      </c>
      <c r="G3091" s="30">
        <v>15241</v>
      </c>
      <c r="H3091" s="30">
        <v>15179</v>
      </c>
      <c r="I3091" s="30">
        <v>15069</v>
      </c>
      <c r="J3091" s="30">
        <v>15119</v>
      </c>
      <c r="K3091" s="30">
        <v>15130</v>
      </c>
      <c r="L3091" s="30">
        <v>15280</v>
      </c>
      <c r="M3091" s="30">
        <v>15418</v>
      </c>
      <c r="N3091" s="30">
        <v>15574</v>
      </c>
      <c r="O3091" s="24" t="str">
        <f t="shared" si="97"/>
        <v>Marquette County, Wisconsin</v>
      </c>
    </row>
    <row r="3092" spans="1:15" x14ac:dyDescent="0.25">
      <c r="A3092" s="35" t="s">
        <v>3567</v>
      </c>
      <c r="B3092" s="28" t="str">
        <f t="shared" si="96"/>
        <v>Menominee</v>
      </c>
      <c r="C3092" s="30">
        <v>4232</v>
      </c>
      <c r="D3092" s="30">
        <v>4232</v>
      </c>
      <c r="E3092" s="30">
        <v>4269</v>
      </c>
      <c r="F3092" s="30">
        <v>4372</v>
      </c>
      <c r="G3092" s="30">
        <v>4363</v>
      </c>
      <c r="H3092" s="30">
        <v>4383</v>
      </c>
      <c r="I3092" s="30">
        <v>4507</v>
      </c>
      <c r="J3092" s="30">
        <v>4509</v>
      </c>
      <c r="K3092" s="30">
        <v>4527</v>
      </c>
      <c r="L3092" s="30">
        <v>4599</v>
      </c>
      <c r="M3092" s="30">
        <v>4595</v>
      </c>
      <c r="N3092" s="30">
        <v>4556</v>
      </c>
      <c r="O3092" s="24" t="str">
        <f t="shared" si="97"/>
        <v>Menominee County, Wisconsin</v>
      </c>
    </row>
    <row r="3093" spans="1:15" x14ac:dyDescent="0.25">
      <c r="A3093" s="35" t="s">
        <v>3568</v>
      </c>
      <c r="B3093" s="28" t="str">
        <f t="shared" si="96"/>
        <v>Milwaukee</v>
      </c>
      <c r="C3093" s="30">
        <v>947735</v>
      </c>
      <c r="D3093" s="30">
        <v>947728</v>
      </c>
      <c r="E3093" s="30">
        <v>948285</v>
      </c>
      <c r="F3093" s="30">
        <v>951324</v>
      </c>
      <c r="G3093" s="30">
        <v>954595</v>
      </c>
      <c r="H3093" s="30">
        <v>957443</v>
      </c>
      <c r="I3093" s="30">
        <v>958426</v>
      </c>
      <c r="J3093" s="30">
        <v>958421</v>
      </c>
      <c r="K3093" s="30">
        <v>954841</v>
      </c>
      <c r="L3093" s="30">
        <v>950172</v>
      </c>
      <c r="M3093" s="30">
        <v>946969</v>
      </c>
      <c r="N3093" s="30">
        <v>945726</v>
      </c>
      <c r="O3093" s="24" t="str">
        <f t="shared" si="97"/>
        <v>Milwaukee County, Wisconsin</v>
      </c>
    </row>
    <row r="3094" spans="1:15" x14ac:dyDescent="0.25">
      <c r="A3094" s="35" t="s">
        <v>3569</v>
      </c>
      <c r="B3094" s="28" t="str">
        <f t="shared" si="96"/>
        <v>Monroe</v>
      </c>
      <c r="C3094" s="30">
        <v>44673</v>
      </c>
      <c r="D3094" s="30">
        <v>44677</v>
      </c>
      <c r="E3094" s="30">
        <v>44813</v>
      </c>
      <c r="F3094" s="30">
        <v>45051</v>
      </c>
      <c r="G3094" s="30">
        <v>45003</v>
      </c>
      <c r="H3094" s="30">
        <v>45123</v>
      </c>
      <c r="I3094" s="30">
        <v>45156</v>
      </c>
      <c r="J3094" s="30">
        <v>45322</v>
      </c>
      <c r="K3094" s="30">
        <v>45423</v>
      </c>
      <c r="L3094" s="30">
        <v>45715</v>
      </c>
      <c r="M3094" s="30">
        <v>46141</v>
      </c>
      <c r="N3094" s="30">
        <v>46253</v>
      </c>
      <c r="O3094" s="24" t="str">
        <f t="shared" si="97"/>
        <v>Monroe County, Wisconsin</v>
      </c>
    </row>
    <row r="3095" spans="1:15" x14ac:dyDescent="0.25">
      <c r="A3095" s="35" t="s">
        <v>3570</v>
      </c>
      <c r="B3095" s="28" t="str">
        <f t="shared" si="96"/>
        <v>Oconto</v>
      </c>
      <c r="C3095" s="30">
        <v>37660</v>
      </c>
      <c r="D3095" s="30">
        <v>37660</v>
      </c>
      <c r="E3095" s="30">
        <v>37717</v>
      </c>
      <c r="F3095" s="30">
        <v>37574</v>
      </c>
      <c r="G3095" s="30">
        <v>37418</v>
      </c>
      <c r="H3095" s="30">
        <v>37366</v>
      </c>
      <c r="I3095" s="30">
        <v>37460</v>
      </c>
      <c r="J3095" s="30">
        <v>37472</v>
      </c>
      <c r="K3095" s="30">
        <v>37475</v>
      </c>
      <c r="L3095" s="30">
        <v>37531</v>
      </c>
      <c r="M3095" s="30">
        <v>37824</v>
      </c>
      <c r="N3095" s="30">
        <v>37930</v>
      </c>
      <c r="O3095" s="24" t="str">
        <f t="shared" si="97"/>
        <v>Oconto County, Wisconsin</v>
      </c>
    </row>
    <row r="3096" spans="1:15" x14ac:dyDescent="0.25">
      <c r="A3096" s="35" t="s">
        <v>3571</v>
      </c>
      <c r="B3096" s="28" t="str">
        <f t="shared" si="96"/>
        <v>Oneida</v>
      </c>
      <c r="C3096" s="30">
        <v>35998</v>
      </c>
      <c r="D3096" s="30">
        <v>36012</v>
      </c>
      <c r="E3096" s="30">
        <v>35949</v>
      </c>
      <c r="F3096" s="30">
        <v>35789</v>
      </c>
      <c r="G3096" s="30">
        <v>35673</v>
      </c>
      <c r="H3096" s="30">
        <v>35558</v>
      </c>
      <c r="I3096" s="30">
        <v>35325</v>
      </c>
      <c r="J3096" s="30">
        <v>35303</v>
      </c>
      <c r="K3096" s="30">
        <v>35329</v>
      </c>
      <c r="L3096" s="30">
        <v>35236</v>
      </c>
      <c r="M3096" s="30">
        <v>35444</v>
      </c>
      <c r="N3096" s="30">
        <v>35595</v>
      </c>
      <c r="O3096" s="24" t="str">
        <f t="shared" si="97"/>
        <v>Oneida County, Wisconsin</v>
      </c>
    </row>
    <row r="3097" spans="1:15" x14ac:dyDescent="0.25">
      <c r="A3097" s="35" t="s">
        <v>3572</v>
      </c>
      <c r="B3097" s="28" t="str">
        <f t="shared" si="96"/>
        <v>Outagamie</v>
      </c>
      <c r="C3097" s="30">
        <v>176695</v>
      </c>
      <c r="D3097" s="30">
        <v>176686</v>
      </c>
      <c r="E3097" s="30">
        <v>176908</v>
      </c>
      <c r="F3097" s="30">
        <v>177926</v>
      </c>
      <c r="G3097" s="30">
        <v>179003</v>
      </c>
      <c r="H3097" s="30">
        <v>180330</v>
      </c>
      <c r="I3097" s="30">
        <v>182148</v>
      </c>
      <c r="J3097" s="30">
        <v>183328</v>
      </c>
      <c r="K3097" s="30">
        <v>184593</v>
      </c>
      <c r="L3097" s="30">
        <v>185816</v>
      </c>
      <c r="M3097" s="30">
        <v>186879</v>
      </c>
      <c r="N3097" s="30">
        <v>187885</v>
      </c>
      <c r="O3097" s="24" t="str">
        <f t="shared" si="97"/>
        <v>Outagamie County, Wisconsin</v>
      </c>
    </row>
    <row r="3098" spans="1:15" x14ac:dyDescent="0.25">
      <c r="A3098" s="35" t="s">
        <v>3573</v>
      </c>
      <c r="B3098" s="28" t="str">
        <f t="shared" si="96"/>
        <v>Ozaukee</v>
      </c>
      <c r="C3098" s="30">
        <v>86395</v>
      </c>
      <c r="D3098" s="30">
        <v>86395</v>
      </c>
      <c r="E3098" s="30">
        <v>86377</v>
      </c>
      <c r="F3098" s="30">
        <v>86798</v>
      </c>
      <c r="G3098" s="30">
        <v>87111</v>
      </c>
      <c r="H3098" s="30">
        <v>87213</v>
      </c>
      <c r="I3098" s="30">
        <v>87578</v>
      </c>
      <c r="J3098" s="30">
        <v>87932</v>
      </c>
      <c r="K3098" s="30">
        <v>88332</v>
      </c>
      <c r="L3098" s="30">
        <v>88443</v>
      </c>
      <c r="M3098" s="30">
        <v>89059</v>
      </c>
      <c r="N3098" s="30">
        <v>89221</v>
      </c>
      <c r="O3098" s="24" t="str">
        <f t="shared" si="97"/>
        <v>Ozaukee County, Wisconsin</v>
      </c>
    </row>
    <row r="3099" spans="1:15" x14ac:dyDescent="0.25">
      <c r="A3099" s="35" t="s">
        <v>3574</v>
      </c>
      <c r="B3099" s="28" t="str">
        <f t="shared" si="96"/>
        <v>Pepin</v>
      </c>
      <c r="C3099" s="30">
        <v>7469</v>
      </c>
      <c r="D3099" s="30">
        <v>7469</v>
      </c>
      <c r="E3099" s="30">
        <v>7472</v>
      </c>
      <c r="F3099" s="30">
        <v>7400</v>
      </c>
      <c r="G3099" s="30">
        <v>7373</v>
      </c>
      <c r="H3099" s="30">
        <v>7347</v>
      </c>
      <c r="I3099" s="30">
        <v>7299</v>
      </c>
      <c r="J3099" s="30">
        <v>7237</v>
      </c>
      <c r="K3099" s="30">
        <v>7250</v>
      </c>
      <c r="L3099" s="30">
        <v>7246</v>
      </c>
      <c r="M3099" s="30">
        <v>7304</v>
      </c>
      <c r="N3099" s="30">
        <v>7287</v>
      </c>
      <c r="O3099" s="24" t="str">
        <f t="shared" si="97"/>
        <v>Pepin County, Wisconsin</v>
      </c>
    </row>
    <row r="3100" spans="1:15" x14ac:dyDescent="0.25">
      <c r="A3100" s="35" t="s">
        <v>3575</v>
      </c>
      <c r="B3100" s="28" t="str">
        <f t="shared" si="96"/>
        <v>Pierce</v>
      </c>
      <c r="C3100" s="30">
        <v>41019</v>
      </c>
      <c r="D3100" s="30">
        <v>41029</v>
      </c>
      <c r="E3100" s="30">
        <v>41089</v>
      </c>
      <c r="F3100" s="30">
        <v>40896</v>
      </c>
      <c r="G3100" s="30">
        <v>40725</v>
      </c>
      <c r="H3100" s="30">
        <v>40814</v>
      </c>
      <c r="I3100" s="30">
        <v>41038</v>
      </c>
      <c r="J3100" s="30">
        <v>41069</v>
      </c>
      <c r="K3100" s="30">
        <v>41456</v>
      </c>
      <c r="L3100" s="30">
        <v>42016</v>
      </c>
      <c r="M3100" s="30">
        <v>42592</v>
      </c>
      <c r="N3100" s="30">
        <v>42754</v>
      </c>
      <c r="O3100" s="24" t="str">
        <f t="shared" si="97"/>
        <v>Pierce County, Wisconsin</v>
      </c>
    </row>
    <row r="3101" spans="1:15" x14ac:dyDescent="0.25">
      <c r="A3101" s="35" t="s">
        <v>3576</v>
      </c>
      <c r="B3101" s="28" t="str">
        <f t="shared" si="96"/>
        <v>Polk</v>
      </c>
      <c r="C3101" s="30">
        <v>44205</v>
      </c>
      <c r="D3101" s="30">
        <v>44198</v>
      </c>
      <c r="E3101" s="30">
        <v>44156</v>
      </c>
      <c r="F3101" s="30">
        <v>43954</v>
      </c>
      <c r="G3101" s="30">
        <v>43519</v>
      </c>
      <c r="H3101" s="30">
        <v>43313</v>
      </c>
      <c r="I3101" s="30">
        <v>43328</v>
      </c>
      <c r="J3101" s="30">
        <v>43218</v>
      </c>
      <c r="K3101" s="30">
        <v>43224</v>
      </c>
      <c r="L3101" s="30">
        <v>43397</v>
      </c>
      <c r="M3101" s="30">
        <v>43568</v>
      </c>
      <c r="N3101" s="30">
        <v>43783</v>
      </c>
      <c r="O3101" s="24" t="str">
        <f t="shared" si="97"/>
        <v>Polk County, Wisconsin</v>
      </c>
    </row>
    <row r="3102" spans="1:15" x14ac:dyDescent="0.25">
      <c r="A3102" s="35" t="s">
        <v>3577</v>
      </c>
      <c r="B3102" s="28" t="str">
        <f t="shared" si="96"/>
        <v>Portage</v>
      </c>
      <c r="C3102" s="30">
        <v>70019</v>
      </c>
      <c r="D3102" s="30">
        <v>70021</v>
      </c>
      <c r="E3102" s="30">
        <v>70024</v>
      </c>
      <c r="F3102" s="30">
        <v>70088</v>
      </c>
      <c r="G3102" s="30">
        <v>70425</v>
      </c>
      <c r="H3102" s="30">
        <v>70518</v>
      </c>
      <c r="I3102" s="30">
        <v>70528</v>
      </c>
      <c r="J3102" s="30">
        <v>70520</v>
      </c>
      <c r="K3102" s="30">
        <v>70451</v>
      </c>
      <c r="L3102" s="30">
        <v>70565</v>
      </c>
      <c r="M3102" s="30">
        <v>70850</v>
      </c>
      <c r="N3102" s="30">
        <v>70772</v>
      </c>
      <c r="O3102" s="24" t="str">
        <f t="shared" si="97"/>
        <v>Portage County, Wisconsin</v>
      </c>
    </row>
    <row r="3103" spans="1:15" x14ac:dyDescent="0.25">
      <c r="A3103" s="35" t="s">
        <v>3578</v>
      </c>
      <c r="B3103" s="28" t="str">
        <f t="shared" si="96"/>
        <v>Price</v>
      </c>
      <c r="C3103" s="30">
        <v>14159</v>
      </c>
      <c r="D3103" s="30">
        <v>14159</v>
      </c>
      <c r="E3103" s="30">
        <v>14097</v>
      </c>
      <c r="F3103" s="30">
        <v>13984</v>
      </c>
      <c r="G3103" s="30">
        <v>13845</v>
      </c>
      <c r="H3103" s="30">
        <v>13738</v>
      </c>
      <c r="I3103" s="30">
        <v>13657</v>
      </c>
      <c r="J3103" s="30">
        <v>13578</v>
      </c>
      <c r="K3103" s="30">
        <v>13413</v>
      </c>
      <c r="L3103" s="30">
        <v>13380</v>
      </c>
      <c r="M3103" s="30">
        <v>13357</v>
      </c>
      <c r="N3103" s="30">
        <v>13351</v>
      </c>
      <c r="O3103" s="24" t="str">
        <f t="shared" si="97"/>
        <v>Price County, Wisconsin</v>
      </c>
    </row>
    <row r="3104" spans="1:15" x14ac:dyDescent="0.25">
      <c r="A3104" s="35" t="s">
        <v>3579</v>
      </c>
      <c r="B3104" s="28" t="str">
        <f t="shared" si="96"/>
        <v>Racine</v>
      </c>
      <c r="C3104" s="30">
        <v>195408</v>
      </c>
      <c r="D3104" s="30">
        <v>195428</v>
      </c>
      <c r="E3104" s="30">
        <v>195406</v>
      </c>
      <c r="F3104" s="30">
        <v>194908</v>
      </c>
      <c r="G3104" s="30">
        <v>194594</v>
      </c>
      <c r="H3104" s="30">
        <v>194680</v>
      </c>
      <c r="I3104" s="30">
        <v>194786</v>
      </c>
      <c r="J3104" s="30">
        <v>194672</v>
      </c>
      <c r="K3104" s="30">
        <v>194846</v>
      </c>
      <c r="L3104" s="30">
        <v>195825</v>
      </c>
      <c r="M3104" s="30">
        <v>196357</v>
      </c>
      <c r="N3104" s="30">
        <v>196311</v>
      </c>
      <c r="O3104" s="24" t="str">
        <f t="shared" si="97"/>
        <v>Racine County, Wisconsin</v>
      </c>
    </row>
    <row r="3105" spans="1:15" x14ac:dyDescent="0.25">
      <c r="A3105" s="35" t="s">
        <v>3580</v>
      </c>
      <c r="B3105" s="28" t="str">
        <f t="shared" si="96"/>
        <v>Richland</v>
      </c>
      <c r="C3105" s="30">
        <v>18021</v>
      </c>
      <c r="D3105" s="30">
        <v>18028</v>
      </c>
      <c r="E3105" s="30">
        <v>18024</v>
      </c>
      <c r="F3105" s="30">
        <v>18009</v>
      </c>
      <c r="G3105" s="30">
        <v>17816</v>
      </c>
      <c r="H3105" s="30">
        <v>17827</v>
      </c>
      <c r="I3105" s="30">
        <v>17754</v>
      </c>
      <c r="J3105" s="30">
        <v>17574</v>
      </c>
      <c r="K3105" s="30">
        <v>17556</v>
      </c>
      <c r="L3105" s="30">
        <v>17517</v>
      </c>
      <c r="M3105" s="30">
        <v>17397</v>
      </c>
      <c r="N3105" s="30">
        <v>17252</v>
      </c>
      <c r="O3105" s="24" t="str">
        <f t="shared" si="97"/>
        <v>Richland County, Wisconsin</v>
      </c>
    </row>
    <row r="3106" spans="1:15" x14ac:dyDescent="0.25">
      <c r="A3106" s="35" t="s">
        <v>3581</v>
      </c>
      <c r="B3106" s="28" t="str">
        <f t="shared" si="96"/>
        <v>Rock</v>
      </c>
      <c r="C3106" s="30">
        <v>160331</v>
      </c>
      <c r="D3106" s="30">
        <v>160325</v>
      </c>
      <c r="E3106" s="30">
        <v>160260</v>
      </c>
      <c r="F3106" s="30">
        <v>159867</v>
      </c>
      <c r="G3106" s="30">
        <v>160065</v>
      </c>
      <c r="H3106" s="30">
        <v>160341</v>
      </c>
      <c r="I3106" s="30">
        <v>160920</v>
      </c>
      <c r="J3106" s="30">
        <v>161006</v>
      </c>
      <c r="K3106" s="30">
        <v>161320</v>
      </c>
      <c r="L3106" s="30">
        <v>162205</v>
      </c>
      <c r="M3106" s="30">
        <v>162874</v>
      </c>
      <c r="N3106" s="30">
        <v>163354</v>
      </c>
      <c r="O3106" s="24" t="str">
        <f t="shared" si="97"/>
        <v>Rock County, Wisconsin</v>
      </c>
    </row>
    <row r="3107" spans="1:15" x14ac:dyDescent="0.25">
      <c r="A3107" s="35" t="s">
        <v>3582</v>
      </c>
      <c r="B3107" s="28" t="str">
        <f t="shared" si="96"/>
        <v>Rusk</v>
      </c>
      <c r="C3107" s="30">
        <v>14755</v>
      </c>
      <c r="D3107" s="30">
        <v>14754</v>
      </c>
      <c r="E3107" s="30">
        <v>14731</v>
      </c>
      <c r="F3107" s="30">
        <v>14615</v>
      </c>
      <c r="G3107" s="30">
        <v>14305</v>
      </c>
      <c r="H3107" s="30">
        <v>14367</v>
      </c>
      <c r="I3107" s="30">
        <v>14350</v>
      </c>
      <c r="J3107" s="30">
        <v>14124</v>
      </c>
      <c r="K3107" s="30">
        <v>14101</v>
      </c>
      <c r="L3107" s="30">
        <v>14148</v>
      </c>
      <c r="M3107" s="30">
        <v>14110</v>
      </c>
      <c r="N3107" s="30">
        <v>14178</v>
      </c>
      <c r="O3107" s="24" t="str">
        <f t="shared" si="97"/>
        <v>Rusk County, Wisconsin</v>
      </c>
    </row>
    <row r="3108" spans="1:15" x14ac:dyDescent="0.25">
      <c r="A3108" s="35" t="s">
        <v>3583</v>
      </c>
      <c r="B3108" s="28" t="str">
        <f t="shared" si="96"/>
        <v>St Croix</v>
      </c>
      <c r="C3108" s="30">
        <v>84345</v>
      </c>
      <c r="D3108" s="30">
        <v>84337</v>
      </c>
      <c r="E3108" s="30">
        <v>84397</v>
      </c>
      <c r="F3108" s="30">
        <v>84771</v>
      </c>
      <c r="G3108" s="30">
        <v>85035</v>
      </c>
      <c r="H3108" s="30">
        <v>85643</v>
      </c>
      <c r="I3108" s="30">
        <v>86530</v>
      </c>
      <c r="J3108" s="30">
        <v>87129</v>
      </c>
      <c r="K3108" s="30">
        <v>87598</v>
      </c>
      <c r="L3108" s="30">
        <v>88560</v>
      </c>
      <c r="M3108" s="30">
        <v>89688</v>
      </c>
      <c r="N3108" s="30">
        <v>90687</v>
      </c>
      <c r="O3108" s="24" t="str">
        <f t="shared" si="97"/>
        <v>St Croix County, Wisconsin</v>
      </c>
    </row>
    <row r="3109" spans="1:15" x14ac:dyDescent="0.25">
      <c r="A3109" s="35" t="s">
        <v>3584</v>
      </c>
      <c r="B3109" s="28" t="str">
        <f t="shared" si="96"/>
        <v>Sauk</v>
      </c>
      <c r="C3109" s="30">
        <v>61976</v>
      </c>
      <c r="D3109" s="30">
        <v>61955</v>
      </c>
      <c r="E3109" s="30">
        <v>62050</v>
      </c>
      <c r="F3109" s="30">
        <v>62236</v>
      </c>
      <c r="G3109" s="30">
        <v>62369</v>
      </c>
      <c r="H3109" s="30">
        <v>62782</v>
      </c>
      <c r="I3109" s="30">
        <v>62959</v>
      </c>
      <c r="J3109" s="30">
        <v>63271</v>
      </c>
      <c r="K3109" s="30">
        <v>63614</v>
      </c>
      <c r="L3109" s="30">
        <v>63967</v>
      </c>
      <c r="M3109" s="30">
        <v>64318</v>
      </c>
      <c r="N3109" s="30">
        <v>64442</v>
      </c>
      <c r="O3109" s="24" t="str">
        <f t="shared" si="97"/>
        <v>Sauk County, Wisconsin</v>
      </c>
    </row>
    <row r="3110" spans="1:15" x14ac:dyDescent="0.25">
      <c r="A3110" s="35" t="s">
        <v>3585</v>
      </c>
      <c r="B3110" s="28" t="str">
        <f t="shared" si="96"/>
        <v>Sawyer</v>
      </c>
      <c r="C3110" s="30">
        <v>16557</v>
      </c>
      <c r="D3110" s="30">
        <v>16538</v>
      </c>
      <c r="E3110" s="30">
        <v>16549</v>
      </c>
      <c r="F3110" s="30">
        <v>16541</v>
      </c>
      <c r="G3110" s="30">
        <v>16515</v>
      </c>
      <c r="H3110" s="30">
        <v>16474</v>
      </c>
      <c r="I3110" s="30">
        <v>16357</v>
      </c>
      <c r="J3110" s="30">
        <v>16288</v>
      </c>
      <c r="K3110" s="30">
        <v>16320</v>
      </c>
      <c r="L3110" s="30">
        <v>16367</v>
      </c>
      <c r="M3110" s="30">
        <v>16464</v>
      </c>
      <c r="N3110" s="30">
        <v>16558</v>
      </c>
      <c r="O3110" s="24" t="str">
        <f t="shared" si="97"/>
        <v>Sawyer County, Wisconsin</v>
      </c>
    </row>
    <row r="3111" spans="1:15" x14ac:dyDescent="0.25">
      <c r="A3111" s="35" t="s">
        <v>3586</v>
      </c>
      <c r="B3111" s="28" t="str">
        <f t="shared" si="96"/>
        <v>Shawano</v>
      </c>
      <c r="C3111" s="30">
        <v>41949</v>
      </c>
      <c r="D3111" s="30">
        <v>41955</v>
      </c>
      <c r="E3111" s="30">
        <v>41939</v>
      </c>
      <c r="F3111" s="30">
        <v>41671</v>
      </c>
      <c r="G3111" s="30">
        <v>41509</v>
      </c>
      <c r="H3111" s="30">
        <v>41409</v>
      </c>
      <c r="I3111" s="30">
        <v>41345</v>
      </c>
      <c r="J3111" s="30">
        <v>41051</v>
      </c>
      <c r="K3111" s="30">
        <v>40952</v>
      </c>
      <c r="L3111" s="30">
        <v>40846</v>
      </c>
      <c r="M3111" s="30">
        <v>40771</v>
      </c>
      <c r="N3111" s="30">
        <v>40899</v>
      </c>
      <c r="O3111" s="24" t="str">
        <f t="shared" si="97"/>
        <v>Shawano County, Wisconsin</v>
      </c>
    </row>
    <row r="3112" spans="1:15" x14ac:dyDescent="0.25">
      <c r="A3112" s="35" t="s">
        <v>3587</v>
      </c>
      <c r="B3112" s="28" t="str">
        <f t="shared" si="96"/>
        <v>Sheboygan</v>
      </c>
      <c r="C3112" s="30">
        <v>115507</v>
      </c>
      <c r="D3112" s="30">
        <v>115512</v>
      </c>
      <c r="E3112" s="30">
        <v>115524</v>
      </c>
      <c r="F3112" s="30">
        <v>115208</v>
      </c>
      <c r="G3112" s="30">
        <v>114767</v>
      </c>
      <c r="H3112" s="30">
        <v>114697</v>
      </c>
      <c r="I3112" s="30">
        <v>114982</v>
      </c>
      <c r="J3112" s="30">
        <v>115196</v>
      </c>
      <c r="K3112" s="30">
        <v>115030</v>
      </c>
      <c r="L3112" s="30">
        <v>115089</v>
      </c>
      <c r="M3112" s="30">
        <v>115233</v>
      </c>
      <c r="N3112" s="30">
        <v>115340</v>
      </c>
      <c r="O3112" s="24" t="str">
        <f t="shared" si="97"/>
        <v>Sheboygan County, Wisconsin</v>
      </c>
    </row>
    <row r="3113" spans="1:15" x14ac:dyDescent="0.25">
      <c r="A3113" s="35" t="s">
        <v>3588</v>
      </c>
      <c r="B3113" s="28" t="str">
        <f t="shared" si="96"/>
        <v>Taylor</v>
      </c>
      <c r="C3113" s="30">
        <v>20689</v>
      </c>
      <c r="D3113" s="30">
        <v>20690</v>
      </c>
      <c r="E3113" s="30">
        <v>20661</v>
      </c>
      <c r="F3113" s="30">
        <v>20658</v>
      </c>
      <c r="G3113" s="30">
        <v>20371</v>
      </c>
      <c r="H3113" s="30">
        <v>20424</v>
      </c>
      <c r="I3113" s="30">
        <v>20417</v>
      </c>
      <c r="J3113" s="30">
        <v>20314</v>
      </c>
      <c r="K3113" s="30">
        <v>20290</v>
      </c>
      <c r="L3113" s="30">
        <v>20314</v>
      </c>
      <c r="M3113" s="30">
        <v>20364</v>
      </c>
      <c r="N3113" s="30">
        <v>20343</v>
      </c>
      <c r="O3113" s="24" t="str">
        <f t="shared" si="97"/>
        <v>Taylor County, Wisconsin</v>
      </c>
    </row>
    <row r="3114" spans="1:15" x14ac:dyDescent="0.25">
      <c r="A3114" s="35" t="s">
        <v>3589</v>
      </c>
      <c r="B3114" s="28" t="str">
        <f t="shared" si="96"/>
        <v>Trempealeau</v>
      </c>
      <c r="C3114" s="30">
        <v>28816</v>
      </c>
      <c r="D3114" s="30">
        <v>28815</v>
      </c>
      <c r="E3114" s="30">
        <v>28846</v>
      </c>
      <c r="F3114" s="30">
        <v>28991</v>
      </c>
      <c r="G3114" s="30">
        <v>29289</v>
      </c>
      <c r="H3114" s="30">
        <v>29461</v>
      </c>
      <c r="I3114" s="30">
        <v>29410</v>
      </c>
      <c r="J3114" s="30">
        <v>29441</v>
      </c>
      <c r="K3114" s="30">
        <v>29540</v>
      </c>
      <c r="L3114" s="30">
        <v>29372</v>
      </c>
      <c r="M3114" s="30">
        <v>29494</v>
      </c>
      <c r="N3114" s="30">
        <v>29649</v>
      </c>
      <c r="O3114" s="24" t="str">
        <f t="shared" si="97"/>
        <v>Trempealeau County, Wisconsin</v>
      </c>
    </row>
    <row r="3115" spans="1:15" x14ac:dyDescent="0.25">
      <c r="A3115" s="35" t="s">
        <v>3590</v>
      </c>
      <c r="B3115" s="28" t="str">
        <f t="shared" si="96"/>
        <v>Vernon</v>
      </c>
      <c r="C3115" s="30">
        <v>29773</v>
      </c>
      <c r="D3115" s="30">
        <v>29769</v>
      </c>
      <c r="E3115" s="30">
        <v>29766</v>
      </c>
      <c r="F3115" s="30">
        <v>29869</v>
      </c>
      <c r="G3115" s="30">
        <v>30021</v>
      </c>
      <c r="H3115" s="30">
        <v>30089</v>
      </c>
      <c r="I3115" s="30">
        <v>30186</v>
      </c>
      <c r="J3115" s="30">
        <v>30317</v>
      </c>
      <c r="K3115" s="30">
        <v>30553</v>
      </c>
      <c r="L3115" s="30">
        <v>30702</v>
      </c>
      <c r="M3115" s="30">
        <v>30772</v>
      </c>
      <c r="N3115" s="30">
        <v>30822</v>
      </c>
      <c r="O3115" s="24" t="str">
        <f t="shared" si="97"/>
        <v>Vernon County, Wisconsin</v>
      </c>
    </row>
    <row r="3116" spans="1:15" x14ac:dyDescent="0.25">
      <c r="A3116" s="35" t="s">
        <v>3591</v>
      </c>
      <c r="B3116" s="28" t="str">
        <f t="shared" si="96"/>
        <v>Vilas</v>
      </c>
      <c r="C3116" s="30">
        <v>21430</v>
      </c>
      <c r="D3116" s="30">
        <v>21444</v>
      </c>
      <c r="E3116" s="30">
        <v>21455</v>
      </c>
      <c r="F3116" s="30">
        <v>21414</v>
      </c>
      <c r="G3116" s="30">
        <v>21315</v>
      </c>
      <c r="H3116" s="30">
        <v>21395</v>
      </c>
      <c r="I3116" s="30">
        <v>21415</v>
      </c>
      <c r="J3116" s="30">
        <v>21447</v>
      </c>
      <c r="K3116" s="30">
        <v>21500</v>
      </c>
      <c r="L3116" s="30">
        <v>21684</v>
      </c>
      <c r="M3116" s="30">
        <v>21928</v>
      </c>
      <c r="N3116" s="30">
        <v>22195</v>
      </c>
      <c r="O3116" s="24" t="str">
        <f t="shared" si="97"/>
        <v>Vilas County, Wisconsin</v>
      </c>
    </row>
    <row r="3117" spans="1:15" x14ac:dyDescent="0.25">
      <c r="A3117" s="35" t="s">
        <v>3592</v>
      </c>
      <c r="B3117" s="28" t="str">
        <f t="shared" si="96"/>
        <v>Walworth</v>
      </c>
      <c r="C3117" s="30">
        <v>102228</v>
      </c>
      <c r="D3117" s="30">
        <v>102230</v>
      </c>
      <c r="E3117" s="30">
        <v>102197</v>
      </c>
      <c r="F3117" s="30">
        <v>102643</v>
      </c>
      <c r="G3117" s="30">
        <v>102871</v>
      </c>
      <c r="H3117" s="30">
        <v>102793</v>
      </c>
      <c r="I3117" s="30">
        <v>103171</v>
      </c>
      <c r="J3117" s="30">
        <v>102475</v>
      </c>
      <c r="K3117" s="30">
        <v>102627</v>
      </c>
      <c r="L3117" s="30">
        <v>102850</v>
      </c>
      <c r="M3117" s="30">
        <v>103550</v>
      </c>
      <c r="N3117" s="30">
        <v>103868</v>
      </c>
      <c r="O3117" s="24" t="str">
        <f t="shared" si="97"/>
        <v>Walworth County, Wisconsin</v>
      </c>
    </row>
    <row r="3118" spans="1:15" x14ac:dyDescent="0.25">
      <c r="A3118" s="35" t="s">
        <v>3593</v>
      </c>
      <c r="B3118" s="28" t="str">
        <f t="shared" si="96"/>
        <v>Washburn</v>
      </c>
      <c r="C3118" s="30">
        <v>15911</v>
      </c>
      <c r="D3118" s="30">
        <v>15907</v>
      </c>
      <c r="E3118" s="30">
        <v>15930</v>
      </c>
      <c r="F3118" s="30">
        <v>15842</v>
      </c>
      <c r="G3118" s="30">
        <v>15847</v>
      </c>
      <c r="H3118" s="30">
        <v>15661</v>
      </c>
      <c r="I3118" s="30">
        <v>15658</v>
      </c>
      <c r="J3118" s="30">
        <v>15522</v>
      </c>
      <c r="K3118" s="30">
        <v>15621</v>
      </c>
      <c r="L3118" s="30">
        <v>15739</v>
      </c>
      <c r="M3118" s="30">
        <v>15837</v>
      </c>
      <c r="N3118" s="30">
        <v>15720</v>
      </c>
      <c r="O3118" s="24" t="str">
        <f t="shared" si="97"/>
        <v>Washburn County, Wisconsin</v>
      </c>
    </row>
    <row r="3119" spans="1:15" x14ac:dyDescent="0.25">
      <c r="A3119" s="35" t="s">
        <v>3594</v>
      </c>
      <c r="B3119" s="28" t="str">
        <f t="shared" si="96"/>
        <v>Washington</v>
      </c>
      <c r="C3119" s="30">
        <v>131887</v>
      </c>
      <c r="D3119" s="30">
        <v>131885</v>
      </c>
      <c r="E3119" s="30">
        <v>131988</v>
      </c>
      <c r="F3119" s="30">
        <v>132337</v>
      </c>
      <c r="G3119" s="30">
        <v>132732</v>
      </c>
      <c r="H3119" s="30">
        <v>132929</v>
      </c>
      <c r="I3119" s="30">
        <v>133601</v>
      </c>
      <c r="J3119" s="30">
        <v>133906</v>
      </c>
      <c r="K3119" s="30">
        <v>134310</v>
      </c>
      <c r="L3119" s="30">
        <v>134930</v>
      </c>
      <c r="M3119" s="30">
        <v>135445</v>
      </c>
      <c r="N3119" s="30">
        <v>136034</v>
      </c>
      <c r="O3119" s="24" t="str">
        <f t="shared" si="97"/>
        <v>Washington County, Wisconsin</v>
      </c>
    </row>
    <row r="3120" spans="1:15" x14ac:dyDescent="0.25">
      <c r="A3120" s="35" t="s">
        <v>3595</v>
      </c>
      <c r="B3120" s="28" t="str">
        <f t="shared" si="96"/>
        <v>Waukesha</v>
      </c>
      <c r="C3120" s="30">
        <v>389891</v>
      </c>
      <c r="D3120" s="30">
        <v>389946</v>
      </c>
      <c r="E3120" s="30">
        <v>390028</v>
      </c>
      <c r="F3120" s="30">
        <v>390837</v>
      </c>
      <c r="G3120" s="30">
        <v>392810</v>
      </c>
      <c r="H3120" s="30">
        <v>394147</v>
      </c>
      <c r="I3120" s="30">
        <v>395397</v>
      </c>
      <c r="J3120" s="30">
        <v>396237</v>
      </c>
      <c r="K3120" s="30">
        <v>398521</v>
      </c>
      <c r="L3120" s="30">
        <v>400899</v>
      </c>
      <c r="M3120" s="30">
        <v>402522</v>
      </c>
      <c r="N3120" s="30">
        <v>404198</v>
      </c>
      <c r="O3120" s="24" t="str">
        <f t="shared" si="97"/>
        <v>Waukesha County, Wisconsin</v>
      </c>
    </row>
    <row r="3121" spans="1:15" x14ac:dyDescent="0.25">
      <c r="A3121" s="35" t="s">
        <v>3596</v>
      </c>
      <c r="B3121" s="28" t="str">
        <f t="shared" si="96"/>
        <v>Waupaca</v>
      </c>
      <c r="C3121" s="30">
        <v>52410</v>
      </c>
      <c r="D3121" s="30">
        <v>52410</v>
      </c>
      <c r="E3121" s="30">
        <v>52399</v>
      </c>
      <c r="F3121" s="30">
        <v>52291</v>
      </c>
      <c r="G3121" s="30">
        <v>51916</v>
      </c>
      <c r="H3121" s="30">
        <v>52066</v>
      </c>
      <c r="I3121" s="30">
        <v>51930</v>
      </c>
      <c r="J3121" s="30">
        <v>51680</v>
      </c>
      <c r="K3121" s="30">
        <v>51306</v>
      </c>
      <c r="L3121" s="30">
        <v>51118</v>
      </c>
      <c r="M3121" s="30">
        <v>51130</v>
      </c>
      <c r="N3121" s="30">
        <v>50990</v>
      </c>
      <c r="O3121" s="24" t="str">
        <f t="shared" si="97"/>
        <v>Waupaca County, Wisconsin</v>
      </c>
    </row>
    <row r="3122" spans="1:15" x14ac:dyDescent="0.25">
      <c r="A3122" s="35" t="s">
        <v>3597</v>
      </c>
      <c r="B3122" s="28" t="str">
        <f t="shared" si="96"/>
        <v>Waushara</v>
      </c>
      <c r="C3122" s="30">
        <v>24496</v>
      </c>
      <c r="D3122" s="30">
        <v>24509</v>
      </c>
      <c r="E3122" s="30">
        <v>24526</v>
      </c>
      <c r="F3122" s="30">
        <v>24561</v>
      </c>
      <c r="G3122" s="30">
        <v>24429</v>
      </c>
      <c r="H3122" s="30">
        <v>24255</v>
      </c>
      <c r="I3122" s="30">
        <v>24103</v>
      </c>
      <c r="J3122" s="30">
        <v>23959</v>
      </c>
      <c r="K3122" s="30">
        <v>24103</v>
      </c>
      <c r="L3122" s="30">
        <v>24193</v>
      </c>
      <c r="M3122" s="30">
        <v>24267</v>
      </c>
      <c r="N3122" s="30">
        <v>24443</v>
      </c>
      <c r="O3122" s="24" t="str">
        <f t="shared" si="97"/>
        <v>Waushara County, Wisconsin</v>
      </c>
    </row>
    <row r="3123" spans="1:15" x14ac:dyDescent="0.25">
      <c r="A3123" s="35" t="s">
        <v>3598</v>
      </c>
      <c r="B3123" s="28" t="str">
        <f t="shared" si="96"/>
        <v>Winnebago</v>
      </c>
      <c r="C3123" s="30">
        <v>166994</v>
      </c>
      <c r="D3123" s="30">
        <v>167000</v>
      </c>
      <c r="E3123" s="30">
        <v>167073</v>
      </c>
      <c r="F3123" s="30">
        <v>167493</v>
      </c>
      <c r="G3123" s="30">
        <v>168525</v>
      </c>
      <c r="H3123" s="30">
        <v>169283</v>
      </c>
      <c r="I3123" s="30">
        <v>169324</v>
      </c>
      <c r="J3123" s="30">
        <v>169246</v>
      </c>
      <c r="K3123" s="30">
        <v>169629</v>
      </c>
      <c r="L3123" s="30">
        <v>170394</v>
      </c>
      <c r="M3123" s="30">
        <v>170878</v>
      </c>
      <c r="N3123" s="30">
        <v>171907</v>
      </c>
      <c r="O3123" s="24" t="str">
        <f t="shared" si="97"/>
        <v>Winnebago County, Wisconsin</v>
      </c>
    </row>
    <row r="3124" spans="1:15" x14ac:dyDescent="0.25">
      <c r="A3124" s="35" t="s">
        <v>3599</v>
      </c>
      <c r="B3124" s="28" t="str">
        <f t="shared" si="96"/>
        <v>Wood</v>
      </c>
      <c r="C3124" s="30">
        <v>74749</v>
      </c>
      <c r="D3124" s="30">
        <v>74750</v>
      </c>
      <c r="E3124" s="30">
        <v>74815</v>
      </c>
      <c r="F3124" s="30">
        <v>74655</v>
      </c>
      <c r="G3124" s="30">
        <v>74322</v>
      </c>
      <c r="H3124" s="30">
        <v>73920</v>
      </c>
      <c r="I3124" s="30">
        <v>73587</v>
      </c>
      <c r="J3124" s="30">
        <v>73350</v>
      </c>
      <c r="K3124" s="30">
        <v>73219</v>
      </c>
      <c r="L3124" s="30">
        <v>73038</v>
      </c>
      <c r="M3124" s="30">
        <v>72954</v>
      </c>
      <c r="N3124" s="30">
        <v>72999</v>
      </c>
      <c r="O3124" s="24" t="str">
        <f t="shared" si="97"/>
        <v>Wood County, Wisconsin</v>
      </c>
    </row>
    <row r="3125" spans="1:15" x14ac:dyDescent="0.25">
      <c r="A3125" s="35" t="s">
        <v>3600</v>
      </c>
      <c r="B3125" s="28" t="str">
        <f t="shared" si="96"/>
        <v>Albany</v>
      </c>
      <c r="C3125" s="30">
        <v>36299</v>
      </c>
      <c r="D3125" s="30">
        <v>36299</v>
      </c>
      <c r="E3125" s="30">
        <v>36469</v>
      </c>
      <c r="F3125" s="30">
        <v>36851</v>
      </c>
      <c r="G3125" s="30">
        <v>37359</v>
      </c>
      <c r="H3125" s="30">
        <v>37556</v>
      </c>
      <c r="I3125" s="30">
        <v>37620</v>
      </c>
      <c r="J3125" s="30">
        <v>37960</v>
      </c>
      <c r="K3125" s="30">
        <v>37923</v>
      </c>
      <c r="L3125" s="30">
        <v>38459</v>
      </c>
      <c r="M3125" s="30">
        <v>38728</v>
      </c>
      <c r="N3125" s="30">
        <v>38880</v>
      </c>
      <c r="O3125" s="24" t="str">
        <f t="shared" si="97"/>
        <v>Albany County, Wyoming</v>
      </c>
    </row>
    <row r="3126" spans="1:15" x14ac:dyDescent="0.25">
      <c r="A3126" s="35" t="s">
        <v>3601</v>
      </c>
      <c r="B3126" s="28" t="str">
        <f t="shared" si="96"/>
        <v>Big Horn</v>
      </c>
      <c r="C3126" s="30">
        <v>11668</v>
      </c>
      <c r="D3126" s="30">
        <v>11669</v>
      </c>
      <c r="E3126" s="30">
        <v>11666</v>
      </c>
      <c r="F3126" s="30">
        <v>11722</v>
      </c>
      <c r="G3126" s="30">
        <v>11758</v>
      </c>
      <c r="H3126" s="30">
        <v>11936</v>
      </c>
      <c r="I3126" s="30">
        <v>11853</v>
      </c>
      <c r="J3126" s="30">
        <v>11945</v>
      </c>
      <c r="K3126" s="30">
        <v>11941</v>
      </c>
      <c r="L3126" s="30">
        <v>11859</v>
      </c>
      <c r="M3126" s="30">
        <v>11877</v>
      </c>
      <c r="N3126" s="30">
        <v>11790</v>
      </c>
      <c r="O3126" s="24" t="str">
        <f t="shared" si="97"/>
        <v>Big Horn County, Wyoming</v>
      </c>
    </row>
    <row r="3127" spans="1:15" x14ac:dyDescent="0.25">
      <c r="A3127" s="35" t="s">
        <v>3602</v>
      </c>
      <c r="B3127" s="28" t="str">
        <f t="shared" si="96"/>
        <v>Campbell</v>
      </c>
      <c r="C3127" s="30">
        <v>46133</v>
      </c>
      <c r="D3127" s="30">
        <v>46133</v>
      </c>
      <c r="E3127" s="30">
        <v>46245</v>
      </c>
      <c r="F3127" s="30">
        <v>46550</v>
      </c>
      <c r="G3127" s="30">
        <v>47861</v>
      </c>
      <c r="H3127" s="30">
        <v>48038</v>
      </c>
      <c r="I3127" s="30">
        <v>48130</v>
      </c>
      <c r="J3127" s="30">
        <v>49258</v>
      </c>
      <c r="K3127" s="30">
        <v>48745</v>
      </c>
      <c r="L3127" s="30">
        <v>46402</v>
      </c>
      <c r="M3127" s="30">
        <v>46299</v>
      </c>
      <c r="N3127" s="30">
        <v>46341</v>
      </c>
      <c r="O3127" s="24" t="str">
        <f t="shared" si="97"/>
        <v>Campbell County, Wyoming</v>
      </c>
    </row>
    <row r="3128" spans="1:15" x14ac:dyDescent="0.25">
      <c r="A3128" s="35" t="s">
        <v>3603</v>
      </c>
      <c r="B3128" s="28" t="str">
        <f t="shared" si="96"/>
        <v>Carbon</v>
      </c>
      <c r="C3128" s="30">
        <v>15885</v>
      </c>
      <c r="D3128" s="30">
        <v>15884</v>
      </c>
      <c r="E3128" s="30">
        <v>15848</v>
      </c>
      <c r="F3128" s="30">
        <v>15835</v>
      </c>
      <c r="G3128" s="30">
        <v>15709</v>
      </c>
      <c r="H3128" s="30">
        <v>15834</v>
      </c>
      <c r="I3128" s="30">
        <v>15872</v>
      </c>
      <c r="J3128" s="30">
        <v>15613</v>
      </c>
      <c r="K3128" s="30">
        <v>15689</v>
      </c>
      <c r="L3128" s="30">
        <v>15252</v>
      </c>
      <c r="M3128" s="30">
        <v>14879</v>
      </c>
      <c r="N3128" s="30">
        <v>14800</v>
      </c>
      <c r="O3128" s="24" t="str">
        <f t="shared" si="97"/>
        <v>Carbon County, Wyoming</v>
      </c>
    </row>
    <row r="3129" spans="1:15" x14ac:dyDescent="0.25">
      <c r="A3129" s="35" t="s">
        <v>3604</v>
      </c>
      <c r="B3129" s="28" t="str">
        <f t="shared" si="96"/>
        <v>Converse</v>
      </c>
      <c r="C3129" s="30">
        <v>13833</v>
      </c>
      <c r="D3129" s="30">
        <v>13833</v>
      </c>
      <c r="E3129" s="30">
        <v>13822</v>
      </c>
      <c r="F3129" s="30">
        <v>13738</v>
      </c>
      <c r="G3129" s="30">
        <v>14028</v>
      </c>
      <c r="H3129" s="30">
        <v>14366</v>
      </c>
      <c r="I3129" s="30">
        <v>14201</v>
      </c>
      <c r="J3129" s="30">
        <v>14297</v>
      </c>
      <c r="K3129" s="30">
        <v>14094</v>
      </c>
      <c r="L3129" s="30">
        <v>13733</v>
      </c>
      <c r="M3129" s="30">
        <v>13658</v>
      </c>
      <c r="N3129" s="30">
        <v>13822</v>
      </c>
      <c r="O3129" s="24" t="str">
        <f t="shared" si="97"/>
        <v>Converse County, Wyoming</v>
      </c>
    </row>
    <row r="3130" spans="1:15" x14ac:dyDescent="0.25">
      <c r="A3130" s="35" t="s">
        <v>3605</v>
      </c>
      <c r="B3130" s="28" t="str">
        <f t="shared" si="96"/>
        <v>Crook</v>
      </c>
      <c r="C3130" s="30">
        <v>7083</v>
      </c>
      <c r="D3130" s="30">
        <v>7080</v>
      </c>
      <c r="E3130" s="30">
        <v>7118</v>
      </c>
      <c r="F3130" s="30">
        <v>7118</v>
      </c>
      <c r="G3130" s="30">
        <v>7139</v>
      </c>
      <c r="H3130" s="30">
        <v>7149</v>
      </c>
      <c r="I3130" s="30">
        <v>7234</v>
      </c>
      <c r="J3130" s="30">
        <v>7435</v>
      </c>
      <c r="K3130" s="30">
        <v>7499</v>
      </c>
      <c r="L3130" s="30">
        <v>7397</v>
      </c>
      <c r="M3130" s="30">
        <v>7445</v>
      </c>
      <c r="N3130" s="30">
        <v>7584</v>
      </c>
      <c r="O3130" s="24" t="str">
        <f t="shared" si="97"/>
        <v>Crook County, Wyoming</v>
      </c>
    </row>
    <row r="3131" spans="1:15" x14ac:dyDescent="0.25">
      <c r="A3131" s="35" t="s">
        <v>3606</v>
      </c>
      <c r="B3131" s="28" t="str">
        <f t="shared" si="96"/>
        <v>Fremont</v>
      </c>
      <c r="C3131" s="30">
        <v>40123</v>
      </c>
      <c r="D3131" s="30">
        <v>40123</v>
      </c>
      <c r="E3131" s="30">
        <v>40198</v>
      </c>
      <c r="F3131" s="30">
        <v>40519</v>
      </c>
      <c r="G3131" s="30">
        <v>41015</v>
      </c>
      <c r="H3131" s="30">
        <v>40912</v>
      </c>
      <c r="I3131" s="30">
        <v>40565</v>
      </c>
      <c r="J3131" s="30">
        <v>40219</v>
      </c>
      <c r="K3131" s="30">
        <v>40200</v>
      </c>
      <c r="L3131" s="30">
        <v>39818</v>
      </c>
      <c r="M3131" s="30">
        <v>39561</v>
      </c>
      <c r="N3131" s="30">
        <v>39261</v>
      </c>
      <c r="O3131" s="24" t="str">
        <f t="shared" si="97"/>
        <v>Fremont County, Wyoming</v>
      </c>
    </row>
    <row r="3132" spans="1:15" x14ac:dyDescent="0.25">
      <c r="A3132" s="35" t="s">
        <v>3607</v>
      </c>
      <c r="B3132" s="28" t="str">
        <f t="shared" si="96"/>
        <v>Goshen</v>
      </c>
      <c r="C3132" s="30">
        <v>13249</v>
      </c>
      <c r="D3132" s="30">
        <v>13247</v>
      </c>
      <c r="E3132" s="30">
        <v>13422</v>
      </c>
      <c r="F3132" s="30">
        <v>13574</v>
      </c>
      <c r="G3132" s="30">
        <v>13637</v>
      </c>
      <c r="H3132" s="30">
        <v>13545</v>
      </c>
      <c r="I3132" s="30">
        <v>13522</v>
      </c>
      <c r="J3132" s="30">
        <v>13542</v>
      </c>
      <c r="K3132" s="30">
        <v>13306</v>
      </c>
      <c r="L3132" s="30">
        <v>13361</v>
      </c>
      <c r="M3132" s="30">
        <v>13292</v>
      </c>
      <c r="N3132" s="30">
        <v>13211</v>
      </c>
      <c r="O3132" s="24" t="str">
        <f t="shared" si="97"/>
        <v>Goshen County, Wyoming</v>
      </c>
    </row>
    <row r="3133" spans="1:15" x14ac:dyDescent="0.25">
      <c r="A3133" s="35" t="s">
        <v>3608</v>
      </c>
      <c r="B3133" s="28" t="str">
        <f t="shared" si="96"/>
        <v>Hot Springs</v>
      </c>
      <c r="C3133" s="30">
        <v>4812</v>
      </c>
      <c r="D3133" s="30">
        <v>4812</v>
      </c>
      <c r="E3133" s="30">
        <v>4811</v>
      </c>
      <c r="F3133" s="30">
        <v>4805</v>
      </c>
      <c r="G3133" s="30">
        <v>4829</v>
      </c>
      <c r="H3133" s="30">
        <v>4831</v>
      </c>
      <c r="I3133" s="30">
        <v>4786</v>
      </c>
      <c r="J3133" s="30">
        <v>4716</v>
      </c>
      <c r="K3133" s="30">
        <v>4654</v>
      </c>
      <c r="L3133" s="30">
        <v>4686</v>
      </c>
      <c r="M3133" s="30">
        <v>4568</v>
      </c>
      <c r="N3133" s="30">
        <v>4413</v>
      </c>
      <c r="O3133" s="24" t="str">
        <f t="shared" si="97"/>
        <v>Hot Springs County, Wyoming</v>
      </c>
    </row>
    <row r="3134" spans="1:15" x14ac:dyDescent="0.25">
      <c r="A3134" s="35" t="s">
        <v>3609</v>
      </c>
      <c r="B3134" s="28" t="str">
        <f t="shared" si="96"/>
        <v>Johnson</v>
      </c>
      <c r="C3134" s="30">
        <v>8569</v>
      </c>
      <c r="D3134" s="30">
        <v>8569</v>
      </c>
      <c r="E3134" s="30">
        <v>8590</v>
      </c>
      <c r="F3134" s="30">
        <v>8646</v>
      </c>
      <c r="G3134" s="30">
        <v>8641</v>
      </c>
      <c r="H3134" s="30">
        <v>8641</v>
      </c>
      <c r="I3134" s="30">
        <v>8582</v>
      </c>
      <c r="J3134" s="30">
        <v>8611</v>
      </c>
      <c r="K3134" s="30">
        <v>8484</v>
      </c>
      <c r="L3134" s="30">
        <v>8447</v>
      </c>
      <c r="M3134" s="30">
        <v>8446</v>
      </c>
      <c r="N3134" s="30">
        <v>8445</v>
      </c>
      <c r="O3134" s="24" t="str">
        <f t="shared" si="97"/>
        <v>Johnson County, Wyoming</v>
      </c>
    </row>
    <row r="3135" spans="1:15" x14ac:dyDescent="0.25">
      <c r="A3135" s="35" t="s">
        <v>3610</v>
      </c>
      <c r="B3135" s="28" t="str">
        <f t="shared" si="96"/>
        <v>Laramie</v>
      </c>
      <c r="C3135" s="30">
        <v>91738</v>
      </c>
      <c r="D3135" s="30">
        <v>91885</v>
      </c>
      <c r="E3135" s="30">
        <v>92236</v>
      </c>
      <c r="F3135" s="30">
        <v>92576</v>
      </c>
      <c r="G3135" s="30">
        <v>94697</v>
      </c>
      <c r="H3135" s="30">
        <v>95707</v>
      </c>
      <c r="I3135" s="30">
        <v>96036</v>
      </c>
      <c r="J3135" s="30">
        <v>96969</v>
      </c>
      <c r="K3135" s="30">
        <v>97887</v>
      </c>
      <c r="L3135" s="30">
        <v>98377</v>
      </c>
      <c r="M3135" s="30">
        <v>98865</v>
      </c>
      <c r="N3135" s="30">
        <v>99500</v>
      </c>
      <c r="O3135" s="24" t="str">
        <f t="shared" si="97"/>
        <v>Laramie County, Wyoming</v>
      </c>
    </row>
    <row r="3136" spans="1:15" x14ac:dyDescent="0.25">
      <c r="A3136" s="35" t="s">
        <v>3611</v>
      </c>
      <c r="B3136" s="28" t="str">
        <f t="shared" si="96"/>
        <v>Lincoln</v>
      </c>
      <c r="C3136" s="30">
        <v>18106</v>
      </c>
      <c r="D3136" s="30">
        <v>18106</v>
      </c>
      <c r="E3136" s="30">
        <v>18099</v>
      </c>
      <c r="F3136" s="30">
        <v>18013</v>
      </c>
      <c r="G3136" s="30">
        <v>17944</v>
      </c>
      <c r="H3136" s="30">
        <v>18320</v>
      </c>
      <c r="I3136" s="30">
        <v>18567</v>
      </c>
      <c r="J3136" s="30">
        <v>18747</v>
      </c>
      <c r="K3136" s="30">
        <v>19072</v>
      </c>
      <c r="L3136" s="30">
        <v>19278</v>
      </c>
      <c r="M3136" s="30">
        <v>19445</v>
      </c>
      <c r="N3136" s="30">
        <v>19830</v>
      </c>
      <c r="O3136" s="24" t="str">
        <f t="shared" si="97"/>
        <v>Lincoln County, Wyoming</v>
      </c>
    </row>
    <row r="3137" spans="1:15" x14ac:dyDescent="0.25">
      <c r="A3137" s="35" t="s">
        <v>3612</v>
      </c>
      <c r="B3137" s="28" t="str">
        <f t="shared" si="96"/>
        <v>Natrona</v>
      </c>
      <c r="C3137" s="30">
        <v>75450</v>
      </c>
      <c r="D3137" s="30">
        <v>75448</v>
      </c>
      <c r="E3137" s="30">
        <v>75470</v>
      </c>
      <c r="F3137" s="30">
        <v>76399</v>
      </c>
      <c r="G3137" s="30">
        <v>78565</v>
      </c>
      <c r="H3137" s="30">
        <v>81103</v>
      </c>
      <c r="I3137" s="30">
        <v>81377</v>
      </c>
      <c r="J3137" s="30">
        <v>82137</v>
      </c>
      <c r="K3137" s="30">
        <v>80909</v>
      </c>
      <c r="L3137" s="30">
        <v>79586</v>
      </c>
      <c r="M3137" s="30">
        <v>79175</v>
      </c>
      <c r="N3137" s="30">
        <v>79858</v>
      </c>
      <c r="O3137" s="24" t="str">
        <f t="shared" si="97"/>
        <v>Natrona County, Wyoming</v>
      </c>
    </row>
    <row r="3138" spans="1:15" x14ac:dyDescent="0.25">
      <c r="A3138" s="35" t="s">
        <v>3613</v>
      </c>
      <c r="B3138" s="28" t="str">
        <f t="shared" si="96"/>
        <v>Niobrara</v>
      </c>
      <c r="C3138" s="30">
        <v>2484</v>
      </c>
      <c r="D3138" s="30">
        <v>2484</v>
      </c>
      <c r="E3138" s="30">
        <v>2491</v>
      </c>
      <c r="F3138" s="30">
        <v>2483</v>
      </c>
      <c r="G3138" s="30">
        <v>2478</v>
      </c>
      <c r="H3138" s="30">
        <v>2544</v>
      </c>
      <c r="I3138" s="30">
        <v>2488</v>
      </c>
      <c r="J3138" s="30">
        <v>2496</v>
      </c>
      <c r="K3138" s="30">
        <v>2468</v>
      </c>
      <c r="L3138" s="30">
        <v>2392</v>
      </c>
      <c r="M3138" s="30">
        <v>2400</v>
      </c>
      <c r="N3138" s="30">
        <v>2356</v>
      </c>
      <c r="O3138" s="24" t="str">
        <f t="shared" si="97"/>
        <v>Niobrara County, Wyoming</v>
      </c>
    </row>
    <row r="3139" spans="1:15" x14ac:dyDescent="0.25">
      <c r="A3139" s="35" t="s">
        <v>3614</v>
      </c>
      <c r="B3139" s="28" t="str">
        <f t="shared" si="96"/>
        <v>Park</v>
      </c>
      <c r="C3139" s="30">
        <v>28205</v>
      </c>
      <c r="D3139" s="30">
        <v>28207</v>
      </c>
      <c r="E3139" s="30">
        <v>28241</v>
      </c>
      <c r="F3139" s="30">
        <v>28449</v>
      </c>
      <c r="G3139" s="30">
        <v>28808</v>
      </c>
      <c r="H3139" s="30">
        <v>29050</v>
      </c>
      <c r="I3139" s="30">
        <v>28966</v>
      </c>
      <c r="J3139" s="30">
        <v>28928</v>
      </c>
      <c r="K3139" s="30">
        <v>29213</v>
      </c>
      <c r="L3139" s="30">
        <v>29194</v>
      </c>
      <c r="M3139" s="30">
        <v>29210</v>
      </c>
      <c r="N3139" s="30">
        <v>29194</v>
      </c>
      <c r="O3139" s="24" t="str">
        <f t="shared" si="97"/>
        <v>Park County, Wyoming</v>
      </c>
    </row>
    <row r="3140" spans="1:15" x14ac:dyDescent="0.25">
      <c r="A3140" s="35" t="s">
        <v>3615</v>
      </c>
      <c r="B3140" s="28" t="str">
        <f t="shared" si="96"/>
        <v>Platte</v>
      </c>
      <c r="C3140" s="30">
        <v>8667</v>
      </c>
      <c r="D3140" s="30">
        <v>8667</v>
      </c>
      <c r="E3140" s="30">
        <v>8665</v>
      </c>
      <c r="F3140" s="30">
        <v>8697</v>
      </c>
      <c r="G3140" s="30">
        <v>8729</v>
      </c>
      <c r="H3140" s="30">
        <v>8710</v>
      </c>
      <c r="I3140" s="30">
        <v>8775</v>
      </c>
      <c r="J3140" s="30">
        <v>8798</v>
      </c>
      <c r="K3140" s="30">
        <v>8662</v>
      </c>
      <c r="L3140" s="30">
        <v>8541</v>
      </c>
      <c r="M3140" s="30">
        <v>8516</v>
      </c>
      <c r="N3140" s="30">
        <v>8393</v>
      </c>
      <c r="O3140" s="24" t="str">
        <f t="shared" si="97"/>
        <v>Platte County, Wyoming</v>
      </c>
    </row>
    <row r="3141" spans="1:15" x14ac:dyDescent="0.25">
      <c r="A3141" s="35" t="s">
        <v>3616</v>
      </c>
      <c r="B3141" s="28" t="str">
        <f t="shared" si="96"/>
        <v>Sheridan</v>
      </c>
      <c r="C3141" s="30">
        <v>29116</v>
      </c>
      <c r="D3141" s="30">
        <v>29124</v>
      </c>
      <c r="E3141" s="30">
        <v>29148</v>
      </c>
      <c r="F3141" s="30">
        <v>29251</v>
      </c>
      <c r="G3141" s="30">
        <v>29524</v>
      </c>
      <c r="H3141" s="30">
        <v>29733</v>
      </c>
      <c r="I3141" s="30">
        <v>29852</v>
      </c>
      <c r="J3141" s="30">
        <v>29883</v>
      </c>
      <c r="K3141" s="30">
        <v>29964</v>
      </c>
      <c r="L3141" s="30">
        <v>30147</v>
      </c>
      <c r="M3141" s="30">
        <v>30219</v>
      </c>
      <c r="N3141" s="30">
        <v>30485</v>
      </c>
      <c r="O3141" s="24" t="str">
        <f t="shared" si="97"/>
        <v>Sheridan County, Wyoming</v>
      </c>
    </row>
    <row r="3142" spans="1:15" x14ac:dyDescent="0.25">
      <c r="A3142" s="35" t="s">
        <v>3617</v>
      </c>
      <c r="B3142" s="28" t="str">
        <f t="shared" si="96"/>
        <v>Sublette</v>
      </c>
      <c r="C3142" s="30">
        <v>10247</v>
      </c>
      <c r="D3142" s="30">
        <v>10244</v>
      </c>
      <c r="E3142" s="30">
        <v>10261</v>
      </c>
      <c r="F3142" s="30">
        <v>10186</v>
      </c>
      <c r="G3142" s="30">
        <v>10476</v>
      </c>
      <c r="H3142" s="30">
        <v>10175</v>
      </c>
      <c r="I3142" s="30">
        <v>10151</v>
      </c>
      <c r="J3142" s="30">
        <v>10044</v>
      </c>
      <c r="K3142" s="30">
        <v>9982</v>
      </c>
      <c r="L3142" s="30">
        <v>9745</v>
      </c>
      <c r="M3142" s="30">
        <v>9798</v>
      </c>
      <c r="N3142" s="30">
        <v>9831</v>
      </c>
      <c r="O3142" s="24" t="str">
        <f t="shared" si="97"/>
        <v>Sublette County, Wyoming</v>
      </c>
    </row>
    <row r="3143" spans="1:15" x14ac:dyDescent="0.25">
      <c r="A3143" s="35" t="s">
        <v>3618</v>
      </c>
      <c r="B3143" s="28" t="str">
        <f t="shared" ref="B3143:B3147" si="98">LEFT(A3143,FIND("County",A3143,1)-2)</f>
        <v>Sweetwater</v>
      </c>
      <c r="C3143" s="30">
        <v>43806</v>
      </c>
      <c r="D3143" s="30">
        <v>43806</v>
      </c>
      <c r="E3143" s="30">
        <v>43574</v>
      </c>
      <c r="F3143" s="30">
        <v>43986</v>
      </c>
      <c r="G3143" s="30">
        <v>45002</v>
      </c>
      <c r="H3143" s="30">
        <v>45157</v>
      </c>
      <c r="I3143" s="30">
        <v>44948</v>
      </c>
      <c r="J3143" s="30">
        <v>44719</v>
      </c>
      <c r="K3143" s="30">
        <v>44222</v>
      </c>
      <c r="L3143" s="30">
        <v>43464</v>
      </c>
      <c r="M3143" s="30">
        <v>42858</v>
      </c>
      <c r="N3143" s="30">
        <v>42343</v>
      </c>
      <c r="O3143" s="24" t="str">
        <f t="shared" ref="O3143:O3153" si="99">A3143</f>
        <v>Sweetwater County, Wyoming</v>
      </c>
    </row>
    <row r="3144" spans="1:15" x14ac:dyDescent="0.25">
      <c r="A3144" s="35" t="s">
        <v>3619</v>
      </c>
      <c r="B3144" s="28" t="str">
        <f t="shared" si="98"/>
        <v>Teton</v>
      </c>
      <c r="C3144" s="30">
        <v>21294</v>
      </c>
      <c r="D3144" s="30">
        <v>21298</v>
      </c>
      <c r="E3144" s="30">
        <v>21296</v>
      </c>
      <c r="F3144" s="30">
        <v>21414</v>
      </c>
      <c r="G3144" s="30">
        <v>21624</v>
      </c>
      <c r="H3144" s="30">
        <v>22315</v>
      </c>
      <c r="I3144" s="30">
        <v>22773</v>
      </c>
      <c r="J3144" s="30">
        <v>23047</v>
      </c>
      <c r="K3144" s="30">
        <v>23234</v>
      </c>
      <c r="L3144" s="30">
        <v>23384</v>
      </c>
      <c r="M3144" s="30">
        <v>23269</v>
      </c>
      <c r="N3144" s="30">
        <v>23464</v>
      </c>
      <c r="O3144" s="24" t="str">
        <f t="shared" si="99"/>
        <v>Teton County, Wyoming</v>
      </c>
    </row>
    <row r="3145" spans="1:15" x14ac:dyDescent="0.25">
      <c r="A3145" s="35" t="s">
        <v>3620</v>
      </c>
      <c r="B3145" s="28" t="str">
        <f t="shared" si="98"/>
        <v>Uinta</v>
      </c>
      <c r="C3145" s="30">
        <v>21118</v>
      </c>
      <c r="D3145" s="30">
        <v>21121</v>
      </c>
      <c r="E3145" s="30">
        <v>21089</v>
      </c>
      <c r="F3145" s="30">
        <v>20896</v>
      </c>
      <c r="G3145" s="30">
        <v>20996</v>
      </c>
      <c r="H3145" s="30">
        <v>20951</v>
      </c>
      <c r="I3145" s="30">
        <v>20822</v>
      </c>
      <c r="J3145" s="30">
        <v>20763</v>
      </c>
      <c r="K3145" s="30">
        <v>20682</v>
      </c>
      <c r="L3145" s="30">
        <v>20431</v>
      </c>
      <c r="M3145" s="30">
        <v>20292</v>
      </c>
      <c r="N3145" s="30">
        <v>20226</v>
      </c>
      <c r="O3145" s="24" t="str">
        <f t="shared" si="99"/>
        <v>Uinta County, Wyoming</v>
      </c>
    </row>
    <row r="3146" spans="1:15" x14ac:dyDescent="0.25">
      <c r="A3146" s="35" t="s">
        <v>3621</v>
      </c>
      <c r="B3146" s="28" t="str">
        <f t="shared" si="98"/>
        <v>Washakie</v>
      </c>
      <c r="C3146" s="30">
        <v>8533</v>
      </c>
      <c r="D3146" s="30">
        <v>8528</v>
      </c>
      <c r="E3146" s="30">
        <v>8530</v>
      </c>
      <c r="F3146" s="30">
        <v>8449</v>
      </c>
      <c r="G3146" s="30">
        <v>8409</v>
      </c>
      <c r="H3146" s="30">
        <v>8413</v>
      </c>
      <c r="I3146" s="30">
        <v>8273</v>
      </c>
      <c r="J3146" s="30">
        <v>8278</v>
      </c>
      <c r="K3146" s="30">
        <v>8165</v>
      </c>
      <c r="L3146" s="30">
        <v>8010</v>
      </c>
      <c r="M3146" s="30">
        <v>7877</v>
      </c>
      <c r="N3146" s="30">
        <v>7805</v>
      </c>
      <c r="O3146" s="24" t="str">
        <f t="shared" si="99"/>
        <v>Washakie County, Wyoming</v>
      </c>
    </row>
    <row r="3147" spans="1:15" x14ac:dyDescent="0.25">
      <c r="A3147" s="36" t="s">
        <v>3622</v>
      </c>
      <c r="B3147" s="28" t="str">
        <f t="shared" si="98"/>
        <v>Weston</v>
      </c>
      <c r="C3147" s="31">
        <v>7208</v>
      </c>
      <c r="D3147" s="31">
        <v>7208</v>
      </c>
      <c r="E3147" s="31">
        <v>7198</v>
      </c>
      <c r="F3147" s="31">
        <v>7142</v>
      </c>
      <c r="G3147" s="31">
        <v>7077</v>
      </c>
      <c r="H3147" s="31">
        <v>7136</v>
      </c>
      <c r="I3147" s="31">
        <v>7138</v>
      </c>
      <c r="J3147" s="31">
        <v>7208</v>
      </c>
      <c r="K3147" s="31">
        <v>7220</v>
      </c>
      <c r="L3147" s="31">
        <v>6968</v>
      </c>
      <c r="M3147" s="31">
        <v>6924</v>
      </c>
      <c r="N3147" s="31">
        <v>6927</v>
      </c>
      <c r="O3147" s="24" t="str">
        <f t="shared" si="99"/>
        <v>Weston County, Wyoming</v>
      </c>
    </row>
    <row r="3148" spans="1:15" ht="24.75" customHeight="1" x14ac:dyDescent="0.25">
      <c r="A3148" s="86" t="s">
        <v>476</v>
      </c>
      <c r="B3148" s="87"/>
      <c r="C3148" s="88"/>
      <c r="D3148" s="88"/>
      <c r="E3148" s="88"/>
      <c r="F3148" s="88"/>
      <c r="G3148" s="88"/>
      <c r="H3148" s="88"/>
      <c r="I3148" s="88"/>
      <c r="J3148" s="88"/>
      <c r="K3148" s="88"/>
      <c r="L3148" s="88"/>
      <c r="M3148" s="88"/>
      <c r="N3148" s="89"/>
      <c r="O3148" s="24" t="str">
        <f t="shared" si="99"/>
        <v>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v>
      </c>
    </row>
    <row r="3149" spans="1:15" ht="50.1" customHeight="1" x14ac:dyDescent="0.25">
      <c r="A3149" s="86" t="s">
        <v>477</v>
      </c>
      <c r="B3149" s="87"/>
      <c r="C3149" s="88"/>
      <c r="D3149" s="88"/>
      <c r="E3149" s="88"/>
      <c r="F3149" s="88"/>
      <c r="G3149" s="88"/>
      <c r="H3149" s="88"/>
      <c r="I3149" s="88"/>
      <c r="J3149" s="88"/>
      <c r="K3149" s="88"/>
      <c r="L3149" s="88"/>
      <c r="M3149" s="88"/>
      <c r="N3149" s="89"/>
      <c r="O3149" s="24" t="str">
        <f t="shared" si="99"/>
        <v>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v>
      </c>
    </row>
    <row r="3150" spans="1:15" x14ac:dyDescent="0.25">
      <c r="A3150" s="90" t="s">
        <v>478</v>
      </c>
      <c r="B3150" s="91"/>
      <c r="C3150" s="92"/>
      <c r="D3150" s="92"/>
      <c r="E3150" s="92"/>
      <c r="F3150" s="92"/>
      <c r="G3150" s="92"/>
      <c r="H3150" s="92"/>
      <c r="I3150" s="92"/>
      <c r="J3150" s="92"/>
      <c r="K3150" s="92"/>
      <c r="L3150" s="92"/>
      <c r="M3150" s="92"/>
      <c r="N3150" s="93"/>
      <c r="O3150" s="24" t="str">
        <f t="shared" si="99"/>
        <v>Suggested Citation:</v>
      </c>
    </row>
    <row r="3151" spans="1:15" ht="12.75" customHeight="1" x14ac:dyDescent="0.25">
      <c r="A3151" s="94" t="s">
        <v>479</v>
      </c>
      <c r="B3151" s="95"/>
      <c r="C3151" s="96"/>
      <c r="D3151" s="96"/>
      <c r="E3151" s="96"/>
      <c r="F3151" s="96"/>
      <c r="G3151" s="96"/>
      <c r="H3151" s="96"/>
      <c r="I3151" s="96"/>
      <c r="J3151" s="96"/>
      <c r="K3151" s="96"/>
      <c r="L3151" s="96"/>
      <c r="M3151" s="96"/>
      <c r="N3151" s="97"/>
      <c r="O3151" s="24" t="str">
        <f t="shared" si="99"/>
        <v>Annual Estimates of the Resident Population for Counties in the United States: April 1, 2010 to July 1, 2019 (CO-EST2019-ANNRES)</v>
      </c>
    </row>
    <row r="3152" spans="1:15" ht="12.75" customHeight="1" x14ac:dyDescent="0.25">
      <c r="A3152" s="94" t="s">
        <v>480</v>
      </c>
      <c r="B3152" s="95"/>
      <c r="C3152" s="96"/>
      <c r="D3152" s="96"/>
      <c r="E3152" s="96"/>
      <c r="F3152" s="96"/>
      <c r="G3152" s="96"/>
      <c r="H3152" s="96"/>
      <c r="I3152" s="96"/>
      <c r="J3152" s="96"/>
      <c r="K3152" s="96"/>
      <c r="L3152" s="96"/>
      <c r="M3152" s="96"/>
      <c r="N3152" s="97"/>
      <c r="O3152" s="24" t="str">
        <f t="shared" si="99"/>
        <v>Source: U.S. Census Bureau, Population Division</v>
      </c>
    </row>
    <row r="3153" spans="1:15" x14ac:dyDescent="0.25">
      <c r="A3153" s="98" t="s">
        <v>481</v>
      </c>
      <c r="B3153" s="99"/>
      <c r="C3153" s="100"/>
      <c r="D3153" s="100"/>
      <c r="E3153" s="100"/>
      <c r="F3153" s="100"/>
      <c r="G3153" s="100"/>
      <c r="H3153" s="100"/>
      <c r="I3153" s="100"/>
      <c r="J3153" s="100"/>
      <c r="K3153" s="100"/>
      <c r="L3153" s="100"/>
      <c r="M3153" s="100"/>
      <c r="N3153" s="101"/>
      <c r="O3153" s="24" t="str">
        <f t="shared" si="99"/>
        <v>Release Date: March 2020</v>
      </c>
    </row>
  </sheetData>
  <mergeCells count="11">
    <mergeCell ref="A3148:N3148"/>
    <mergeCell ref="A1:N1"/>
    <mergeCell ref="A2:N2"/>
    <mergeCell ref="A3:A4"/>
    <mergeCell ref="C3:D3"/>
    <mergeCell ref="E3:N3"/>
    <mergeCell ref="A3149:N3149"/>
    <mergeCell ref="A3150:N3150"/>
    <mergeCell ref="A3151:N3151"/>
    <mergeCell ref="A3152:N3152"/>
    <mergeCell ref="A3153:N3153"/>
  </mergeCells>
  <pageMargins left="0.25" right="0.25" top="0.75" bottom="1" header="0.5" footer="0.5"/>
  <pageSetup orientation="landscape" horizontalDpi="90" verticalDpi="90" r:id="rId1"/>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62"/>
  <sheetViews>
    <sheetView workbookViewId="0">
      <selection activeCell="E12" sqref="E12"/>
    </sheetView>
  </sheetViews>
  <sheetFormatPr defaultRowHeight="15" x14ac:dyDescent="0.25"/>
  <cols>
    <col min="1" max="1" width="51.42578125" bestFit="1" customWidth="1"/>
    <col min="2" max="2" width="10.42578125" customWidth="1"/>
    <col min="3" max="3" width="12" bestFit="1" customWidth="1"/>
    <col min="4" max="4" width="12" customWidth="1"/>
  </cols>
  <sheetData>
    <row r="1" spans="1:24" x14ac:dyDescent="0.25">
      <c r="A1" t="s">
        <v>324</v>
      </c>
      <c r="B1">
        <v>50</v>
      </c>
      <c r="C1" t="s">
        <v>325</v>
      </c>
    </row>
    <row r="2" spans="1:24" x14ac:dyDescent="0.25">
      <c r="A2" t="s">
        <v>326</v>
      </c>
      <c r="B2" s="74">
        <v>2.8000000000000001E-2</v>
      </c>
      <c r="C2" t="s">
        <v>328</v>
      </c>
      <c r="D2" t="s">
        <v>327</v>
      </c>
    </row>
    <row r="3" spans="1:24" x14ac:dyDescent="0.25">
      <c r="A3" t="s">
        <v>329</v>
      </c>
      <c r="B3">
        <v>84</v>
      </c>
      <c r="C3" t="s">
        <v>332</v>
      </c>
      <c r="D3" t="s">
        <v>331</v>
      </c>
    </row>
    <row r="4" spans="1:24" x14ac:dyDescent="0.25">
      <c r="A4" t="s">
        <v>330</v>
      </c>
      <c r="B4">
        <v>28</v>
      </c>
      <c r="C4" t="s">
        <v>332</v>
      </c>
      <c r="D4" t="s">
        <v>331</v>
      </c>
    </row>
    <row r="5" spans="1:24" x14ac:dyDescent="0.25">
      <c r="A5" t="s">
        <v>333</v>
      </c>
      <c r="B5">
        <v>3.4119999999999999</v>
      </c>
      <c r="C5" t="s">
        <v>334</v>
      </c>
    </row>
    <row r="6" spans="1:24" x14ac:dyDescent="0.25">
      <c r="A6" t="s">
        <v>333</v>
      </c>
      <c r="B6" s="12">
        <v>12000</v>
      </c>
      <c r="C6" t="s">
        <v>335</v>
      </c>
    </row>
    <row r="7" spans="1:24" x14ac:dyDescent="0.25">
      <c r="A7" t="s">
        <v>358</v>
      </c>
      <c r="B7">
        <v>0.9</v>
      </c>
      <c r="C7" t="s">
        <v>336</v>
      </c>
      <c r="D7" s="66">
        <f>B5/B6*B7</f>
        <v>2.5589999999999999E-4</v>
      </c>
    </row>
    <row r="8" spans="1:24" x14ac:dyDescent="0.25">
      <c r="A8" t="s">
        <v>354</v>
      </c>
      <c r="B8">
        <v>4260</v>
      </c>
      <c r="D8" t="s">
        <v>331</v>
      </c>
    </row>
    <row r="9" spans="1:24" x14ac:dyDescent="0.25">
      <c r="A9" t="s">
        <v>355</v>
      </c>
      <c r="B9">
        <v>1924</v>
      </c>
      <c r="D9" t="s">
        <v>331</v>
      </c>
    </row>
    <row r="10" spans="1:24" x14ac:dyDescent="0.25">
      <c r="A10" t="s">
        <v>356</v>
      </c>
      <c r="B10">
        <v>2430</v>
      </c>
      <c r="D10" t="s">
        <v>331</v>
      </c>
    </row>
    <row r="11" spans="1:24" x14ac:dyDescent="0.25">
      <c r="A11" t="s">
        <v>357</v>
      </c>
      <c r="B11">
        <v>677</v>
      </c>
      <c r="D11" t="s">
        <v>331</v>
      </c>
    </row>
    <row r="12" spans="1:24" x14ac:dyDescent="0.25">
      <c r="A12" t="s">
        <v>375</v>
      </c>
    </row>
    <row r="13" spans="1:24" x14ac:dyDescent="0.25">
      <c r="A13" t="s">
        <v>3902</v>
      </c>
      <c r="B13">
        <v>117</v>
      </c>
      <c r="C13" t="s">
        <v>3900</v>
      </c>
      <c r="P13" s="57" t="s">
        <v>3706</v>
      </c>
    </row>
    <row r="14" spans="1:24" x14ac:dyDescent="0.25">
      <c r="A14" t="s">
        <v>3902</v>
      </c>
      <c r="B14" s="47">
        <f>B13*0.453592/(1055.06*10^6)</f>
        <v>5.0300707068792294E-8</v>
      </c>
      <c r="C14" t="s">
        <v>3901</v>
      </c>
    </row>
    <row r="16" spans="1:24" ht="15.75" thickBot="1" x14ac:dyDescent="0.3">
      <c r="A16" t="s">
        <v>3774</v>
      </c>
      <c r="B16" t="s">
        <v>462</v>
      </c>
      <c r="C16" s="23">
        <v>2015</v>
      </c>
      <c r="D16">
        <v>2016</v>
      </c>
      <c r="E16">
        <v>2017</v>
      </c>
      <c r="F16">
        <v>2018</v>
      </c>
      <c r="G16">
        <v>2019</v>
      </c>
      <c r="H16">
        <v>2020</v>
      </c>
      <c r="I16">
        <v>2021</v>
      </c>
      <c r="J16" s="23">
        <v>2022</v>
      </c>
      <c r="K16">
        <v>2023</v>
      </c>
      <c r="L16" s="23">
        <v>2024</v>
      </c>
      <c r="M16">
        <v>2025</v>
      </c>
      <c r="N16">
        <v>2026</v>
      </c>
      <c r="O16">
        <v>2027</v>
      </c>
      <c r="P16">
        <v>2028</v>
      </c>
      <c r="Q16">
        <v>2029</v>
      </c>
      <c r="R16">
        <v>2030</v>
      </c>
      <c r="S16">
        <v>2031</v>
      </c>
      <c r="T16">
        <v>2032</v>
      </c>
      <c r="U16">
        <v>2033</v>
      </c>
      <c r="V16">
        <v>2034</v>
      </c>
      <c r="W16">
        <v>2035</v>
      </c>
      <c r="X16">
        <v>2036</v>
      </c>
    </row>
    <row r="17" spans="1:42" ht="15.75" thickBot="1" x14ac:dyDescent="0.3">
      <c r="A17" s="17" t="s">
        <v>466</v>
      </c>
      <c r="B17" s="21">
        <v>0.85199999999999998</v>
      </c>
      <c r="C17" s="54">
        <f>B17</f>
        <v>0.85199999999999998</v>
      </c>
      <c r="D17" s="55">
        <v>0.87039672000000001</v>
      </c>
      <c r="E17" s="55">
        <v>0.88217749999999995</v>
      </c>
      <c r="F17" s="55">
        <v>0.89345471999999992</v>
      </c>
      <c r="G17" s="55">
        <v>0.90422837999999994</v>
      </c>
      <c r="H17" s="55">
        <v>0.91449848</v>
      </c>
      <c r="I17" s="55">
        <v>0.92426501999999999</v>
      </c>
      <c r="J17" s="56">
        <v>0.93352800000000014</v>
      </c>
      <c r="K17" s="55">
        <v>0.94228741999999999</v>
      </c>
      <c r="L17" s="56">
        <v>0.95054327999999999</v>
      </c>
      <c r="M17" s="55">
        <v>0.95829557999999992</v>
      </c>
      <c r="N17" s="55">
        <v>0.96554432000000001</v>
      </c>
      <c r="O17" s="55">
        <v>0.97228950000000003</v>
      </c>
      <c r="P17" s="55">
        <v>0.97853111999999998</v>
      </c>
      <c r="Q17" s="55">
        <v>0.98426918000000008</v>
      </c>
      <c r="R17" s="55">
        <v>1</v>
      </c>
      <c r="S17" s="55">
        <v>1</v>
      </c>
      <c r="T17" s="55">
        <v>1</v>
      </c>
      <c r="U17" s="55">
        <v>1</v>
      </c>
      <c r="V17" s="55">
        <v>1</v>
      </c>
      <c r="W17" s="55">
        <v>1</v>
      </c>
      <c r="X17" s="55">
        <v>1</v>
      </c>
    </row>
    <row r="18" spans="1:42" ht="15.75" thickBot="1" x14ac:dyDescent="0.3">
      <c r="A18" s="18" t="s">
        <v>382</v>
      </c>
      <c r="B18" s="21">
        <v>0.85199999999999998</v>
      </c>
      <c r="C18" s="54">
        <f>B18</f>
        <v>0.85199999999999998</v>
      </c>
      <c r="D18" s="55">
        <v>0.87039672000000001</v>
      </c>
      <c r="E18" s="55">
        <v>0.88217749999999995</v>
      </c>
      <c r="F18" s="55">
        <v>0.89345471999999992</v>
      </c>
      <c r="G18" s="55">
        <v>0.90422837999999994</v>
      </c>
      <c r="H18" s="55">
        <v>0.91449848</v>
      </c>
      <c r="I18" s="55">
        <v>0.92426501999999999</v>
      </c>
      <c r="J18" s="56">
        <v>0.93352800000000014</v>
      </c>
      <c r="K18" s="55">
        <v>0.94228741999999999</v>
      </c>
      <c r="L18" s="56">
        <v>0.95054327999999999</v>
      </c>
      <c r="M18" s="55">
        <v>0.95829557999999992</v>
      </c>
      <c r="N18" s="55">
        <v>0.96554432000000001</v>
      </c>
      <c r="O18" s="55">
        <v>0.97228950000000003</v>
      </c>
      <c r="P18" s="55">
        <v>0.97853111999999998</v>
      </c>
      <c r="Q18" s="55">
        <v>0.98426918000000008</v>
      </c>
      <c r="R18" s="55">
        <v>1</v>
      </c>
      <c r="S18" s="55">
        <v>1</v>
      </c>
      <c r="T18" s="55">
        <v>1</v>
      </c>
      <c r="U18" s="55">
        <v>1</v>
      </c>
      <c r="V18" s="55">
        <v>1</v>
      </c>
      <c r="W18" s="55">
        <v>1</v>
      </c>
      <c r="X18" s="55">
        <v>1</v>
      </c>
    </row>
    <row r="19" spans="1:42" ht="15.75" thickBot="1" x14ac:dyDescent="0.3">
      <c r="A19" s="18" t="s">
        <v>377</v>
      </c>
      <c r="B19" s="22">
        <v>0.94299999999999995</v>
      </c>
      <c r="C19" s="54">
        <f t="shared" ref="C19:C23" si="0">B19</f>
        <v>0.94299999999999995</v>
      </c>
      <c r="D19" s="55">
        <v>0.95054327999999999</v>
      </c>
      <c r="E19" s="55">
        <v>0.95829557999999992</v>
      </c>
      <c r="F19" s="55">
        <v>0.96554432000000001</v>
      </c>
      <c r="G19" s="55">
        <v>0.97228950000000003</v>
      </c>
      <c r="H19" s="55">
        <v>0.97853111999999998</v>
      </c>
      <c r="I19" s="55">
        <v>0.98426918000000008</v>
      </c>
      <c r="J19" s="56">
        <v>1</v>
      </c>
      <c r="K19" s="55">
        <v>1</v>
      </c>
      <c r="L19" s="56">
        <v>1</v>
      </c>
      <c r="M19" s="55">
        <v>1</v>
      </c>
      <c r="N19" s="55">
        <v>1</v>
      </c>
      <c r="O19" s="55">
        <v>1</v>
      </c>
      <c r="P19" s="55">
        <v>1</v>
      </c>
      <c r="Q19" s="55">
        <v>1</v>
      </c>
      <c r="R19" s="55">
        <v>1</v>
      </c>
      <c r="S19" s="55">
        <v>1</v>
      </c>
      <c r="T19" s="55">
        <v>1</v>
      </c>
      <c r="U19" s="55">
        <v>1</v>
      </c>
      <c r="V19" s="55">
        <v>1</v>
      </c>
      <c r="W19" s="55">
        <v>1</v>
      </c>
      <c r="X19" s="55">
        <v>1</v>
      </c>
    </row>
    <row r="20" spans="1:42" ht="15.75" thickBot="1" x14ac:dyDescent="0.3">
      <c r="A20" s="18" t="s">
        <v>386</v>
      </c>
      <c r="B20" s="22">
        <v>0.79500000000000004</v>
      </c>
      <c r="C20" s="54">
        <v>0.80393942000000007</v>
      </c>
      <c r="D20" s="55">
        <v>0.81823800000000002</v>
      </c>
      <c r="E20" s="55">
        <v>0.8320330199999999</v>
      </c>
      <c r="F20" s="55">
        <v>0.84532448000000004</v>
      </c>
      <c r="G20" s="55">
        <v>0.85811238000000001</v>
      </c>
      <c r="H20" s="55">
        <v>0.87039672000000001</v>
      </c>
      <c r="I20" s="55">
        <v>0.88217749999999995</v>
      </c>
      <c r="J20" s="56">
        <v>0.89345471999999992</v>
      </c>
      <c r="K20" s="55">
        <v>0.90422837999999994</v>
      </c>
      <c r="L20" s="56">
        <v>0.91449848</v>
      </c>
      <c r="M20" s="55">
        <v>0.92426501999999999</v>
      </c>
      <c r="N20" s="55">
        <v>0.93352800000000014</v>
      </c>
      <c r="O20" s="55">
        <v>0.94228741999999999</v>
      </c>
      <c r="P20" s="55">
        <v>0.95054327999999999</v>
      </c>
      <c r="Q20" s="55">
        <v>0.95829557999999992</v>
      </c>
      <c r="R20" s="55">
        <v>0.96554432000000001</v>
      </c>
      <c r="S20" s="55">
        <v>0.97228950000000003</v>
      </c>
      <c r="T20" s="55">
        <v>0.97853111999999998</v>
      </c>
      <c r="U20" s="55">
        <v>0.98426918000000008</v>
      </c>
      <c r="V20" s="55">
        <v>1</v>
      </c>
      <c r="W20" s="55">
        <v>1</v>
      </c>
      <c r="X20" s="55">
        <v>1</v>
      </c>
    </row>
    <row r="21" spans="1:42" ht="15.75" thickBot="1" x14ac:dyDescent="0.3">
      <c r="A21" s="18" t="s">
        <v>384</v>
      </c>
      <c r="B21" s="22">
        <v>0.79500000000000004</v>
      </c>
      <c r="C21" s="54">
        <v>0.80393942000000007</v>
      </c>
      <c r="D21" s="55">
        <v>0.81823800000000002</v>
      </c>
      <c r="E21" s="55">
        <v>0.8320330199999999</v>
      </c>
      <c r="F21" s="55">
        <v>0.84532448000000004</v>
      </c>
      <c r="G21" s="55">
        <v>0.85811238000000001</v>
      </c>
      <c r="H21" s="55">
        <v>0.87039672000000001</v>
      </c>
      <c r="I21" s="55">
        <v>0.88217749999999995</v>
      </c>
      <c r="J21" s="56">
        <v>0.89345471999999992</v>
      </c>
      <c r="K21" s="55">
        <v>0.90422837999999994</v>
      </c>
      <c r="L21" s="56">
        <v>0.91449848</v>
      </c>
      <c r="M21" s="55">
        <v>0.92426501999999999</v>
      </c>
      <c r="N21" s="55">
        <v>0.93352800000000014</v>
      </c>
      <c r="O21" s="55">
        <v>0.94228741999999999</v>
      </c>
      <c r="P21" s="55">
        <v>0.95054327999999999</v>
      </c>
      <c r="Q21" s="55">
        <v>0.95829557999999992</v>
      </c>
      <c r="R21" s="55">
        <v>0.96554432000000001</v>
      </c>
      <c r="S21" s="55">
        <v>0.97228950000000003</v>
      </c>
      <c r="T21" s="55">
        <v>0.97853111999999998</v>
      </c>
      <c r="U21" s="55">
        <v>0.98426918000000008</v>
      </c>
      <c r="V21" s="55">
        <v>1</v>
      </c>
      <c r="W21" s="55">
        <v>1</v>
      </c>
      <c r="X21" s="55">
        <v>1</v>
      </c>
    </row>
    <row r="22" spans="1:42" ht="15.75" thickBot="1" x14ac:dyDescent="0.3">
      <c r="A22" s="18" t="s">
        <v>378</v>
      </c>
      <c r="B22" s="22">
        <v>0.93400000000000005</v>
      </c>
      <c r="C22" s="54">
        <f t="shared" si="0"/>
        <v>0.93400000000000005</v>
      </c>
      <c r="D22" s="55">
        <v>0.95054327999999999</v>
      </c>
      <c r="E22" s="55">
        <v>0.95829557999999992</v>
      </c>
      <c r="F22" s="55">
        <v>0.96554432000000001</v>
      </c>
      <c r="G22" s="55">
        <v>0.97228950000000003</v>
      </c>
      <c r="H22" s="55">
        <v>0.97853111999999998</v>
      </c>
      <c r="I22" s="55">
        <v>0.98426918000000008</v>
      </c>
      <c r="J22" s="56">
        <v>1</v>
      </c>
      <c r="K22" s="55">
        <v>1</v>
      </c>
      <c r="L22" s="56">
        <v>1</v>
      </c>
      <c r="M22" s="55">
        <v>1</v>
      </c>
      <c r="N22" s="55">
        <v>1</v>
      </c>
      <c r="O22" s="55">
        <v>1</v>
      </c>
      <c r="P22" s="55">
        <v>1</v>
      </c>
      <c r="Q22" s="55">
        <v>1</v>
      </c>
      <c r="R22" s="55">
        <v>1</v>
      </c>
      <c r="S22" s="55">
        <v>1</v>
      </c>
      <c r="T22" s="55">
        <v>1</v>
      </c>
      <c r="U22" s="55">
        <v>1</v>
      </c>
      <c r="V22" s="55">
        <v>1</v>
      </c>
      <c r="W22" s="55">
        <v>1</v>
      </c>
      <c r="X22" s="55">
        <v>1</v>
      </c>
    </row>
    <row r="23" spans="1:42" ht="15.75" thickBot="1" x14ac:dyDescent="0.3">
      <c r="A23" s="18" t="s">
        <v>388</v>
      </c>
      <c r="B23" s="22">
        <v>0.52200000000000002</v>
      </c>
      <c r="C23" s="54">
        <f t="shared" si="0"/>
        <v>0.52200000000000002</v>
      </c>
      <c r="D23" s="55">
        <v>0.55088550000000003</v>
      </c>
      <c r="E23" s="55">
        <v>0.57223391999999995</v>
      </c>
      <c r="F23" s="55">
        <v>0.59307877999999992</v>
      </c>
      <c r="G23" s="55">
        <v>0.61342008000000003</v>
      </c>
      <c r="H23" s="55">
        <v>0.63325781999999997</v>
      </c>
      <c r="I23" s="55">
        <v>0.65259199999999995</v>
      </c>
      <c r="J23" s="56">
        <v>0.67142261999999997</v>
      </c>
      <c r="K23" s="55">
        <v>0.68974968000000003</v>
      </c>
      <c r="L23" s="56">
        <v>0.70757318000000002</v>
      </c>
      <c r="M23" s="55">
        <v>0.72489311999999995</v>
      </c>
      <c r="N23" s="55">
        <v>0.74170950000000002</v>
      </c>
      <c r="O23" s="55">
        <v>0.75802232000000003</v>
      </c>
      <c r="P23" s="55">
        <v>0.77383157999999996</v>
      </c>
      <c r="Q23" s="55">
        <v>0.78913728000000005</v>
      </c>
      <c r="R23" s="55">
        <v>0.80393942000000007</v>
      </c>
      <c r="S23" s="55">
        <v>0.81823800000000002</v>
      </c>
      <c r="T23" s="55">
        <v>0.8320330199999999</v>
      </c>
      <c r="U23" s="55">
        <v>0.84532448000000004</v>
      </c>
      <c r="V23" s="55">
        <v>0.85811238000000001</v>
      </c>
      <c r="W23" s="55">
        <v>0.87039672000000001</v>
      </c>
      <c r="X23" s="55">
        <v>0.88217749999999995</v>
      </c>
      <c r="Y23" s="20"/>
      <c r="Z23" s="20"/>
      <c r="AA23" s="20"/>
      <c r="AB23" s="20"/>
      <c r="AC23" s="20"/>
      <c r="AD23" s="20"/>
      <c r="AE23" s="20"/>
      <c r="AF23" s="20"/>
      <c r="AG23" s="20"/>
      <c r="AH23" s="20"/>
      <c r="AI23" s="20"/>
      <c r="AJ23" s="20"/>
      <c r="AK23" s="20"/>
      <c r="AL23" s="20"/>
      <c r="AM23" s="20"/>
      <c r="AN23" s="20"/>
      <c r="AO23" s="20"/>
      <c r="AP23" s="20"/>
    </row>
    <row r="25" spans="1:42" ht="60" x14ac:dyDescent="0.25">
      <c r="A25" s="19" t="s">
        <v>463</v>
      </c>
      <c r="C25" t="s">
        <v>464</v>
      </c>
    </row>
    <row r="26" spans="1:42" x14ac:dyDescent="0.25">
      <c r="C26" s="65" t="s">
        <v>465</v>
      </c>
    </row>
    <row r="28" spans="1:42" x14ac:dyDescent="0.25">
      <c r="A28" t="s">
        <v>3655</v>
      </c>
    </row>
    <row r="29" spans="1:42" x14ac:dyDescent="0.25">
      <c r="A29" t="s">
        <v>3654</v>
      </c>
    </row>
    <row r="30" spans="1:42" x14ac:dyDescent="0.25">
      <c r="A30" t="s">
        <v>3656</v>
      </c>
      <c r="B30">
        <v>0.61</v>
      </c>
    </row>
    <row r="31" spans="1:42" x14ac:dyDescent="0.25">
      <c r="A31" t="s">
        <v>3658</v>
      </c>
      <c r="B31" s="44">
        <f>2400/3.28/3.28</f>
        <v>223.08149910767403</v>
      </c>
      <c r="C31" t="s">
        <v>3659</v>
      </c>
    </row>
    <row r="32" spans="1:42" x14ac:dyDescent="0.25">
      <c r="A32" t="s">
        <v>3660</v>
      </c>
      <c r="B32" s="44">
        <f>8.5/3.28</f>
        <v>2.5914634146341466</v>
      </c>
      <c r="C32" t="s">
        <v>3659</v>
      </c>
    </row>
    <row r="33" spans="1:5" x14ac:dyDescent="0.25">
      <c r="A33" t="s">
        <v>3661</v>
      </c>
      <c r="B33" s="44">
        <v>1.2</v>
      </c>
      <c r="C33" t="s">
        <v>3662</v>
      </c>
    </row>
    <row r="34" spans="1:5" x14ac:dyDescent="0.25">
      <c r="A34" t="s">
        <v>3657</v>
      </c>
      <c r="B34" s="45">
        <f>B30/(1000*(B32/2.5)^0.3)*B31</f>
        <v>0.13462070707708643</v>
      </c>
      <c r="C34" t="s">
        <v>3663</v>
      </c>
      <c r="D34">
        <f>B34*(3.28*12)^2</f>
        <v>208.55569176261022</v>
      </c>
      <c r="E34" t="s">
        <v>3669</v>
      </c>
    </row>
    <row r="35" spans="1:5" x14ac:dyDescent="0.25">
      <c r="A35" t="s">
        <v>3665</v>
      </c>
      <c r="B35" s="44">
        <f>B34/(SQRT(B33/8)*((4/50)^0.65))</f>
        <v>1.7949722805356905</v>
      </c>
      <c r="C35" t="s">
        <v>3666</v>
      </c>
      <c r="D35" s="47">
        <f>D34/2</f>
        <v>104.27784588130511</v>
      </c>
      <c r="E35" t="s">
        <v>3669</v>
      </c>
    </row>
    <row r="36" spans="1:5" x14ac:dyDescent="0.25">
      <c r="A36" t="s">
        <v>3667</v>
      </c>
      <c r="B36" s="46">
        <f>B31*B32</f>
        <v>578.10754341927725</v>
      </c>
      <c r="D36" t="s">
        <v>3670</v>
      </c>
    </row>
    <row r="37" spans="1:5" x14ac:dyDescent="0.25">
      <c r="A37" t="s">
        <v>3664</v>
      </c>
      <c r="B37" s="44">
        <f>1/(B36/B35/3600)</f>
        <v>11.177678415522662</v>
      </c>
      <c r="C37" t="s">
        <v>3664</v>
      </c>
    </row>
    <row r="38" spans="1:5" x14ac:dyDescent="0.25">
      <c r="B38">
        <f>1000*(B34/B31)*(B32/2.5)^0.3</f>
        <v>0.61</v>
      </c>
    </row>
    <row r="39" spans="1:5" x14ac:dyDescent="0.25">
      <c r="B39" s="43">
        <f>SQRT(B33/8)*B35*(4/50)^0.65</f>
        <v>0.13462070707708643</v>
      </c>
    </row>
    <row r="40" spans="1:5" x14ac:dyDescent="0.25">
      <c r="A40" t="s">
        <v>3668</v>
      </c>
    </row>
    <row r="45" spans="1:5" x14ac:dyDescent="0.25">
      <c r="A45" t="s">
        <v>3794</v>
      </c>
      <c r="B45">
        <f>22315*3600000000000000</f>
        <v>8.0334E+19</v>
      </c>
      <c r="C45" t="s">
        <v>3785</v>
      </c>
      <c r="D45" t="s">
        <v>3795</v>
      </c>
    </row>
    <row r="46" spans="1:5" x14ac:dyDescent="0.25">
      <c r="A46" t="s">
        <v>3782</v>
      </c>
      <c r="B46">
        <v>8100</v>
      </c>
      <c r="C46" t="s">
        <v>3783</v>
      </c>
      <c r="D46">
        <v>193590</v>
      </c>
    </row>
    <row r="47" spans="1:5" x14ac:dyDescent="0.25">
      <c r="A47" t="s">
        <v>3782</v>
      </c>
      <c r="B47">
        <f>B46*1000</f>
        <v>8100000</v>
      </c>
      <c r="C47" t="s">
        <v>3784</v>
      </c>
    </row>
    <row r="48" spans="1:5" x14ac:dyDescent="0.25">
      <c r="A48" t="s">
        <v>3787</v>
      </c>
      <c r="B48">
        <f>B47/B45</f>
        <v>1.0082903876316379E-13</v>
      </c>
      <c r="C48" t="s">
        <v>3786</v>
      </c>
    </row>
    <row r="49" spans="1:7" x14ac:dyDescent="0.25">
      <c r="A49" t="s">
        <v>3788</v>
      </c>
      <c r="B49">
        <v>9503476267.5016365</v>
      </c>
      <c r="C49" t="s">
        <v>3785</v>
      </c>
    </row>
    <row r="50" spans="1:7" x14ac:dyDescent="0.25">
      <c r="A50" t="s">
        <v>3789</v>
      </c>
      <c r="B50">
        <f>B48*B49</f>
        <v>9.5822637696072962E-4</v>
      </c>
      <c r="C50" t="s">
        <v>3784</v>
      </c>
    </row>
    <row r="51" spans="1:7" x14ac:dyDescent="0.25">
      <c r="A51" t="s">
        <v>3790</v>
      </c>
      <c r="B51">
        <v>16300</v>
      </c>
      <c r="C51" t="s">
        <v>3792</v>
      </c>
    </row>
    <row r="52" spans="1:7" x14ac:dyDescent="0.25">
      <c r="A52" t="s">
        <v>3791</v>
      </c>
      <c r="B52">
        <v>23900</v>
      </c>
    </row>
    <row r="53" spans="1:7" x14ac:dyDescent="0.25">
      <c r="A53" t="s">
        <v>3790</v>
      </c>
      <c r="B53">
        <f>B51*B50</f>
        <v>15.619089944459892</v>
      </c>
      <c r="C53" t="s">
        <v>3793</v>
      </c>
    </row>
    <row r="54" spans="1:7" x14ac:dyDescent="0.25">
      <c r="A54" s="77" t="s">
        <v>3791</v>
      </c>
      <c r="B54" s="77">
        <f>B52*B50</f>
        <v>22.901610409361439</v>
      </c>
      <c r="C54" s="77" t="s">
        <v>3793</v>
      </c>
      <c r="D54" s="77"/>
      <c r="E54" s="77"/>
      <c r="F54" s="77"/>
      <c r="G54" s="77"/>
    </row>
    <row r="57" spans="1:7" x14ac:dyDescent="0.25">
      <c r="A57" t="s">
        <v>3799</v>
      </c>
      <c r="B57">
        <v>5936</v>
      </c>
      <c r="C57" t="s">
        <v>3798</v>
      </c>
      <c r="D57" t="s">
        <v>3808</v>
      </c>
    </row>
    <row r="58" spans="1:7" x14ac:dyDescent="0.25">
      <c r="A58" t="s">
        <v>3796</v>
      </c>
      <c r="B58" s="75">
        <v>3800000000000</v>
      </c>
      <c r="C58" t="s">
        <v>3797</v>
      </c>
      <c r="D58" t="s">
        <v>3802</v>
      </c>
    </row>
    <row r="59" spans="1:7" x14ac:dyDescent="0.25">
      <c r="A59" t="s">
        <v>3800</v>
      </c>
      <c r="B59" s="75">
        <f>B57*10^6/B58</f>
        <v>1.5621052631578948E-3</v>
      </c>
      <c r="C59" t="s">
        <v>3801</v>
      </c>
    </row>
    <row r="60" spans="1:7" x14ac:dyDescent="0.25">
      <c r="A60" t="s">
        <v>3804</v>
      </c>
      <c r="B60">
        <v>10649</v>
      </c>
      <c r="C60" t="s">
        <v>3805</v>
      </c>
      <c r="D60" t="s">
        <v>3803</v>
      </c>
    </row>
    <row r="61" spans="1:7" x14ac:dyDescent="0.25">
      <c r="A61" t="s">
        <v>3807</v>
      </c>
      <c r="B61" s="76">
        <f>B60*B59</f>
        <v>16.634858947368421</v>
      </c>
      <c r="C61" t="s">
        <v>3806</v>
      </c>
    </row>
    <row r="62" spans="1:7" x14ac:dyDescent="0.25">
      <c r="A62" t="s">
        <v>3809</v>
      </c>
      <c r="B62">
        <f>B61*15</f>
        <v>249.52288421052631</v>
      </c>
      <c r="C62" t="s">
        <v>3806</v>
      </c>
    </row>
  </sheetData>
  <hyperlinks>
    <hyperlink ref="C26" r:id="rId1" xr:uid="{51E5BE9C-F008-4C92-A26B-3E4B0E235451}"/>
  </hyperlinks>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05F5-64B0-4736-83CA-8B930429AC40}">
  <dimension ref="A1:D49"/>
  <sheetViews>
    <sheetView workbookViewId="0">
      <selection activeCell="D2" sqref="D2"/>
    </sheetView>
  </sheetViews>
  <sheetFormatPr defaultRowHeight="15" x14ac:dyDescent="0.25"/>
  <cols>
    <col min="1" max="1" width="12.140625" customWidth="1"/>
    <col min="2" max="2" width="17.42578125" bestFit="1" customWidth="1"/>
    <col min="3" max="3" width="14" customWidth="1"/>
  </cols>
  <sheetData>
    <row r="1" spans="1:4" ht="45.75" thickBot="1" x14ac:dyDescent="0.3">
      <c r="A1" s="70" t="s">
        <v>177</v>
      </c>
      <c r="B1" s="73" t="s">
        <v>3779</v>
      </c>
      <c r="C1" s="73" t="s">
        <v>3780</v>
      </c>
      <c r="D1" s="70" t="s">
        <v>3781</v>
      </c>
    </row>
    <row r="2" spans="1:4" x14ac:dyDescent="0.25">
      <c r="A2" s="71" t="s">
        <v>180</v>
      </c>
      <c r="B2">
        <v>1.1000000000000001</v>
      </c>
      <c r="C2">
        <v>0.5</v>
      </c>
      <c r="D2">
        <f>SUM(Table1[[#This Row],[Leak Rate (%) Production]:[Leak Rate (Downsteam of Meter)]])</f>
        <v>1.6</v>
      </c>
    </row>
    <row r="3" spans="1:4" x14ac:dyDescent="0.25">
      <c r="A3" s="72" t="s">
        <v>186</v>
      </c>
      <c r="B3">
        <v>3.4</v>
      </c>
      <c r="C3">
        <v>0.5</v>
      </c>
      <c r="D3">
        <f>SUM(Table1[[#This Row],[Leak Rate (%) Production]:[Leak Rate (Downsteam of Meter)]])</f>
        <v>3.9</v>
      </c>
    </row>
    <row r="4" spans="1:4" x14ac:dyDescent="0.25">
      <c r="A4" s="72" t="s">
        <v>183</v>
      </c>
      <c r="B4">
        <v>1.1000000000000001</v>
      </c>
      <c r="C4">
        <v>0.5</v>
      </c>
      <c r="D4">
        <f>SUM(Table1[[#This Row],[Leak Rate (%) Production]:[Leak Rate (Downsteam of Meter)]])</f>
        <v>1.6</v>
      </c>
    </row>
    <row r="5" spans="1:4" x14ac:dyDescent="0.25">
      <c r="A5" s="72" t="s">
        <v>191</v>
      </c>
      <c r="B5">
        <v>2.8</v>
      </c>
      <c r="C5">
        <v>0.5</v>
      </c>
      <c r="D5">
        <f>SUM(Table1[[#This Row],[Leak Rate (%) Production]:[Leak Rate (Downsteam of Meter)]])</f>
        <v>3.3</v>
      </c>
    </row>
    <row r="6" spans="1:4" x14ac:dyDescent="0.25">
      <c r="A6" s="72" t="s">
        <v>195</v>
      </c>
      <c r="B6">
        <v>3.1</v>
      </c>
      <c r="C6">
        <v>0.5</v>
      </c>
      <c r="D6">
        <f>SUM(Table1[[#This Row],[Leak Rate (%) Production]:[Leak Rate (Downsteam of Meter)]])</f>
        <v>3.6</v>
      </c>
    </row>
    <row r="7" spans="1:4" x14ac:dyDescent="0.25">
      <c r="A7" s="72" t="s">
        <v>200</v>
      </c>
      <c r="B7">
        <v>0.9</v>
      </c>
      <c r="C7">
        <v>0.5</v>
      </c>
      <c r="D7">
        <f>SUM(Table1[[#This Row],[Leak Rate (%) Production]:[Leak Rate (Downsteam of Meter)]])</f>
        <v>1.4</v>
      </c>
    </row>
    <row r="8" spans="1:4" x14ac:dyDescent="0.25">
      <c r="A8" s="72" t="s">
        <v>202</v>
      </c>
      <c r="B8">
        <v>0.9</v>
      </c>
      <c r="C8">
        <v>0.5</v>
      </c>
      <c r="D8">
        <f>SUM(Table1[[#This Row],[Leak Rate (%) Production]:[Leak Rate (Downsteam of Meter)]])</f>
        <v>1.4</v>
      </c>
    </row>
    <row r="9" spans="1:4" x14ac:dyDescent="0.25">
      <c r="A9" s="72" t="s">
        <v>204</v>
      </c>
      <c r="B9">
        <v>1</v>
      </c>
      <c r="C9">
        <v>0.5</v>
      </c>
      <c r="D9">
        <f>SUM(Table1[[#This Row],[Leak Rate (%) Production]:[Leak Rate (Downsteam of Meter)]])</f>
        <v>1.5</v>
      </c>
    </row>
    <row r="10" spans="1:4" x14ac:dyDescent="0.25">
      <c r="A10" s="72" t="s">
        <v>207</v>
      </c>
      <c r="B10">
        <v>1</v>
      </c>
      <c r="C10">
        <v>0.5</v>
      </c>
      <c r="D10">
        <f>SUM(Table1[[#This Row],[Leak Rate (%) Production]:[Leak Rate (Downsteam of Meter)]])</f>
        <v>1.5</v>
      </c>
    </row>
    <row r="11" spans="1:4" x14ac:dyDescent="0.25">
      <c r="A11" s="72" t="s">
        <v>214</v>
      </c>
      <c r="B11">
        <v>2.1</v>
      </c>
      <c r="C11">
        <v>0.5</v>
      </c>
      <c r="D11">
        <f>SUM(Table1[[#This Row],[Leak Rate (%) Production]:[Leak Rate (Downsteam of Meter)]])</f>
        <v>2.6</v>
      </c>
    </row>
    <row r="12" spans="1:4" x14ac:dyDescent="0.25">
      <c r="A12" s="72" t="s">
        <v>217</v>
      </c>
      <c r="B12">
        <v>2.1</v>
      </c>
      <c r="C12">
        <v>0.5</v>
      </c>
      <c r="D12">
        <f>SUM(Table1[[#This Row],[Leak Rate (%) Production]:[Leak Rate (Downsteam of Meter)]])</f>
        <v>2.6</v>
      </c>
    </row>
    <row r="13" spans="1:4" x14ac:dyDescent="0.25">
      <c r="A13" s="72" t="s">
        <v>220</v>
      </c>
      <c r="B13">
        <v>2.2999999999999998</v>
      </c>
      <c r="C13">
        <v>0.5</v>
      </c>
      <c r="D13">
        <f>SUM(Table1[[#This Row],[Leak Rate (%) Production]:[Leak Rate (Downsteam of Meter)]])</f>
        <v>2.8</v>
      </c>
    </row>
    <row r="14" spans="1:4" x14ac:dyDescent="0.25">
      <c r="A14" s="72" t="s">
        <v>211</v>
      </c>
      <c r="B14">
        <v>2.2000000000000002</v>
      </c>
      <c r="C14">
        <v>0.5</v>
      </c>
      <c r="D14">
        <f>SUM(Table1[[#This Row],[Leak Rate (%) Production]:[Leak Rate (Downsteam of Meter)]])</f>
        <v>2.7</v>
      </c>
    </row>
    <row r="15" spans="1:4" x14ac:dyDescent="0.25">
      <c r="A15" s="72" t="s">
        <v>223</v>
      </c>
      <c r="B15">
        <v>3.6</v>
      </c>
      <c r="C15">
        <v>0.5</v>
      </c>
      <c r="D15">
        <f>SUM(Table1[[#This Row],[Leak Rate (%) Production]:[Leak Rate (Downsteam of Meter)]])</f>
        <v>4.0999999999999996</v>
      </c>
    </row>
    <row r="16" spans="1:4" x14ac:dyDescent="0.25">
      <c r="A16" s="72" t="s">
        <v>226</v>
      </c>
      <c r="B16">
        <v>1.2</v>
      </c>
      <c r="C16">
        <v>0.5</v>
      </c>
      <c r="D16">
        <f>SUM(Table1[[#This Row],[Leak Rate (%) Production]:[Leak Rate (Downsteam of Meter)]])</f>
        <v>1.7</v>
      </c>
    </row>
    <row r="17" spans="1:4" x14ac:dyDescent="0.25">
      <c r="A17" s="72" t="s">
        <v>228</v>
      </c>
      <c r="B17">
        <v>1</v>
      </c>
      <c r="C17">
        <v>0.5</v>
      </c>
      <c r="D17">
        <f>SUM(Table1[[#This Row],[Leak Rate (%) Production]:[Leak Rate (Downsteam of Meter)]])</f>
        <v>1.5</v>
      </c>
    </row>
    <row r="18" spans="1:4" x14ac:dyDescent="0.25">
      <c r="A18" s="72" t="s">
        <v>235</v>
      </c>
      <c r="B18">
        <v>0.9</v>
      </c>
      <c r="C18">
        <v>0.5</v>
      </c>
      <c r="D18">
        <f>SUM(Table1[[#This Row],[Leak Rate (%) Production]:[Leak Rate (Downsteam of Meter)]])</f>
        <v>1.4</v>
      </c>
    </row>
    <row r="19" spans="1:4" x14ac:dyDescent="0.25">
      <c r="A19" s="72" t="s">
        <v>233</v>
      </c>
      <c r="B19">
        <v>0.9</v>
      </c>
      <c r="C19">
        <v>0.5</v>
      </c>
      <c r="D19">
        <f>SUM(Table1[[#This Row],[Leak Rate (%) Production]:[Leak Rate (Downsteam of Meter)]])</f>
        <v>1.4</v>
      </c>
    </row>
    <row r="20" spans="1:4" x14ac:dyDescent="0.25">
      <c r="A20" s="72" t="s">
        <v>231</v>
      </c>
      <c r="B20">
        <v>1</v>
      </c>
      <c r="C20">
        <v>0.5</v>
      </c>
      <c r="D20">
        <f>SUM(Table1[[#This Row],[Leak Rate (%) Production]:[Leak Rate (Downsteam of Meter)]])</f>
        <v>1.5</v>
      </c>
    </row>
    <row r="21" spans="1:4" x14ac:dyDescent="0.25">
      <c r="A21" s="72" t="s">
        <v>238</v>
      </c>
      <c r="B21">
        <v>1.4</v>
      </c>
      <c r="C21">
        <v>0.5</v>
      </c>
      <c r="D21">
        <f>SUM(Table1[[#This Row],[Leak Rate (%) Production]:[Leak Rate (Downsteam of Meter)]])</f>
        <v>1.9</v>
      </c>
    </row>
    <row r="22" spans="1:4" x14ac:dyDescent="0.25">
      <c r="A22" s="72" t="s">
        <v>242</v>
      </c>
      <c r="B22">
        <v>1.7</v>
      </c>
      <c r="C22">
        <v>0.5</v>
      </c>
      <c r="D22">
        <f>SUM(Table1[[#This Row],[Leak Rate (%) Production]:[Leak Rate (Downsteam of Meter)]])</f>
        <v>2.2000000000000002</v>
      </c>
    </row>
    <row r="23" spans="1:4" x14ac:dyDescent="0.25">
      <c r="A23" s="72" t="s">
        <v>248</v>
      </c>
      <c r="B23">
        <v>1.8</v>
      </c>
      <c r="C23">
        <v>0.5</v>
      </c>
      <c r="D23">
        <f>SUM(Table1[[#This Row],[Leak Rate (%) Production]:[Leak Rate (Downsteam of Meter)]])</f>
        <v>2.2999999999999998</v>
      </c>
    </row>
    <row r="24" spans="1:4" x14ac:dyDescent="0.25">
      <c r="A24" s="72" t="s">
        <v>245</v>
      </c>
      <c r="B24">
        <v>2.2999999999999998</v>
      </c>
      <c r="C24">
        <v>0.5</v>
      </c>
      <c r="D24">
        <f>SUM(Table1[[#This Row],[Leak Rate (%) Production]:[Leak Rate (Downsteam of Meter)]])</f>
        <v>2.8</v>
      </c>
    </row>
    <row r="25" spans="1:4" x14ac:dyDescent="0.25">
      <c r="A25" s="72" t="s">
        <v>251</v>
      </c>
      <c r="B25">
        <v>2.2000000000000002</v>
      </c>
      <c r="C25">
        <v>0.5</v>
      </c>
      <c r="D25">
        <f>SUM(Table1[[#This Row],[Leak Rate (%) Production]:[Leak Rate (Downsteam of Meter)]])</f>
        <v>2.7</v>
      </c>
    </row>
    <row r="26" spans="1:4" x14ac:dyDescent="0.25">
      <c r="A26" s="72" t="s">
        <v>259</v>
      </c>
      <c r="B26">
        <v>2.8</v>
      </c>
      <c r="C26">
        <v>0.5</v>
      </c>
      <c r="D26">
        <f>SUM(Table1[[#This Row],[Leak Rate (%) Production]:[Leak Rate (Downsteam of Meter)]])</f>
        <v>3.3</v>
      </c>
    </row>
    <row r="27" spans="1:4" x14ac:dyDescent="0.25">
      <c r="A27" s="72" t="s">
        <v>271</v>
      </c>
      <c r="B27">
        <v>1.9</v>
      </c>
      <c r="C27">
        <v>0.5</v>
      </c>
      <c r="D27">
        <f>SUM(Table1[[#This Row],[Leak Rate (%) Production]:[Leak Rate (Downsteam of Meter)]])</f>
        <v>2.4</v>
      </c>
    </row>
    <row r="28" spans="1:4" x14ac:dyDescent="0.25">
      <c r="A28" s="72" t="s">
        <v>261</v>
      </c>
      <c r="B28">
        <v>0.9</v>
      </c>
      <c r="C28">
        <v>0.5</v>
      </c>
      <c r="D28">
        <f>SUM(Table1[[#This Row],[Leak Rate (%) Production]:[Leak Rate (Downsteam of Meter)]])</f>
        <v>1.4</v>
      </c>
    </row>
    <row r="29" spans="1:4" x14ac:dyDescent="0.25">
      <c r="A29" s="72" t="s">
        <v>264</v>
      </c>
      <c r="B29">
        <v>0.9</v>
      </c>
      <c r="C29">
        <v>0.5</v>
      </c>
      <c r="D29">
        <f>SUM(Table1[[#This Row],[Leak Rate (%) Production]:[Leak Rate (Downsteam of Meter)]])</f>
        <v>1.4</v>
      </c>
    </row>
    <row r="30" spans="1:4" x14ac:dyDescent="0.25">
      <c r="A30" s="72" t="s">
        <v>267</v>
      </c>
      <c r="B30">
        <v>3.3</v>
      </c>
      <c r="C30">
        <v>0.5</v>
      </c>
      <c r="D30">
        <f>SUM(Table1[[#This Row],[Leak Rate (%) Production]:[Leak Rate (Downsteam of Meter)]])</f>
        <v>3.8</v>
      </c>
    </row>
    <row r="31" spans="1:4" x14ac:dyDescent="0.25">
      <c r="A31" s="72" t="s">
        <v>274</v>
      </c>
      <c r="B31">
        <v>0.9</v>
      </c>
      <c r="C31">
        <v>0.5</v>
      </c>
      <c r="D31">
        <f>SUM(Table1[[#This Row],[Leak Rate (%) Production]:[Leak Rate (Downsteam of Meter)]])</f>
        <v>1.4</v>
      </c>
    </row>
    <row r="32" spans="1:4" x14ac:dyDescent="0.25">
      <c r="A32" s="72" t="s">
        <v>253</v>
      </c>
      <c r="B32">
        <v>1</v>
      </c>
      <c r="C32">
        <v>0.5</v>
      </c>
      <c r="D32">
        <f>SUM(Table1[[#This Row],[Leak Rate (%) Production]:[Leak Rate (Downsteam of Meter)]])</f>
        <v>1.5</v>
      </c>
    </row>
    <row r="33" spans="1:4" x14ac:dyDescent="0.25">
      <c r="A33" s="72" t="s">
        <v>256</v>
      </c>
      <c r="B33">
        <v>2.2000000000000002</v>
      </c>
      <c r="C33">
        <v>0.5</v>
      </c>
      <c r="D33">
        <f>SUM(Table1[[#This Row],[Leak Rate (%) Production]:[Leak Rate (Downsteam of Meter)]])</f>
        <v>2.7</v>
      </c>
    </row>
    <row r="34" spans="1:4" x14ac:dyDescent="0.25">
      <c r="A34" s="72" t="s">
        <v>278</v>
      </c>
      <c r="B34">
        <v>0.9</v>
      </c>
      <c r="C34">
        <v>0.5</v>
      </c>
      <c r="D34">
        <f>SUM(Table1[[#This Row],[Leak Rate (%) Production]:[Leak Rate (Downsteam of Meter)]])</f>
        <v>1.4</v>
      </c>
    </row>
    <row r="35" spans="1:4" x14ac:dyDescent="0.25">
      <c r="A35" s="72" t="s">
        <v>281</v>
      </c>
      <c r="B35">
        <v>2.5</v>
      </c>
      <c r="C35">
        <v>0.5</v>
      </c>
      <c r="D35">
        <f>SUM(Table1[[#This Row],[Leak Rate (%) Production]:[Leak Rate (Downsteam of Meter)]])</f>
        <v>3</v>
      </c>
    </row>
    <row r="36" spans="1:4" x14ac:dyDescent="0.25">
      <c r="A36" s="72" t="s">
        <v>283</v>
      </c>
      <c r="B36">
        <v>1.9</v>
      </c>
      <c r="C36">
        <v>0.5</v>
      </c>
      <c r="D36">
        <f>SUM(Table1[[#This Row],[Leak Rate (%) Production]:[Leak Rate (Downsteam of Meter)]])</f>
        <v>2.4</v>
      </c>
    </row>
    <row r="37" spans="1:4" x14ac:dyDescent="0.25">
      <c r="A37" s="72" t="s">
        <v>285</v>
      </c>
      <c r="B37">
        <v>0.9</v>
      </c>
      <c r="C37">
        <v>0.5</v>
      </c>
      <c r="D37">
        <f>SUM(Table1[[#This Row],[Leak Rate (%) Production]:[Leak Rate (Downsteam of Meter)]])</f>
        <v>1.4</v>
      </c>
    </row>
    <row r="38" spans="1:4" x14ac:dyDescent="0.25">
      <c r="A38" s="72" t="s">
        <v>289</v>
      </c>
      <c r="B38">
        <v>0.9</v>
      </c>
      <c r="C38">
        <v>0.5</v>
      </c>
      <c r="D38">
        <f>SUM(Table1[[#This Row],[Leak Rate (%) Production]:[Leak Rate (Downsteam of Meter)]])</f>
        <v>1.4</v>
      </c>
    </row>
    <row r="39" spans="1:4" x14ac:dyDescent="0.25">
      <c r="A39" s="72" t="s">
        <v>291</v>
      </c>
      <c r="B39">
        <v>1</v>
      </c>
      <c r="C39">
        <v>0.5</v>
      </c>
      <c r="D39">
        <f>SUM(Table1[[#This Row],[Leak Rate (%) Production]:[Leak Rate (Downsteam of Meter)]])</f>
        <v>1.5</v>
      </c>
    </row>
    <row r="40" spans="1:4" x14ac:dyDescent="0.25">
      <c r="A40" s="72" t="s">
        <v>293</v>
      </c>
      <c r="B40">
        <v>2</v>
      </c>
      <c r="C40">
        <v>0.5</v>
      </c>
      <c r="D40">
        <f>SUM(Table1[[#This Row],[Leak Rate (%) Production]:[Leak Rate (Downsteam of Meter)]])</f>
        <v>2.5</v>
      </c>
    </row>
    <row r="41" spans="1:4" x14ac:dyDescent="0.25">
      <c r="A41" s="72" t="s">
        <v>296</v>
      </c>
      <c r="B41">
        <v>0.9</v>
      </c>
      <c r="C41">
        <v>0.5</v>
      </c>
      <c r="D41">
        <f>SUM(Table1[[#This Row],[Leak Rate (%) Production]:[Leak Rate (Downsteam of Meter)]])</f>
        <v>1.4</v>
      </c>
    </row>
    <row r="42" spans="1:4" x14ac:dyDescent="0.25">
      <c r="A42" s="72" t="s">
        <v>299</v>
      </c>
      <c r="B42">
        <v>1.7</v>
      </c>
      <c r="C42">
        <v>0.5</v>
      </c>
      <c r="D42">
        <f>SUM(Table1[[#This Row],[Leak Rate (%) Production]:[Leak Rate (Downsteam of Meter)]])</f>
        <v>2.2000000000000002</v>
      </c>
    </row>
    <row r="43" spans="1:4" x14ac:dyDescent="0.25">
      <c r="A43" s="72" t="s">
        <v>303</v>
      </c>
      <c r="B43">
        <v>1.5</v>
      </c>
      <c r="C43">
        <v>0.5</v>
      </c>
      <c r="D43">
        <f>SUM(Table1[[#This Row],[Leak Rate (%) Production]:[Leak Rate (Downsteam of Meter)]])</f>
        <v>2</v>
      </c>
    </row>
    <row r="44" spans="1:4" x14ac:dyDescent="0.25">
      <c r="A44" s="72" t="s">
        <v>309</v>
      </c>
      <c r="B44">
        <v>0.9</v>
      </c>
      <c r="C44">
        <v>0.5</v>
      </c>
      <c r="D44">
        <f>SUM(Table1[[#This Row],[Leak Rate (%) Production]:[Leak Rate (Downsteam of Meter)]])</f>
        <v>1.4</v>
      </c>
    </row>
    <row r="45" spans="1:4" x14ac:dyDescent="0.25">
      <c r="A45" s="72" t="s">
        <v>307</v>
      </c>
      <c r="B45">
        <v>1.1000000000000001</v>
      </c>
      <c r="C45">
        <v>0.5</v>
      </c>
      <c r="D45">
        <f>SUM(Table1[[#This Row],[Leak Rate (%) Production]:[Leak Rate (Downsteam of Meter)]])</f>
        <v>1.6</v>
      </c>
    </row>
    <row r="46" spans="1:4" x14ac:dyDescent="0.25">
      <c r="A46" s="72" t="s">
        <v>311</v>
      </c>
      <c r="B46">
        <v>2.2000000000000002</v>
      </c>
      <c r="C46">
        <v>0.5</v>
      </c>
      <c r="D46">
        <f>SUM(Table1[[#This Row],[Leak Rate (%) Production]:[Leak Rate (Downsteam of Meter)]])</f>
        <v>2.7</v>
      </c>
    </row>
    <row r="47" spans="1:4" x14ac:dyDescent="0.25">
      <c r="A47" s="72" t="s">
        <v>316</v>
      </c>
      <c r="B47">
        <v>0.9</v>
      </c>
      <c r="C47">
        <v>0.5</v>
      </c>
      <c r="D47">
        <f>SUM(Table1[[#This Row],[Leak Rate (%) Production]:[Leak Rate (Downsteam of Meter)]])</f>
        <v>1.4</v>
      </c>
    </row>
    <row r="48" spans="1:4" x14ac:dyDescent="0.25">
      <c r="A48" s="72" t="s">
        <v>314</v>
      </c>
      <c r="B48">
        <v>2.2000000000000002</v>
      </c>
      <c r="C48">
        <v>0.5</v>
      </c>
      <c r="D48">
        <f>SUM(Table1[[#This Row],[Leak Rate (%) Production]:[Leak Rate (Downsteam of Meter)]])</f>
        <v>2.7</v>
      </c>
    </row>
    <row r="49" spans="1:4" x14ac:dyDescent="0.25">
      <c r="A49" s="72" t="s">
        <v>318</v>
      </c>
      <c r="B49">
        <v>1.1000000000000001</v>
      </c>
      <c r="C49">
        <v>0.5</v>
      </c>
      <c r="D49">
        <f>SUM(Table1[[#This Row],[Leak Rate (%) Production]:[Leak Rate (Downsteam of Meter)]])</f>
        <v>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107"/>
  <sheetViews>
    <sheetView topLeftCell="H1" zoomScale="85" zoomScaleNormal="85" workbookViewId="0">
      <pane ySplit="1" topLeftCell="A2" activePane="bottomLeft" state="frozen"/>
      <selection pane="bottomLeft" activeCell="N11" sqref="N11"/>
    </sheetView>
  </sheetViews>
  <sheetFormatPr defaultRowHeight="15" x14ac:dyDescent="0.25"/>
  <cols>
    <col min="1" max="1" width="50.42578125" customWidth="1"/>
    <col min="2" max="2" width="17.85546875" customWidth="1"/>
    <col min="3" max="3" width="23.42578125" customWidth="1"/>
    <col min="4" max="4" width="11.42578125" style="3" customWidth="1"/>
    <col min="5" max="5" width="12.42578125" style="3" customWidth="1"/>
    <col min="6" max="6" width="13.140625" style="3" customWidth="1"/>
    <col min="7" max="8" width="19.85546875" style="3" customWidth="1"/>
    <col min="9" max="11" width="13.140625" style="3" customWidth="1"/>
    <col min="12" max="12" width="18.42578125" style="3" customWidth="1"/>
    <col min="13" max="17" width="15" style="11" customWidth="1"/>
    <col min="18" max="18" width="17.42578125" style="49" customWidth="1"/>
    <col min="19" max="25" width="17.140625" style="49" customWidth="1"/>
    <col min="26" max="33" width="17.140625" style="11" customWidth="1"/>
    <col min="34" max="41" width="17.140625" style="49" customWidth="1"/>
    <col min="42" max="49" width="17.140625" style="11" customWidth="1"/>
    <col min="50" max="50" width="16.7109375" style="49" customWidth="1"/>
    <col min="51" max="52" width="14.7109375" style="49" customWidth="1"/>
    <col min="53" max="53" width="17.5703125" style="49" customWidth="1"/>
    <col min="54" max="63" width="15" style="9" customWidth="1"/>
    <col min="64" max="71" width="15" style="53" customWidth="1"/>
    <col min="72" max="79" width="15" style="9" customWidth="1"/>
    <col min="80" max="87" width="15" style="51" customWidth="1"/>
    <col min="88" max="95" width="15" style="9" customWidth="1"/>
    <col min="96" max="103" width="15" style="51" customWidth="1"/>
    <col min="104" max="111" width="15" style="61" customWidth="1"/>
    <col min="112" max="119" width="15" style="9" customWidth="1"/>
    <col min="120" max="127" width="15" style="51" customWidth="1"/>
    <col min="128" max="159" width="15" style="9" customWidth="1"/>
    <col min="160" max="167" width="15" style="41" customWidth="1"/>
    <col min="168" max="175" width="15" style="5" customWidth="1"/>
    <col min="176" max="183" width="15" style="39" customWidth="1"/>
  </cols>
  <sheetData>
    <row r="1" spans="1:183" s="110" customFormat="1" ht="90" x14ac:dyDescent="0.25">
      <c r="A1" s="110" t="str">
        <f>Data!A1</f>
        <v>EPW</v>
      </c>
      <c r="B1" s="110" t="str">
        <f>TY3A_REP_CITIES!B1</f>
        <v>City</v>
      </c>
      <c r="C1" s="110" t="s">
        <v>323</v>
      </c>
      <c r="D1" s="111" t="str">
        <f>TY3A_REP_CITIES!A1</f>
        <v>State</v>
      </c>
      <c r="E1" s="111" t="s">
        <v>3623</v>
      </c>
      <c r="F1" s="111" t="str">
        <f>TY3A_REP_CITIES!G1</f>
        <v>IECC Climate Zone</v>
      </c>
      <c r="G1" s="111" t="s">
        <v>322</v>
      </c>
      <c r="H1" s="111" t="str">
        <f>TY3A_REP_CITIES!I1</f>
        <v>Region</v>
      </c>
      <c r="I1" s="111" t="str">
        <f>Data!B1</f>
        <v>Latitude</v>
      </c>
      <c r="J1" s="111" t="str">
        <f>Data!C1</f>
        <v>Longitude</v>
      </c>
      <c r="K1" s="111" t="s">
        <v>3892</v>
      </c>
      <c r="L1" s="111" t="s">
        <v>3893</v>
      </c>
      <c r="M1" s="112" t="str">
        <f>Data!N1</f>
        <v>AC Cooling Capacity [W]</v>
      </c>
      <c r="N1" s="112" t="str">
        <f>Data!Q1</f>
        <v>Furnace Capacity [W]</v>
      </c>
      <c r="O1" s="112" t="str">
        <f>Data!O1</f>
        <v>Furnace Heating Delivered [J]</v>
      </c>
      <c r="P1" s="112" t="str">
        <f>Data!P1</f>
        <v>Furnace Natural Gas [J]</v>
      </c>
      <c r="Q1" s="112" t="s">
        <v>3716</v>
      </c>
      <c r="R1" s="113" t="s">
        <v>3717</v>
      </c>
      <c r="S1" s="113" t="s">
        <v>3718</v>
      </c>
      <c r="T1" s="113" t="s">
        <v>3719</v>
      </c>
      <c r="U1" s="113" t="s">
        <v>3720</v>
      </c>
      <c r="V1" s="113" t="s">
        <v>3721</v>
      </c>
      <c r="W1" s="113" t="s">
        <v>3722</v>
      </c>
      <c r="X1" s="113" t="s">
        <v>3723</v>
      </c>
      <c r="Y1" s="113" t="s">
        <v>3724</v>
      </c>
      <c r="Z1" s="112" t="s">
        <v>3866</v>
      </c>
      <c r="AA1" s="112" t="s">
        <v>3867</v>
      </c>
      <c r="AB1" s="112" t="s">
        <v>3868</v>
      </c>
      <c r="AC1" s="112" t="s">
        <v>3869</v>
      </c>
      <c r="AD1" s="112" t="s">
        <v>3870</v>
      </c>
      <c r="AE1" s="112" t="s">
        <v>3871</v>
      </c>
      <c r="AF1" s="112" t="s">
        <v>3872</v>
      </c>
      <c r="AG1" s="112" t="s">
        <v>3873</v>
      </c>
      <c r="AH1" s="113" t="s">
        <v>3874</v>
      </c>
      <c r="AI1" s="113" t="s">
        <v>3875</v>
      </c>
      <c r="AJ1" s="113" t="s">
        <v>3876</v>
      </c>
      <c r="AK1" s="113" t="s">
        <v>3877</v>
      </c>
      <c r="AL1" s="113" t="s">
        <v>3878</v>
      </c>
      <c r="AM1" s="113" t="s">
        <v>3879</v>
      </c>
      <c r="AN1" s="113" t="s">
        <v>3880</v>
      </c>
      <c r="AO1" s="113" t="s">
        <v>3881</v>
      </c>
      <c r="AP1" s="112" t="s">
        <v>3882</v>
      </c>
      <c r="AQ1" s="112" t="s">
        <v>3883</v>
      </c>
      <c r="AR1" s="112" t="s">
        <v>3884</v>
      </c>
      <c r="AS1" s="112" t="s">
        <v>3885</v>
      </c>
      <c r="AT1" s="112" t="s">
        <v>3886</v>
      </c>
      <c r="AU1" s="112" t="s">
        <v>3887</v>
      </c>
      <c r="AV1" s="112" t="s">
        <v>3888</v>
      </c>
      <c r="AW1" s="112" t="s">
        <v>3889</v>
      </c>
      <c r="AX1" s="113" t="s">
        <v>3894</v>
      </c>
      <c r="AY1" s="113" t="s">
        <v>3896</v>
      </c>
      <c r="AZ1" s="113" t="s">
        <v>3897</v>
      </c>
      <c r="BA1" s="113" t="s">
        <v>3895</v>
      </c>
      <c r="BB1" s="114" t="str">
        <f>Data!AN1</f>
        <v>HP Cooling Capacity [W]</v>
      </c>
      <c r="BC1" s="114" t="str">
        <f>Data!AQ1</f>
        <v>HP Heating Capacity [W]</v>
      </c>
      <c r="BD1" s="114" t="str">
        <f>Data!AT1</f>
        <v>Electric Resistance Capacity [W]</v>
      </c>
      <c r="BE1" s="114" t="str">
        <f>Data!AO1</f>
        <v>HP Heating Delivered [J]</v>
      </c>
      <c r="BF1" s="114" t="str">
        <f>Data!AP1</f>
        <v>HP Electric Energy [J]</v>
      </c>
      <c r="BG1" s="114" t="str">
        <f>Data!AR1</f>
        <v>Electric Resistance Heating Delivered [J]</v>
      </c>
      <c r="BH1" s="114" t="str">
        <f>Data!AS1</f>
        <v>Electric Resistance Electric Energy [J]</v>
      </c>
      <c r="BI1" s="114" t="s">
        <v>12</v>
      </c>
      <c r="BJ1" s="114" t="s">
        <v>13</v>
      </c>
      <c r="BK1" s="114" t="s">
        <v>337</v>
      </c>
      <c r="BL1" s="115" t="s">
        <v>446</v>
      </c>
      <c r="BM1" s="115" t="s">
        <v>447</v>
      </c>
      <c r="BN1" s="115" t="s">
        <v>448</v>
      </c>
      <c r="BO1" s="115" t="s">
        <v>449</v>
      </c>
      <c r="BP1" s="115" t="s">
        <v>450</v>
      </c>
      <c r="BQ1" s="115" t="s">
        <v>451</v>
      </c>
      <c r="BR1" s="115" t="s">
        <v>452</v>
      </c>
      <c r="BS1" s="115" t="s">
        <v>461</v>
      </c>
      <c r="BT1" s="114" t="s">
        <v>453</v>
      </c>
      <c r="BU1" s="114" t="s">
        <v>454</v>
      </c>
      <c r="BV1" s="114" t="s">
        <v>455</v>
      </c>
      <c r="BW1" s="114" t="s">
        <v>456</v>
      </c>
      <c r="BX1" s="114" t="s">
        <v>457</v>
      </c>
      <c r="BY1" s="114" t="s">
        <v>458</v>
      </c>
      <c r="BZ1" s="114" t="s">
        <v>459</v>
      </c>
      <c r="CA1" s="114" t="s">
        <v>460</v>
      </c>
      <c r="CB1" s="115" t="s">
        <v>3725</v>
      </c>
      <c r="CC1" s="115" t="s">
        <v>3726</v>
      </c>
      <c r="CD1" s="115" t="s">
        <v>3727</v>
      </c>
      <c r="CE1" s="115" t="s">
        <v>3728</v>
      </c>
      <c r="CF1" s="115" t="s">
        <v>3729</v>
      </c>
      <c r="CG1" s="115" t="s">
        <v>3730</v>
      </c>
      <c r="CH1" s="115" t="s">
        <v>3731</v>
      </c>
      <c r="CI1" s="115" t="s">
        <v>3732</v>
      </c>
      <c r="CJ1" s="114" t="s">
        <v>3733</v>
      </c>
      <c r="CK1" s="114" t="s">
        <v>3734</v>
      </c>
      <c r="CL1" s="114" t="s">
        <v>3735</v>
      </c>
      <c r="CM1" s="114" t="s">
        <v>3736</v>
      </c>
      <c r="CN1" s="114" t="s">
        <v>3737</v>
      </c>
      <c r="CO1" s="114" t="s">
        <v>3738</v>
      </c>
      <c r="CP1" s="114" t="s">
        <v>3739</v>
      </c>
      <c r="CQ1" s="114" t="s">
        <v>3740</v>
      </c>
      <c r="CR1" s="115" t="s">
        <v>3741</v>
      </c>
      <c r="CS1" s="115" t="s">
        <v>3742</v>
      </c>
      <c r="CT1" s="115" t="s">
        <v>3743</v>
      </c>
      <c r="CU1" s="115" t="s">
        <v>3744</v>
      </c>
      <c r="CV1" s="115" t="s">
        <v>3745</v>
      </c>
      <c r="CW1" s="115" t="s">
        <v>3746</v>
      </c>
      <c r="CX1" s="115" t="s">
        <v>3747</v>
      </c>
      <c r="CY1" s="115" t="s">
        <v>3748</v>
      </c>
      <c r="CZ1" s="116" t="s">
        <v>14</v>
      </c>
      <c r="DA1" s="116" t="s">
        <v>15</v>
      </c>
      <c r="DB1" s="116" t="s">
        <v>16</v>
      </c>
      <c r="DC1" s="116" t="s">
        <v>17</v>
      </c>
      <c r="DD1" s="116" t="s">
        <v>18</v>
      </c>
      <c r="DE1" s="116" t="s">
        <v>19</v>
      </c>
      <c r="DF1" s="116" t="s">
        <v>20</v>
      </c>
      <c r="DG1" s="116" t="s">
        <v>21</v>
      </c>
      <c r="DH1" s="114" t="s">
        <v>338</v>
      </c>
      <c r="DI1" s="114" t="s">
        <v>339</v>
      </c>
      <c r="DJ1" s="114" t="s">
        <v>340</v>
      </c>
      <c r="DK1" s="114" t="s">
        <v>341</v>
      </c>
      <c r="DL1" s="114" t="s">
        <v>342</v>
      </c>
      <c r="DM1" s="114" t="s">
        <v>343</v>
      </c>
      <c r="DN1" s="114" t="s">
        <v>344</v>
      </c>
      <c r="DO1" s="114" t="s">
        <v>345</v>
      </c>
      <c r="DP1" s="115" t="s">
        <v>346</v>
      </c>
      <c r="DQ1" s="115" t="s">
        <v>347</v>
      </c>
      <c r="DR1" s="115" t="s">
        <v>348</v>
      </c>
      <c r="DS1" s="115" t="s">
        <v>349</v>
      </c>
      <c r="DT1" s="115" t="s">
        <v>350</v>
      </c>
      <c r="DU1" s="115" t="s">
        <v>351</v>
      </c>
      <c r="DV1" s="115" t="s">
        <v>352</v>
      </c>
      <c r="DW1" s="115" t="s">
        <v>353</v>
      </c>
      <c r="DX1" s="114" t="s">
        <v>359</v>
      </c>
      <c r="DY1" s="114" t="s">
        <v>360</v>
      </c>
      <c r="DZ1" s="114" t="s">
        <v>361</v>
      </c>
      <c r="EA1" s="114" t="s">
        <v>362</v>
      </c>
      <c r="EB1" s="114" t="s">
        <v>363</v>
      </c>
      <c r="EC1" s="114" t="s">
        <v>364</v>
      </c>
      <c r="ED1" s="114" t="s">
        <v>365</v>
      </c>
      <c r="EE1" s="114" t="s">
        <v>366</v>
      </c>
      <c r="EF1" s="115" t="s">
        <v>3850</v>
      </c>
      <c r="EG1" s="115" t="s">
        <v>3851</v>
      </c>
      <c r="EH1" s="115" t="s">
        <v>3852</v>
      </c>
      <c r="EI1" s="115" t="s">
        <v>3853</v>
      </c>
      <c r="EJ1" s="115" t="s">
        <v>3854</v>
      </c>
      <c r="EK1" s="115" t="s">
        <v>3855</v>
      </c>
      <c r="EL1" s="115" t="s">
        <v>3856</v>
      </c>
      <c r="EM1" s="115" t="s">
        <v>3857</v>
      </c>
      <c r="EN1" s="114" t="s">
        <v>3858</v>
      </c>
      <c r="EO1" s="114" t="s">
        <v>3859</v>
      </c>
      <c r="EP1" s="114" t="s">
        <v>3860</v>
      </c>
      <c r="EQ1" s="114" t="s">
        <v>3861</v>
      </c>
      <c r="ER1" s="114" t="s">
        <v>3862</v>
      </c>
      <c r="ES1" s="114" t="s">
        <v>3863</v>
      </c>
      <c r="ET1" s="114" t="s">
        <v>3864</v>
      </c>
      <c r="EU1" s="114" t="s">
        <v>3865</v>
      </c>
      <c r="EV1" s="115" t="s">
        <v>3842</v>
      </c>
      <c r="EW1" s="115" t="s">
        <v>3843</v>
      </c>
      <c r="EX1" s="115" t="s">
        <v>3844</v>
      </c>
      <c r="EY1" s="115" t="s">
        <v>3845</v>
      </c>
      <c r="EZ1" s="115" t="s">
        <v>3846</v>
      </c>
      <c r="FA1" s="115" t="s">
        <v>3847</v>
      </c>
      <c r="FB1" s="115" t="s">
        <v>3848</v>
      </c>
      <c r="FC1" s="115" t="s">
        <v>3849</v>
      </c>
      <c r="FD1" s="117" t="s">
        <v>22</v>
      </c>
      <c r="FE1" s="117" t="s">
        <v>23</v>
      </c>
      <c r="FF1" s="117" t="s">
        <v>24</v>
      </c>
      <c r="FG1" s="117" t="s">
        <v>25</v>
      </c>
      <c r="FH1" s="117" t="s">
        <v>26</v>
      </c>
      <c r="FI1" s="117" t="s">
        <v>27</v>
      </c>
      <c r="FJ1" s="117" t="s">
        <v>28</v>
      </c>
      <c r="FK1" s="117" t="s">
        <v>29</v>
      </c>
      <c r="FL1" s="118" t="s">
        <v>367</v>
      </c>
      <c r="FM1" s="118" t="s">
        <v>368</v>
      </c>
      <c r="FN1" s="118" t="s">
        <v>369</v>
      </c>
      <c r="FO1" s="118" t="s">
        <v>370</v>
      </c>
      <c r="FP1" s="118" t="s">
        <v>371</v>
      </c>
      <c r="FQ1" s="118" t="s">
        <v>372</v>
      </c>
      <c r="FR1" s="118" t="s">
        <v>373</v>
      </c>
      <c r="FS1" s="118" t="s">
        <v>374</v>
      </c>
      <c r="FT1" s="117" t="s">
        <v>3624</v>
      </c>
      <c r="FU1" s="117" t="s">
        <v>3625</v>
      </c>
      <c r="FV1" s="117" t="s">
        <v>3626</v>
      </c>
      <c r="FW1" s="117" t="s">
        <v>3627</v>
      </c>
      <c r="FX1" s="117" t="s">
        <v>3628</v>
      </c>
      <c r="FY1" s="117" t="s">
        <v>3629</v>
      </c>
      <c r="FZ1" s="117" t="s">
        <v>3630</v>
      </c>
      <c r="GA1" s="117" t="s">
        <v>3631</v>
      </c>
    </row>
    <row r="2" spans="1:183" x14ac:dyDescent="0.25">
      <c r="A2" s="1" t="str">
        <f>Data!A2</f>
        <v>AL_BIRMINGHAM-MUNI-AP_722280_TY3A</v>
      </c>
      <c r="B2" s="1" t="str">
        <f>TY3A_REP_CITIES!B2</f>
        <v>Birmingham</v>
      </c>
      <c r="C2" s="1" t="str">
        <f>TY3A_REP_CITIES!C2</f>
        <v>Jefferson</v>
      </c>
      <c r="D2" s="2" t="str">
        <f>TY3A_REP_CITIES!A2</f>
        <v>AL</v>
      </c>
      <c r="E2" s="42">
        <f>TY3A_REP_CITIES!E2</f>
        <v>658573</v>
      </c>
      <c r="F2" s="2">
        <f>TY3A_REP_CITIES!G2</f>
        <v>3</v>
      </c>
      <c r="G2" s="2" t="str">
        <f>TY3A_REP_CITIES!H2</f>
        <v>Mixed-Humid</v>
      </c>
      <c r="H2" s="2" t="str">
        <f>TY3A_REP_CITIES!I2</f>
        <v>Southeast</v>
      </c>
      <c r="I2" s="2">
        <f>Data!B2</f>
        <v>33.57</v>
      </c>
      <c r="J2" s="2">
        <f>Data!C2</f>
        <v>-86.75</v>
      </c>
      <c r="K2" s="2">
        <f>VLOOKUP(D2,Table1[],2,FALSE)</f>
        <v>1.1000000000000001</v>
      </c>
      <c r="L2" s="2">
        <v>0.5</v>
      </c>
      <c r="M2" s="10">
        <f>Data!N2</f>
        <v>5287.1093499999997</v>
      </c>
      <c r="N2" s="10">
        <f>Data!Q2</f>
        <v>29308</v>
      </c>
      <c r="O2" s="10">
        <f>Data!O2</f>
        <v>13352294032.872499</v>
      </c>
      <c r="P2" s="10">
        <f>Data!P2</f>
        <v>13908639617.5755</v>
      </c>
      <c r="Q2" s="10">
        <f>Data!S2*15</f>
        <v>10494.263012057463</v>
      </c>
      <c r="R2" s="48">
        <f>SUM(Data!U2:AA2)*2+Data!AB2</f>
        <v>248.2542777087136</v>
      </c>
      <c r="S2" s="48">
        <f>SUM(Data!V2:AB2)*2+Data!AC2</f>
        <v>246.59931627360882</v>
      </c>
      <c r="T2" s="48">
        <f>SUM(Data!W2:AC2)*2+Data!AD2</f>
        <v>226.0493836740373</v>
      </c>
      <c r="U2" s="48">
        <f>SUM(Data!X2:AD2)*2+Data!AE2</f>
        <v>216.90455488157983</v>
      </c>
      <c r="V2" s="48">
        <f>SUM(Data!Y2:AE2)*2+Data!AF2</f>
        <v>213.96411322855491</v>
      </c>
      <c r="W2" s="48">
        <f>SUM(Data!Z2:AF2)*2+Data!AG2</f>
        <v>213.31527126064461</v>
      </c>
      <c r="X2" s="48">
        <f>SUM(Data!AA2:AG2)*2+Data!AH2</f>
        <v>194.27404547556287</v>
      </c>
      <c r="Y2" s="48">
        <f>SUM(Data!AB2:AH2)*2+Data!AI2</f>
        <v>175.5249853700241</v>
      </c>
      <c r="Z2" s="80">
        <f>(SUM(Data!CS2:CY2)*2+Data!CZ2)/('Useful Constants'!$B$1*1000000)*$K2/100</f>
        <v>0.2297916537757527</v>
      </c>
      <c r="AA2" s="80">
        <f>(SUM(Data!CT2:CZ2)*2+Data!DA2)/('Useful Constants'!$B$1*1000000)*$K2/100</f>
        <v>0.2048981314197264</v>
      </c>
      <c r="AB2" s="80">
        <f>(SUM(Data!CU2:DA2)*2+Data!DB2)/('Useful Constants'!$B$1*1000000)*$K2/100</f>
        <v>0.17942683098606163</v>
      </c>
      <c r="AC2" s="80">
        <f>(SUM(Data!CV2:DB2)*2+Data!DC2)/('Useful Constants'!$B$1*1000000)*$K2/100</f>
        <v>0.16250257059121323</v>
      </c>
      <c r="AD2" s="80">
        <f>(SUM(Data!CW2:DC2)*2+Data!DD2)/('Useful Constants'!$B$1*1000000)*$K2/100</f>
        <v>0.15749532983396372</v>
      </c>
      <c r="AE2" s="80">
        <f>(SUM(Data!CX2:DD2)*2+Data!DE2)/('Useful Constants'!$B$1*1000000)*$K2/100</f>
        <v>0.1553254820596251</v>
      </c>
      <c r="AF2" s="80">
        <f>(SUM(Data!CY2:DE2)*2+Data!DF2)/('Useful Constants'!$B$1*1000000)*$K2/100</f>
        <v>0.15935336154345447</v>
      </c>
      <c r="AG2" s="80">
        <f>(SUM(Data!CZ2:DF2)*2+Data!DG2)/('Useful Constants'!$B$1*1000000)*$K2/100</f>
        <v>0.16610643950127177</v>
      </c>
      <c r="AH2" s="48">
        <f>Z2*'Useful Constants'!$B$3</f>
        <v>19.302498917163227</v>
      </c>
      <c r="AI2" s="48">
        <f>AA2*'Useful Constants'!$B$3</f>
        <v>17.211443039257016</v>
      </c>
      <c r="AJ2" s="48">
        <f>AB2*'Useful Constants'!$B$3</f>
        <v>15.071853802829176</v>
      </c>
      <c r="AK2" s="48">
        <f>AC2*'Useful Constants'!$B$3</f>
        <v>13.650215929661911</v>
      </c>
      <c r="AL2" s="48">
        <f>AD2*'Useful Constants'!$B$3</f>
        <v>13.229607706052953</v>
      </c>
      <c r="AM2" s="48">
        <f>AE2*'Useful Constants'!$B$3</f>
        <v>13.047340493008509</v>
      </c>
      <c r="AN2" s="48">
        <f>AF2*'Useful Constants'!$B$3</f>
        <v>13.385682369650176</v>
      </c>
      <c r="AO2" s="48">
        <f>AG2*'Useful Constants'!$B$3</f>
        <v>13.952940918106828</v>
      </c>
      <c r="AP2" s="10">
        <f>Z2*'Useful Constants'!$B$4</f>
        <v>6.4341663057210754</v>
      </c>
      <c r="AQ2" s="10">
        <f>AA2*'Useful Constants'!$B$4</f>
        <v>5.7371476797523391</v>
      </c>
      <c r="AR2" s="10">
        <f>AB2*'Useful Constants'!$B$4</f>
        <v>5.0239512676097258</v>
      </c>
      <c r="AS2" s="10">
        <f>AC2*'Useful Constants'!$B$4</f>
        <v>4.5500719765539701</v>
      </c>
      <c r="AT2" s="10">
        <f>AD2*'Useful Constants'!$B$4</f>
        <v>4.4098692353509845</v>
      </c>
      <c r="AU2" s="10">
        <f>AE2*'Useful Constants'!$B$4</f>
        <v>4.3491134976695029</v>
      </c>
      <c r="AV2" s="10">
        <f>AF2*'Useful Constants'!$B$4</f>
        <v>4.4618941232167249</v>
      </c>
      <c r="AW2" s="10">
        <f>AG2*'Useful Constants'!$B$4</f>
        <v>4.6509803060356099</v>
      </c>
      <c r="AX2" s="48">
        <f>P2/1000000/'Useful Constants'!$B$1*K2/100*'Useful Constants'!$B$3*15</f>
        <v>3855.4749019919286</v>
      </c>
      <c r="AY2" s="48">
        <f>P2/1000000/'Useful Constants'!$B$1*L2/100*'Useful Constants'!$B$3*15</f>
        <v>1752.488591814513</v>
      </c>
      <c r="AZ2" s="48">
        <f>P2/1000000/'Useful Constants'!$B$1*K2/100*'Useful Constants'!$B$4*15</f>
        <v>1285.1583006639762</v>
      </c>
      <c r="BA2" s="48">
        <f>P2/1000000/'Useful Constants'!$B$1*L2/100*'Useful Constants'!$B$4*15</f>
        <v>584.16286393817109</v>
      </c>
      <c r="BB2" s="7">
        <f>Data!AN2</f>
        <v>5287.1093499999997</v>
      </c>
      <c r="BC2" s="7">
        <f>Data!AQ2</f>
        <v>5287.1093499999997</v>
      </c>
      <c r="BD2" s="7">
        <f>Data!AT2</f>
        <v>5201.4233800000002</v>
      </c>
      <c r="BE2" s="6">
        <f>Data!AO2</f>
        <v>12590525287.033001</v>
      </c>
      <c r="BF2" s="6">
        <f>Data!AP2</f>
        <v>3702832468.75316</v>
      </c>
      <c r="BG2" s="6">
        <f>Data!AR2</f>
        <v>254828726.008356</v>
      </c>
      <c r="BH2" s="6">
        <f>Data!AS2</f>
        <v>254828726.008356</v>
      </c>
      <c r="BI2" s="8">
        <f t="shared" ref="BI2:BI33" si="0">BE2/(BE2+BG2)</f>
        <v>0.98016179812953075</v>
      </c>
      <c r="BJ2" s="8">
        <f t="shared" ref="BJ2:BJ33" si="1">BF2/(BF2+BH2)</f>
        <v>0.93561128316247599</v>
      </c>
      <c r="BK2" s="13">
        <f>BB2*'Useful Constants'!$B$5/'Useful Constants'!$B$6*'Useful Constants'!$B$7</f>
        <v>1.352971282665</v>
      </c>
      <c r="BL2" s="52">
        <f>1-VLOOKUP($G2,'Useful Constants'!$A$17:$X$23,10,FALSE)</f>
        <v>0</v>
      </c>
      <c r="BM2" s="52">
        <f>1-VLOOKUP($G2,'Useful Constants'!$A$17:$X$23,12,FALSE)</f>
        <v>0</v>
      </c>
      <c r="BN2" s="52">
        <f>1-VLOOKUP($G2,'Useful Constants'!$A$17:$X$23,14,FALSE)</f>
        <v>0</v>
      </c>
      <c r="BO2" s="52">
        <f>1-VLOOKUP($G2,'Useful Constants'!$A$17:$X$23,16,FALSE)</f>
        <v>0</v>
      </c>
      <c r="BP2" s="52">
        <f>1-VLOOKUP($G2,'Useful Constants'!$A$17:$X$23,18,FALSE)</f>
        <v>0</v>
      </c>
      <c r="BQ2" s="52">
        <f>1-VLOOKUP($G2,'Useful Constants'!$A$17:$X$23,20, FALSE)</f>
        <v>0</v>
      </c>
      <c r="BR2" s="52">
        <f>1-VLOOKUP($G2,'Useful Constants'!$A$17:$X$23,22, FALSE)</f>
        <v>0</v>
      </c>
      <c r="BS2" s="52">
        <f>1-VLOOKUP($G2,'Useful Constants'!$A$17:$X$23,24, FALSE)</f>
        <v>0</v>
      </c>
      <c r="BT2" s="13">
        <f t="shared" ref="BT2:BT33" si="2">$BK2*BL2</f>
        <v>0</v>
      </c>
      <c r="BU2" s="13">
        <f t="shared" ref="BU2:BU33" si="3">$BK2*BM2</f>
        <v>0</v>
      </c>
      <c r="BV2" s="13">
        <f t="shared" ref="BV2:BV33" si="4">$BK2*BN2</f>
        <v>0</v>
      </c>
      <c r="BW2" s="13">
        <f t="shared" ref="BW2:BW33" si="5">$BK2*BO2</f>
        <v>0</v>
      </c>
      <c r="BX2" s="13">
        <f t="shared" ref="BX2:BX33" si="6">$BK2*BP2</f>
        <v>0</v>
      </c>
      <c r="BY2" s="13">
        <f t="shared" ref="BY2:BY33" si="7">$BK2*BQ2</f>
        <v>0</v>
      </c>
      <c r="BZ2" s="13">
        <f t="shared" ref="BZ2:BZ33" si="8">$BK2*BR2</f>
        <v>0</v>
      </c>
      <c r="CA2" s="13">
        <f t="shared" ref="CA2:CA33" si="9">$BK2*BS2</f>
        <v>0</v>
      </c>
      <c r="CB2" s="59">
        <f>+SUM(Data!BM2:BS2)*2+Data!BT2</f>
        <v>1386.7538194122271</v>
      </c>
      <c r="CC2" s="59">
        <f>+SUM(Data!BN2:BT2)*2+Data!BU2</f>
        <v>1377.2967627444752</v>
      </c>
      <c r="CD2" s="59">
        <f>+SUM(Data!BO2:BU2)*2+Data!BV2</f>
        <v>1262.6958262577255</v>
      </c>
      <c r="CE2" s="59">
        <f>+SUM(Data!BP2:BV2)*2+Data!BW2</f>
        <v>1212.0310980866634</v>
      </c>
      <c r="CF2" s="59">
        <f>+SUM(Data!BQ2:BW2)*2+Data!BX2</f>
        <v>1195.6773411732604</v>
      </c>
      <c r="CG2" s="59">
        <f>+SUM(Data!BR2:BX2)*2+Data!BY2</f>
        <v>1192.9002060311941</v>
      </c>
      <c r="CH2" s="59">
        <f>+SUM(Data!BS2:BY2)*2+Data!BZ2</f>
        <v>1086.3446290810957</v>
      </c>
      <c r="CI2" s="59">
        <f>+SUM(Data!BT2:BZ2)*2+Data!CA2</f>
        <v>981.99293815785791</v>
      </c>
      <c r="CJ2" s="13">
        <f>+SUM(Data!AW2:BC2)*2+Data!BD2</f>
        <v>7776.9534669270888</v>
      </c>
      <c r="CK2" s="13">
        <f>+SUM(Data!AX2:BD2)*2+Data!BE2</f>
        <v>7724.3252387283301</v>
      </c>
      <c r="CL2" s="13">
        <f>+SUM(Data!AY2:BE2)*2+Data!BF2</f>
        <v>7078.6231217915147</v>
      </c>
      <c r="CM2" s="13">
        <f>+SUM(Data!AZ2:BF2)*2+Data!BG2</f>
        <v>6767.6584264099702</v>
      </c>
      <c r="CN2" s="13">
        <f>+SUM(Data!BA2:BG2)*2+Data!BH2</f>
        <v>6666.0912371363684</v>
      </c>
      <c r="CO2" s="13">
        <f>+SUM(Data!BB2:BH2)*2+Data!BI2</f>
        <v>6620.8250361721621</v>
      </c>
      <c r="CP2" s="13">
        <f>+SUM(Data!BC2:BI2)*2+Data!BJ2</f>
        <v>6033.18596847152</v>
      </c>
      <c r="CQ2" s="13">
        <f>+SUM(Data!BD2:BJ2)*2+Data!BK2</f>
        <v>5448.3735982358467</v>
      </c>
      <c r="CR2" s="59">
        <f>+SUM(Data!CC2:CI2)*2+Data!CJ2</f>
        <v>494.88170253163503</v>
      </c>
      <c r="CS2" s="59">
        <f>+SUM(Data!CD2:CJ2)*2+Data!CK2</f>
        <v>506.35949872236574</v>
      </c>
      <c r="CT2" s="59">
        <f>+SUM(Data!CE2:CK2)*2+Data!CL2</f>
        <v>467.8823817062102</v>
      </c>
      <c r="CU2" s="59">
        <f>+SUM(Data!CF2:CL2)*2+Data!CM2</f>
        <v>451.71994848124041</v>
      </c>
      <c r="CV2" s="59">
        <f>+SUM(Data!CG2:CM2)*2+Data!CN2</f>
        <v>451.46944862513681</v>
      </c>
      <c r="CW2" s="59">
        <f>+SUM(Data!CH2:CN2)*2+Data!CO2</f>
        <v>448.88704509239363</v>
      </c>
      <c r="CX2" s="59">
        <f>+SUM(Data!CI2:CO2)*2+Data!CP2</f>
        <v>418.74132897497356</v>
      </c>
      <c r="CY2" s="59">
        <f>+SUM(Data!CJ2:CP2)*2+Data!CQ2</f>
        <v>377.43840403137824</v>
      </c>
      <c r="CZ2" s="60">
        <f t="shared" ref="CZ2:CZ33" si="10">CB2+CJ2+CR2</f>
        <v>9658.5889888709498</v>
      </c>
      <c r="DA2" s="60">
        <f t="shared" ref="DA2:DA33" si="11">CC2+CK2+CS2</f>
        <v>9607.981500195172</v>
      </c>
      <c r="DB2" s="60">
        <f t="shared" ref="DB2:DB33" si="12">CD2+CL2+CT2</f>
        <v>8809.2013297554495</v>
      </c>
      <c r="DC2" s="60">
        <f t="shared" ref="DC2:DC33" si="13">CE2+CM2+CU2</f>
        <v>8431.4094729778735</v>
      </c>
      <c r="DD2" s="60">
        <f t="shared" ref="DD2:DD33" si="14">CF2+CN2+CV2</f>
        <v>8313.238026934765</v>
      </c>
      <c r="DE2" s="60">
        <f t="shared" ref="DE2:DE33" si="15">CG2+CO2+CW2</f>
        <v>8262.6122872957494</v>
      </c>
      <c r="DF2" s="60">
        <f t="shared" ref="DF2:DF33" si="16">CH2+CP2+CX2</f>
        <v>7538.2719265275891</v>
      </c>
      <c r="DG2" s="60">
        <f t="shared" ref="DG2:DG33" si="17">CI2+CQ2+CY2</f>
        <v>6807.8049404250823</v>
      </c>
      <c r="DH2" s="13">
        <f t="shared" ref="DH2:DH33" si="18">7.5*EXP(-0.045*(2022-2020))/100*BT2*15</f>
        <v>0</v>
      </c>
      <c r="DI2" s="13">
        <f t="shared" ref="DI2:DI33" si="19">7.5*EXP(-0.045*(2022-2020))/100*BU2*15</f>
        <v>0</v>
      </c>
      <c r="DJ2" s="13">
        <f t="shared" ref="DJ2:DJ33" si="20">7.5*EXP(-0.045*(2022-2020))/100*BV2*15</f>
        <v>0</v>
      </c>
      <c r="DK2" s="13">
        <f t="shared" ref="DK2:DK33" si="21">7.5*EXP(-0.045*(2022-2020))/100*BW2*15</f>
        <v>0</v>
      </c>
      <c r="DL2" s="13">
        <f t="shared" ref="DL2:DL33" si="22">7.5*EXP(-0.045*(2022-2020))/100*BX2*15</f>
        <v>0</v>
      </c>
      <c r="DM2" s="13">
        <f t="shared" ref="DM2:DM33" si="23">7.5*EXP(-0.045*(2022-2020))/100*BY2*15</f>
        <v>0</v>
      </c>
      <c r="DN2" s="13">
        <f t="shared" ref="DN2:DN33" si="24">7.5*EXP(-0.045*(2022-2020))/100*BZ2*15</f>
        <v>0</v>
      </c>
      <c r="DO2" s="13">
        <f t="shared" ref="DO2:DO33" si="25">7.5*EXP(-0.045*(2022-2020))/100*CA2*15</f>
        <v>0</v>
      </c>
      <c r="DP2" s="50">
        <f>DH2*'Useful Constants'!$B$8</f>
        <v>0</v>
      </c>
      <c r="DQ2" s="50">
        <f>DI2*'Useful Constants'!$B$8</f>
        <v>0</v>
      </c>
      <c r="DR2" s="50">
        <f>DJ2*'Useful Constants'!$B$10</f>
        <v>0</v>
      </c>
      <c r="DS2" s="50">
        <f>DK2*'Useful Constants'!$B$10</f>
        <v>0</v>
      </c>
      <c r="DT2" s="50">
        <f>DL2*'Useful Constants'!$B$10</f>
        <v>0</v>
      </c>
      <c r="DU2" s="50">
        <f>DM2*'Useful Constants'!$B$10</f>
        <v>0</v>
      </c>
      <c r="DV2" s="50">
        <f>DN2*'Useful Constants'!$B$10</f>
        <v>0</v>
      </c>
      <c r="DW2" s="50">
        <f>DO2*'Useful Constants'!$B$10</f>
        <v>0</v>
      </c>
      <c r="DX2" s="14">
        <f>DH2*'Useful Constants'!$B$9</f>
        <v>0</v>
      </c>
      <c r="DY2" s="14">
        <f>DI2*'Useful Constants'!$B$9</f>
        <v>0</v>
      </c>
      <c r="DZ2" s="14">
        <f>DJ2*'Useful Constants'!$B$11</f>
        <v>0</v>
      </c>
      <c r="EA2" s="14">
        <f>DK2*'Useful Constants'!$B$11</f>
        <v>0</v>
      </c>
      <c r="EB2" s="14">
        <f>DL2*'Useful Constants'!$B$11</f>
        <v>0</v>
      </c>
      <c r="EC2" s="14">
        <f>DM2*'Useful Constants'!$B$11</f>
        <v>0</v>
      </c>
      <c r="ED2" s="14">
        <f>DN2*'Useful Constants'!$B$11</f>
        <v>0</v>
      </c>
      <c r="EE2" s="14">
        <f>DO2*'Useful Constants'!$B$11</f>
        <v>0</v>
      </c>
      <c r="EF2" s="78">
        <f>(SUM(Data!DI2:DO2)*2+Data!DP2)/('Useful Constants'!$B$1*1000000)*$K2/100</f>
        <v>8.8865752138345719</v>
      </c>
      <c r="EG2" s="78">
        <f>(SUM(Data!DJ2:DP2)*2+Data!DQ2)/('Useful Constants'!$B$1*1000000)*$K2/100</f>
        <v>7.9375589149889434</v>
      </c>
      <c r="EH2" s="78">
        <f>(SUM(Data!DK2:DQ2)*2+Data!DR2)/('Useful Constants'!$B$1*1000000)*$K2/100</f>
        <v>6.9737995745616477</v>
      </c>
      <c r="EI2" s="78">
        <f>(SUM(Data!DL2:DR2)*2+Data!DS2)/('Useful Constants'!$B$1*1000000)*$K2/100</f>
        <v>6.3296340067603891</v>
      </c>
      <c r="EJ2" s="78">
        <f>(SUM(Data!DM2:DS2)*2+Data!DT2)/('Useful Constants'!$B$1*1000000)*$K2/100</f>
        <v>6.1370054984079205</v>
      </c>
      <c r="EK2" s="78">
        <f>(SUM(Data!DN2:DT2)*2+Data!DU2)/('Useful Constants'!$B$1*1000000)*$K2/100</f>
        <v>6.0497063333644565</v>
      </c>
      <c r="EL2" s="78">
        <f>(SUM(Data!DO2:DU2)*2+Data!DV2)/('Useful Constants'!$B$1*1000000)*$K2/100</f>
        <v>6.2092513324458647</v>
      </c>
      <c r="EM2" s="78">
        <f>(SUM(Data!DP2:DV2)*2+Data!DW2)/('Useful Constants'!$B$1*1000000)*$K2/100</f>
        <v>6.4765247230603133</v>
      </c>
      <c r="EN2" s="79">
        <f>EF2*'Useful Constants'!$B$3</f>
        <v>746.47231796210406</v>
      </c>
      <c r="EO2" s="79">
        <f>EG2*'Useful Constants'!$B$3</f>
        <v>666.75494885907119</v>
      </c>
      <c r="EP2" s="79">
        <f>EH2*'Useful Constants'!$B$3</f>
        <v>585.79916426317845</v>
      </c>
      <c r="EQ2" s="79">
        <f>EI2*'Useful Constants'!$B$3</f>
        <v>531.68925656787269</v>
      </c>
      <c r="ER2" s="79">
        <f>EJ2*'Useful Constants'!$B$3</f>
        <v>515.50846186626529</v>
      </c>
      <c r="ES2" s="79">
        <f>EK2*'Useful Constants'!$B$3</f>
        <v>508.17533200261437</v>
      </c>
      <c r="ET2" s="79">
        <f>EL2*'Useful Constants'!$B$3</f>
        <v>521.57711192545264</v>
      </c>
      <c r="EU2" s="79">
        <f>EM2*'Useful Constants'!$B$3</f>
        <v>544.02807673706627</v>
      </c>
      <c r="EV2" s="78">
        <f>EF2*'Useful Constants'!$B$4</f>
        <v>248.824105987368</v>
      </c>
      <c r="EW2" s="78">
        <f>EG2*'Useful Constants'!$B$4</f>
        <v>222.25164961969043</v>
      </c>
      <c r="EX2" s="78">
        <f>EH2*'Useful Constants'!$B$4</f>
        <v>195.26638808772614</v>
      </c>
      <c r="EY2" s="78">
        <f>EI2*'Useful Constants'!$B$4</f>
        <v>177.22975218929091</v>
      </c>
      <c r="EZ2" s="78">
        <f>EJ2*'Useful Constants'!$B$4</f>
        <v>171.83615395542176</v>
      </c>
      <c r="FA2" s="78">
        <f>EK2*'Useful Constants'!$B$4</f>
        <v>169.39177733420479</v>
      </c>
      <c r="FB2" s="78">
        <f>EL2*'Useful Constants'!$B$4</f>
        <v>173.8590373084842</v>
      </c>
      <c r="FC2" s="78">
        <f>EM2*'Useful Constants'!$B$4</f>
        <v>181.34269224568877</v>
      </c>
      <c r="FD2" s="40">
        <f t="shared" ref="FD2:FD33" si="26">(R2+$Q2-CZ2)/(R2+$Q2)</f>
        <v>0.10090077322266233</v>
      </c>
      <c r="FE2" s="40">
        <f t="shared" ref="FE2:FE33" si="27">(S2+$Q2-DA2)/(S2+$Q2)</f>
        <v>0.10547391759670083</v>
      </c>
      <c r="FF2" s="40">
        <f t="shared" ref="FF2:FF33" si="28">(T2+$Q2-DB2)/(T2+$Q2)</f>
        <v>0.17827009096647189</v>
      </c>
      <c r="FG2" s="40">
        <f t="shared" ref="FG2:FG33" si="29">(U2+$Q2-DC2)/(U2+$Q2)</f>
        <v>0.21283936412290311</v>
      </c>
      <c r="FH2" s="40">
        <f t="shared" ref="FH2:FH33" si="30">(V2+$Q2-DD2)/(V2+$Q2)</f>
        <v>0.22365878780212015</v>
      </c>
      <c r="FI2" s="40">
        <f t="shared" ref="FI2:FI33" si="31">(W2+$Q2-DE2)/(W2+$Q2)</f>
        <v>0.22833977313352896</v>
      </c>
      <c r="FJ2" s="40">
        <f t="shared" ref="FJ2:FJ33" si="32">(X2+$Q2-DF2)/(X2+$Q2)</f>
        <v>0.29473305037429837</v>
      </c>
      <c r="FK2" s="40">
        <f t="shared" ref="FK2:FK33" si="33">(Y2+$Q2-DG2)/(Y2+$Q2)</f>
        <v>0.36195499460097413</v>
      </c>
      <c r="FL2" s="4">
        <f t="shared" ref="FL2:FL33" si="34">(R2+$Q2+$AX2+$AY2+AH2-(CZ2+DP2+EN2))/(R2+$Q2+$AX2+$AY2+AH2)</f>
        <v>0.36437391214806092</v>
      </c>
      <c r="FM2" s="4">
        <f t="shared" ref="FM2:FM33" si="35">(S2+$Q2+$AX2+$AY2+AI2-(DA2+DQ2+EO2))/(S2+$Q2+$AX2+$AY2+AI2)</f>
        <v>0.37219155238534385</v>
      </c>
      <c r="FN2" s="4">
        <f t="shared" ref="FN2:FN33" si="36">(T2+$Q2+$AX2+$AY2+AJ2-(DB2+DR2+EP2))/(T2+$Q2+$AX2+$AY2+AJ2)</f>
        <v>0.42514834527419898</v>
      </c>
      <c r="FO2" s="4">
        <f t="shared" ref="FO2:FO33" si="37">(U2+$Q2+$AX2+$AY2+AK2-(DC2+DS2+EQ2))/(U2+$Q2+$AX2+$AY2+AK2)</f>
        <v>0.45122030487569492</v>
      </c>
      <c r="FP2" s="4">
        <f t="shared" ref="FP2:FP33" si="38">(V2+$Q2+$AX2+$AY2+AL2-(DD2+DT2+ER2))/(V2+$Q2+$AX2+$AY2+AL2)</f>
        <v>0.45933496926535017</v>
      </c>
      <c r="FQ2" s="4">
        <f t="shared" ref="FQ2:FQ33" si="39">(W2+$Q2+$AX2+$AY2+AM2-(DE2+DU2+ES2))/(W2+$Q2+$AX2+$AY2+AM2)</f>
        <v>0.46285698316487034</v>
      </c>
      <c r="FR2" s="4">
        <f t="shared" ref="FR2:FR33" si="40">(X2+$Q2+$AX2+$AY2+AN2-(DF2+DV2+ET2))/(X2+$Q2+$AX2+$AY2+AN2)</f>
        <v>0.50583045626676282</v>
      </c>
      <c r="FS2" s="4">
        <f t="shared" ref="FS2:FS33" si="41">(Y2+$Q2+$AX2+$AY2+AO2-(DG2+DW2+EU2))/(Y2+$Q2+$AX2+$AY2+AO2)</f>
        <v>0.54873763836194178</v>
      </c>
      <c r="FT2" s="38">
        <f t="shared" ref="FT2:FT33" si="42">(R2+$Q2+$AZ2+$BA2+AP2-(CZ2+DX2+EV2))/(R2+$Q2+$AZ2+$BA2+AP2)</f>
        <v>0.21483602449468372</v>
      </c>
      <c r="FU2" s="38">
        <f t="shared" ref="FU2:FU33" si="43">(S2+$Q2+$AZ2+$BA2+AQ2-(DA2+DY2+EW2))/(S2+$Q2+$AZ2+$BA2+AQ2)</f>
        <v>0.22080730928430753</v>
      </c>
      <c r="FV2" s="38">
        <f t="shared" ref="FV2:FV33" si="44">(T2+$Q2+$AZ2+$BA2+AR2-(DB2+DZ2+EX2))/(T2+$Q2+$AZ2+$BA2+AR2)</f>
        <v>0.28505656390029388</v>
      </c>
      <c r="FW2" s="38">
        <f t="shared" ref="FW2:FW33" si="45">(U2+$Q2+$AZ2+$BA2+AS2-(DC2+EA2+EY2))/(U2+$Q2+$AZ2+$BA2+AS2)</f>
        <v>0.31596244083404046</v>
      </c>
      <c r="FX2" s="38">
        <f t="shared" ref="FX2:FX33" si="46">(V2+$Q2+$AZ2+$BA2+AT2-(DD2+EB2+EZ2))/(V2+$Q2+$AZ2+$BA2+AT2)</f>
        <v>0.32561576873966686</v>
      </c>
      <c r="FY2" s="38">
        <f t="shared" ref="FY2:FY33" si="47">(W2+$Q2+$AZ2+$BA2+AU2-(DE2+EC2+FA2))/(W2+$Q2+$AZ2+$BA2+AU2)</f>
        <v>0.32979592419087728</v>
      </c>
      <c r="FZ2" s="38">
        <f t="shared" ref="FZ2:FZ33" si="48">(X2+$Q2+$AZ2+$BA2+AV2-(DF2+ED2+FB2))/(X2+$Q2+$AZ2+$BA2+AV2)</f>
        <v>0.38609023711671775</v>
      </c>
      <c r="GA2" s="38">
        <f t="shared" ref="GA2:GA33" si="49">(Y2+$Q2+$AZ2+$BA2+AW2-(DG2+EE2+FC2))/(Y2+$Q2+$AZ2+$BA2+AW2)</f>
        <v>0.44281877576069634</v>
      </c>
    </row>
    <row r="3" spans="1:183" x14ac:dyDescent="0.25">
      <c r="A3" s="1" t="str">
        <f>Data!A3</f>
        <v>AL_MOBILE-RGNL-AP_722230_TY3A</v>
      </c>
      <c r="B3" s="1" t="str">
        <f>TY3A_REP_CITIES!B3</f>
        <v>Mobile</v>
      </c>
      <c r="C3" s="1" t="str">
        <f>TY3A_REP_CITIES!C3</f>
        <v>Mobile</v>
      </c>
      <c r="D3" s="2" t="str">
        <f>TY3A_REP_CITIES!A3</f>
        <v>AL</v>
      </c>
      <c r="E3" s="42">
        <f>TY3A_REP_CITIES!E3</f>
        <v>413210</v>
      </c>
      <c r="F3" s="2">
        <f>TY3A_REP_CITIES!G3</f>
        <v>2</v>
      </c>
      <c r="G3" s="2" t="str">
        <f>TY3A_REP_CITIES!H3</f>
        <v>Hot-Humid</v>
      </c>
      <c r="H3" s="2" t="str">
        <f>TY3A_REP_CITIES!I3</f>
        <v>Southeast</v>
      </c>
      <c r="I3" s="2">
        <f>Data!B3</f>
        <v>30.68</v>
      </c>
      <c r="J3" s="2">
        <f>Data!C3</f>
        <v>-88.25</v>
      </c>
      <c r="K3" s="2">
        <f>VLOOKUP(D3,Table1[],2,FALSE)</f>
        <v>1.1000000000000001</v>
      </c>
      <c r="L3" s="2">
        <v>0.5</v>
      </c>
      <c r="M3" s="10">
        <f>Data!N3</f>
        <v>5317.1479099999997</v>
      </c>
      <c r="N3" s="10">
        <f>Data!Q3</f>
        <v>29308</v>
      </c>
      <c r="O3" s="10">
        <f>Data!O3</f>
        <v>6559204287.7214298</v>
      </c>
      <c r="P3" s="10">
        <f>Data!P3</f>
        <v>6832504466.3765001</v>
      </c>
      <c r="Q3" s="10">
        <f>Data!S3*15</f>
        <v>5155.2201273952378</v>
      </c>
      <c r="R3" s="48">
        <f>SUM(Data!U3:AA3)*2+Data!AB3</f>
        <v>120.4504151027952</v>
      </c>
      <c r="S3" s="48">
        <f>SUM(Data!V3:AB3)*2+Data!AC3</f>
        <v>119.97781117170696</v>
      </c>
      <c r="T3" s="48">
        <f>SUM(Data!W3:AC3)*2+Data!AD3</f>
        <v>111.20854291873739</v>
      </c>
      <c r="U3" s="48">
        <f>SUM(Data!X3:AD3)*2+Data!AE3</f>
        <v>106.33026528316304</v>
      </c>
      <c r="V3" s="48">
        <f>SUM(Data!Y3:AE3)*2+Data!AF3</f>
        <v>104.22533967588338</v>
      </c>
      <c r="W3" s="48">
        <f>SUM(Data!Z3:AF3)*2+Data!AG3</f>
        <v>104.09533228316167</v>
      </c>
      <c r="X3" s="48">
        <f>SUM(Data!AA3:AG3)*2+Data!AH3</f>
        <v>94.037557362209284</v>
      </c>
      <c r="Y3" s="48">
        <f>SUM(Data!AB3:AH3)*2+Data!AI3</f>
        <v>85.191051732479352</v>
      </c>
      <c r="Z3" s="80">
        <f>(SUM(Data!CS3:CY3)*2+Data!CZ3)/('Useful Constants'!$B$1*1000000)*$K3/100</f>
        <v>0.11454435900916145</v>
      </c>
      <c r="AA3" s="80">
        <f>(SUM(Data!CT3:CZ3)*2+Data!DA3)/('Useful Constants'!$B$1*1000000)*$K3/100</f>
        <v>0.10426524557833375</v>
      </c>
      <c r="AB3" s="80">
        <f>(SUM(Data!CU3:DA3)*2+Data!DB3)/('Useful Constants'!$B$1*1000000)*$K3/100</f>
        <v>9.2800209162549552E-2</v>
      </c>
      <c r="AC3" s="80">
        <f>(SUM(Data!CV3:DB3)*2+Data!DC3)/('Useful Constants'!$B$1*1000000)*$K3/100</f>
        <v>8.5056746461680599E-2</v>
      </c>
      <c r="AD3" s="80">
        <f>(SUM(Data!CW3:DC3)*2+Data!DD3)/('Useful Constants'!$B$1*1000000)*$K3/100</f>
        <v>8.2849060698657662E-2</v>
      </c>
      <c r="AE3" s="80">
        <f>(SUM(Data!CX3:DD3)*2+Data!DE3)/('Useful Constants'!$B$1*1000000)*$K3/100</f>
        <v>8.1996778780454832E-2</v>
      </c>
      <c r="AF3" s="80">
        <f>(SUM(Data!CY3:DE3)*2+Data!DF3)/('Useful Constants'!$B$1*1000000)*$K3/100</f>
        <v>8.3620519382586134E-2</v>
      </c>
      <c r="AG3" s="80">
        <f>(SUM(Data!CZ3:DF3)*2+Data!DG3)/('Useful Constants'!$B$1*1000000)*$K3/100</f>
        <v>8.6416318189075844E-2</v>
      </c>
      <c r="AH3" s="48">
        <f>Z3*'Useful Constants'!$B$3</f>
        <v>9.6217261567695616</v>
      </c>
      <c r="AI3" s="48">
        <f>AA3*'Useful Constants'!$B$3</f>
        <v>8.7582806285800352</v>
      </c>
      <c r="AJ3" s="48">
        <f>AB3*'Useful Constants'!$B$3</f>
        <v>7.7952175696541621</v>
      </c>
      <c r="AK3" s="48">
        <f>AC3*'Useful Constants'!$B$3</f>
        <v>7.1447667027811708</v>
      </c>
      <c r="AL3" s="48">
        <f>AD3*'Useful Constants'!$B$3</f>
        <v>6.9593210986872434</v>
      </c>
      <c r="AM3" s="48">
        <f>AE3*'Useful Constants'!$B$3</f>
        <v>6.887729417558206</v>
      </c>
      <c r="AN3" s="48">
        <f>AF3*'Useful Constants'!$B$3</f>
        <v>7.024123628137235</v>
      </c>
      <c r="AO3" s="48">
        <f>AG3*'Useful Constants'!$B$3</f>
        <v>7.258970727882371</v>
      </c>
      <c r="AP3" s="10">
        <f>Z3*'Useful Constants'!$B$4</f>
        <v>3.2072420522565204</v>
      </c>
      <c r="AQ3" s="10">
        <f>AA3*'Useful Constants'!$B$4</f>
        <v>2.9194268761933451</v>
      </c>
      <c r="AR3" s="10">
        <f>AB3*'Useful Constants'!$B$4</f>
        <v>2.5984058565513877</v>
      </c>
      <c r="AS3" s="10">
        <f>AC3*'Useful Constants'!$B$4</f>
        <v>2.3815889009270568</v>
      </c>
      <c r="AT3" s="10">
        <f>AD3*'Useful Constants'!$B$4</f>
        <v>2.3197736995624147</v>
      </c>
      <c r="AU3" s="10">
        <f>AE3*'Useful Constants'!$B$4</f>
        <v>2.2959098058527352</v>
      </c>
      <c r="AV3" s="10">
        <f>AF3*'Useful Constants'!$B$4</f>
        <v>2.341374542712412</v>
      </c>
      <c r="AW3" s="10">
        <f>AG3*'Useful Constants'!$B$4</f>
        <v>2.4196569092941238</v>
      </c>
      <c r="AX3" s="48">
        <f>P3/1000000/'Useful Constants'!$B$1*K3/100*'Useful Constants'!$B$3*15</f>
        <v>1893.9702380795657</v>
      </c>
      <c r="AY3" s="48">
        <f>P3/1000000/'Useful Constants'!$B$1*L3/100*'Useful Constants'!$B$3*15</f>
        <v>860.89556276343899</v>
      </c>
      <c r="AZ3" s="48">
        <f>P3/1000000/'Useful Constants'!$B$1*K3/100*'Useful Constants'!$B$4*15</f>
        <v>631.32341269318863</v>
      </c>
      <c r="BA3" s="48">
        <f>P3/1000000/'Useful Constants'!$B$1*L3/100*'Useful Constants'!$B$4*15</f>
        <v>286.96518758781303</v>
      </c>
      <c r="BB3" s="7">
        <f>Data!AN3</f>
        <v>5317.1479099999997</v>
      </c>
      <c r="BC3" s="7">
        <f>Data!AQ3</f>
        <v>5317.1479099999997</v>
      </c>
      <c r="BD3" s="7">
        <f>Data!AT3</f>
        <v>4206.9585299999999</v>
      </c>
      <c r="BE3" s="6">
        <f>Data!AO3</f>
        <v>6234559866.9346104</v>
      </c>
      <c r="BF3" s="6">
        <f>Data!AP3</f>
        <v>1796961316.3685701</v>
      </c>
      <c r="BG3" s="6">
        <f>Data!AR3</f>
        <v>90310196.884300202</v>
      </c>
      <c r="BH3" s="6">
        <f>Data!AS3</f>
        <v>90310196.884300202</v>
      </c>
      <c r="BI3" s="8">
        <f t="shared" si="0"/>
        <v>0.98572141467365237</v>
      </c>
      <c r="BJ3" s="8">
        <f t="shared" si="1"/>
        <v>0.95214774543560876</v>
      </c>
      <c r="BK3" s="13">
        <f>BB3*'Useful Constants'!$B$5/'Useful Constants'!$B$6*'Useful Constants'!$B$7</f>
        <v>1.360658150169</v>
      </c>
      <c r="BL3" s="52">
        <f>1-VLOOKUP($G3,'Useful Constants'!$A$17:$X$23,10,FALSE)</f>
        <v>0</v>
      </c>
      <c r="BM3" s="52">
        <f>1-VLOOKUP($G3,'Useful Constants'!$A$17:$X$23,12,FALSE)</f>
        <v>0</v>
      </c>
      <c r="BN3" s="52">
        <f>1-VLOOKUP($G3,'Useful Constants'!$A$17:$X$23,14,FALSE)</f>
        <v>0</v>
      </c>
      <c r="BO3" s="52">
        <f>1-VLOOKUP($G3,'Useful Constants'!$A$17:$X$23,16,FALSE)</f>
        <v>0</v>
      </c>
      <c r="BP3" s="52">
        <f>1-VLOOKUP($G3,'Useful Constants'!$A$17:$X$23,18,FALSE)</f>
        <v>0</v>
      </c>
      <c r="BQ3" s="52">
        <f>1-VLOOKUP($G3,'Useful Constants'!$A$17:$X$23,20, FALSE)</f>
        <v>0</v>
      </c>
      <c r="BR3" s="52">
        <f>1-VLOOKUP($G3,'Useful Constants'!$A$17:$X$23,22, FALSE)</f>
        <v>0</v>
      </c>
      <c r="BS3" s="52">
        <f>1-VLOOKUP($G3,'Useful Constants'!$A$17:$X$23,24, FALSE)</f>
        <v>0</v>
      </c>
      <c r="BT3" s="13">
        <f t="shared" si="2"/>
        <v>0</v>
      </c>
      <c r="BU3" s="13">
        <f t="shared" si="3"/>
        <v>0</v>
      </c>
      <c r="BV3" s="13">
        <f t="shared" si="4"/>
        <v>0</v>
      </c>
      <c r="BW3" s="13">
        <f t="shared" si="5"/>
        <v>0</v>
      </c>
      <c r="BX3" s="13">
        <f t="shared" si="6"/>
        <v>0</v>
      </c>
      <c r="BY3" s="13">
        <f t="shared" si="7"/>
        <v>0</v>
      </c>
      <c r="BZ3" s="13">
        <f t="shared" si="8"/>
        <v>0</v>
      </c>
      <c r="CA3" s="13">
        <f t="shared" si="9"/>
        <v>0</v>
      </c>
      <c r="CB3" s="59">
        <f>+SUM(Data!BM3:BS3)*2+Data!BT3</f>
        <v>670.58028534020514</v>
      </c>
      <c r="CC3" s="59">
        <f>+SUM(Data!BN3:BT3)*2+Data!BU3</f>
        <v>667.68871580752557</v>
      </c>
      <c r="CD3" s="59">
        <f>+SUM(Data!BO3:BU3)*2+Data!BV3</f>
        <v>618.87514543591317</v>
      </c>
      <c r="CE3" s="59">
        <f>+SUM(Data!BP3:BV3)*2+Data!BW3</f>
        <v>591.97226213469094</v>
      </c>
      <c r="CF3" s="59">
        <f>+SUM(Data!BQ3:BW3)*2+Data!BX3</f>
        <v>580.37045104257413</v>
      </c>
      <c r="CG3" s="59">
        <f>+SUM(Data!BR3:BX3)*2+Data!BY3</f>
        <v>579.68265905794601</v>
      </c>
      <c r="CH3" s="59">
        <f>+SUM(Data!BS3:BY3)*2+Data!BZ3</f>
        <v>523.80510042148012</v>
      </c>
      <c r="CI3" s="59">
        <f>+SUM(Data!BT3:BZ3)*2+Data!CA3</f>
        <v>474.59883124693886</v>
      </c>
      <c r="CJ3" s="13">
        <f>+SUM(Data!AW3:BC3)*2+Data!BD3</f>
        <v>3857.6961567580965</v>
      </c>
      <c r="CK3" s="13">
        <f>+SUM(Data!AX3:BD3)*2+Data!BE3</f>
        <v>3841.4193588174071</v>
      </c>
      <c r="CL3" s="13">
        <f>+SUM(Data!AY3:BE3)*2+Data!BF3</f>
        <v>3560.1599325350353</v>
      </c>
      <c r="CM3" s="13">
        <f>+SUM(Data!AZ3:BF3)*2+Data!BG3</f>
        <v>3391.969888177814</v>
      </c>
      <c r="CN3" s="13">
        <f>+SUM(Data!BA3:BG3)*2+Data!BH3</f>
        <v>3317.1681529053358</v>
      </c>
      <c r="CO3" s="13">
        <f>+SUM(Data!BB3:BH3)*2+Data!BI3</f>
        <v>3303.8872628070208</v>
      </c>
      <c r="CP3" s="13">
        <f>+SUM(Data!BC3:BI3)*2+Data!BJ3</f>
        <v>2981.8149566317952</v>
      </c>
      <c r="CQ3" s="13">
        <f>+SUM(Data!BD3:BJ3)*2+Data!BK3</f>
        <v>2699.3206394439617</v>
      </c>
      <c r="CR3" s="59">
        <f>+SUM(Data!CC3:CI3)*2+Data!CJ3</f>
        <v>175.55370575244399</v>
      </c>
      <c r="CS3" s="59">
        <f>+SUM(Data!CD3:CJ3)*2+Data!CK3</f>
        <v>178.22567900903067</v>
      </c>
      <c r="CT3" s="59">
        <f>+SUM(Data!CE3:CK3)*2+Data!CL3</f>
        <v>168.18409905523663</v>
      </c>
      <c r="CU3" s="59">
        <f>+SUM(Data!CF3:CL3)*2+Data!CM3</f>
        <v>164.99047084664144</v>
      </c>
      <c r="CV3" s="59">
        <f>+SUM(Data!CG3:CM3)*2+Data!CN3</f>
        <v>162.59615140100635</v>
      </c>
      <c r="CW3" s="59">
        <f>+SUM(Data!CH3:CN3)*2+Data!CO3</f>
        <v>166.09619918283306</v>
      </c>
      <c r="CX3" s="59">
        <f>+SUM(Data!CI3:CO3)*2+Data!CP3</f>
        <v>152.65344101148654</v>
      </c>
      <c r="CY3" s="59">
        <f>+SUM(Data!CJ3:CP3)*2+Data!CQ3</f>
        <v>138.10010158135748</v>
      </c>
      <c r="CZ3" s="60">
        <f t="shared" si="10"/>
        <v>4703.8301478507465</v>
      </c>
      <c r="DA3" s="60">
        <f t="shared" si="11"/>
        <v>4687.3337536339632</v>
      </c>
      <c r="DB3" s="60">
        <f t="shared" si="12"/>
        <v>4347.2191770261852</v>
      </c>
      <c r="DC3" s="60">
        <f t="shared" si="13"/>
        <v>4148.932621159146</v>
      </c>
      <c r="DD3" s="60">
        <f t="shared" si="14"/>
        <v>4060.1347553489163</v>
      </c>
      <c r="DE3" s="60">
        <f t="shared" si="15"/>
        <v>4049.6661210478001</v>
      </c>
      <c r="DF3" s="60">
        <f t="shared" si="16"/>
        <v>3658.273498064762</v>
      </c>
      <c r="DG3" s="60">
        <f t="shared" si="17"/>
        <v>3312.0195722722583</v>
      </c>
      <c r="DH3" s="13">
        <f t="shared" si="18"/>
        <v>0</v>
      </c>
      <c r="DI3" s="13">
        <f t="shared" si="19"/>
        <v>0</v>
      </c>
      <c r="DJ3" s="13">
        <f t="shared" si="20"/>
        <v>0</v>
      </c>
      <c r="DK3" s="13">
        <f t="shared" si="21"/>
        <v>0</v>
      </c>
      <c r="DL3" s="13">
        <f t="shared" si="22"/>
        <v>0</v>
      </c>
      <c r="DM3" s="13">
        <f t="shared" si="23"/>
        <v>0</v>
      </c>
      <c r="DN3" s="13">
        <f t="shared" si="24"/>
        <v>0</v>
      </c>
      <c r="DO3" s="13">
        <f t="shared" si="25"/>
        <v>0</v>
      </c>
      <c r="DP3" s="50">
        <f>DH3*'Useful Constants'!$B$8</f>
        <v>0</v>
      </c>
      <c r="DQ3" s="50">
        <f>DI3*'Useful Constants'!$B$8</f>
        <v>0</v>
      </c>
      <c r="DR3" s="50">
        <f>DJ3*'Useful Constants'!$B$10</f>
        <v>0</v>
      </c>
      <c r="DS3" s="50">
        <f>DK3*'Useful Constants'!$B$10</f>
        <v>0</v>
      </c>
      <c r="DT3" s="50">
        <f>DL3*'Useful Constants'!$B$10</f>
        <v>0</v>
      </c>
      <c r="DU3" s="50">
        <f>DM3*'Useful Constants'!$B$10</f>
        <v>0</v>
      </c>
      <c r="DV3" s="50">
        <f>DN3*'Useful Constants'!$B$10</f>
        <v>0</v>
      </c>
      <c r="DW3" s="50">
        <f>DO3*'Useful Constants'!$B$10</f>
        <v>0</v>
      </c>
      <c r="DX3" s="14">
        <f>DH3*'Useful Constants'!$B$9</f>
        <v>0</v>
      </c>
      <c r="DY3" s="14">
        <f>DI3*'Useful Constants'!$B$9</f>
        <v>0</v>
      </c>
      <c r="DZ3" s="14">
        <f>DJ3*'Useful Constants'!$B$11</f>
        <v>0</v>
      </c>
      <c r="EA3" s="14">
        <f>DK3*'Useful Constants'!$B$11</f>
        <v>0</v>
      </c>
      <c r="EB3" s="14">
        <f>DL3*'Useful Constants'!$B$11</f>
        <v>0</v>
      </c>
      <c r="EC3" s="14">
        <f>DM3*'Useful Constants'!$B$11</f>
        <v>0</v>
      </c>
      <c r="ED3" s="14">
        <f>DN3*'Useful Constants'!$B$11</f>
        <v>0</v>
      </c>
      <c r="EE3" s="14">
        <f>DO3*'Useful Constants'!$B$11</f>
        <v>0</v>
      </c>
      <c r="EF3" s="78">
        <f>(SUM(Data!DI3:DO3)*2+Data!DP3)/('Useful Constants'!$B$1*1000000)*$K3/100</f>
        <v>4.42951326230693</v>
      </c>
      <c r="EG3" s="78">
        <f>(SUM(Data!DJ3:DP3)*2+Data!DQ3)/('Useful Constants'!$B$1*1000000)*$K3/100</f>
        <v>4.0340809353741696</v>
      </c>
      <c r="EH3" s="78">
        <f>(SUM(Data!DK3:DQ3)*2+Data!DR3)/('Useful Constants'!$B$1*1000000)*$K3/100</f>
        <v>3.589590627624363</v>
      </c>
      <c r="EI3" s="78">
        <f>(SUM(Data!DL3:DR3)*2+Data!DS3)/('Useful Constants'!$B$1*1000000)*$K3/100</f>
        <v>3.29103747031336</v>
      </c>
      <c r="EJ3" s="78">
        <f>(SUM(Data!DM3:DS3)*2+Data!DT3)/('Useful Constants'!$B$1*1000000)*$K3/100</f>
        <v>3.2071732995145386</v>
      </c>
      <c r="EK3" s="78">
        <f>(SUM(Data!DN3:DT3)*2+Data!DU3)/('Useful Constants'!$B$1*1000000)*$K3/100</f>
        <v>3.1775087761200056</v>
      </c>
      <c r="EL3" s="78">
        <f>(SUM(Data!DO3:DU3)*2+Data!DV3)/('Useful Constants'!$B$1*1000000)*$K3/100</f>
        <v>3.246180429127167</v>
      </c>
      <c r="EM3" s="78">
        <f>(SUM(Data!DP3:DV3)*2+Data!DW3)/('Useful Constants'!$B$1*1000000)*$K3/100</f>
        <v>3.356025061656815</v>
      </c>
      <c r="EN3" s="79">
        <f>EF3*'Useful Constants'!$B$3</f>
        <v>372.0791140337821</v>
      </c>
      <c r="EO3" s="79">
        <f>EG3*'Useful Constants'!$B$3</f>
        <v>338.86279857143023</v>
      </c>
      <c r="EP3" s="79">
        <f>EH3*'Useful Constants'!$B$3</f>
        <v>301.52561272044647</v>
      </c>
      <c r="EQ3" s="79">
        <f>EI3*'Useful Constants'!$B$3</f>
        <v>276.44714750632227</v>
      </c>
      <c r="ER3" s="79">
        <f>EJ3*'Useful Constants'!$B$3</f>
        <v>269.40255715922126</v>
      </c>
      <c r="ES3" s="79">
        <f>EK3*'Useful Constants'!$B$3</f>
        <v>266.91073719408047</v>
      </c>
      <c r="ET3" s="79">
        <f>EL3*'Useful Constants'!$B$3</f>
        <v>272.67915604668201</v>
      </c>
      <c r="EU3" s="79">
        <f>EM3*'Useful Constants'!$B$3</f>
        <v>281.90610517917247</v>
      </c>
      <c r="EV3" s="78">
        <f>EF3*'Useful Constants'!$B$4</f>
        <v>124.02637134459404</v>
      </c>
      <c r="EW3" s="78">
        <f>EG3*'Useful Constants'!$B$4</f>
        <v>112.95426619047674</v>
      </c>
      <c r="EX3" s="78">
        <f>EH3*'Useful Constants'!$B$4</f>
        <v>100.50853757348216</v>
      </c>
      <c r="EY3" s="78">
        <f>EI3*'Useful Constants'!$B$4</f>
        <v>92.149049168774084</v>
      </c>
      <c r="EZ3" s="78">
        <f>EJ3*'Useful Constants'!$B$4</f>
        <v>89.800852386407087</v>
      </c>
      <c r="FA3" s="78">
        <f>EK3*'Useful Constants'!$B$4</f>
        <v>88.970245731360151</v>
      </c>
      <c r="FB3" s="78">
        <f>EL3*'Useful Constants'!$B$4</f>
        <v>90.89305201556067</v>
      </c>
      <c r="FC3" s="78">
        <f>EM3*'Useful Constants'!$B$4</f>
        <v>93.968701726390819</v>
      </c>
      <c r="FD3" s="40">
        <f t="shared" si="26"/>
        <v>0.10839198354803246</v>
      </c>
      <c r="FE3" s="40">
        <f t="shared" si="27"/>
        <v>0.11143926574491347</v>
      </c>
      <c r="FF3" s="40">
        <f t="shared" si="28"/>
        <v>0.17454133547259992</v>
      </c>
      <c r="FG3" s="40">
        <f t="shared" si="29"/>
        <v>0.21146196244124055</v>
      </c>
      <c r="FH3" s="40">
        <f t="shared" si="30"/>
        <v>0.22802987866895341</v>
      </c>
      <c r="FI3" s="40">
        <f t="shared" si="31"/>
        <v>0.2300012896934249</v>
      </c>
      <c r="FJ3" s="40">
        <f t="shared" si="32"/>
        <v>0.30308746154956578</v>
      </c>
      <c r="FK3" s="40">
        <f t="shared" si="33"/>
        <v>0.36798478992185607</v>
      </c>
      <c r="FL3" s="4">
        <f t="shared" si="34"/>
        <v>0.36868041423947112</v>
      </c>
      <c r="FM3" s="4">
        <f t="shared" si="35"/>
        <v>0.37475956804659999</v>
      </c>
      <c r="FN3" s="4">
        <f t="shared" si="36"/>
        <v>0.42101222305764341</v>
      </c>
      <c r="FO3" s="4">
        <f t="shared" si="37"/>
        <v>0.44845190425999854</v>
      </c>
      <c r="FP3" s="4">
        <f t="shared" si="38"/>
        <v>0.46024295472109494</v>
      </c>
      <c r="FQ3" s="4">
        <f t="shared" si="39"/>
        <v>0.46184519000443996</v>
      </c>
      <c r="FR3" s="4">
        <f t="shared" si="40"/>
        <v>0.50931466428316585</v>
      </c>
      <c r="FS3" s="4">
        <f t="shared" si="41"/>
        <v>0.55090165172732664</v>
      </c>
      <c r="FT3" s="38">
        <f t="shared" si="42"/>
        <v>0.22095741514825057</v>
      </c>
      <c r="FU3" s="38">
        <f t="shared" si="43"/>
        <v>0.22531092275464601</v>
      </c>
      <c r="FV3" s="38">
        <f t="shared" si="44"/>
        <v>0.28115390466864415</v>
      </c>
      <c r="FW3" s="38">
        <f t="shared" si="45"/>
        <v>0.31398732637072768</v>
      </c>
      <c r="FX3" s="38">
        <f t="shared" si="46"/>
        <v>0.32849523410800718</v>
      </c>
      <c r="FY3" s="38">
        <f t="shared" si="47"/>
        <v>0.33030690026907222</v>
      </c>
      <c r="FZ3" s="38">
        <f t="shared" si="48"/>
        <v>0.39234443851529821</v>
      </c>
      <c r="GA3" s="38">
        <f t="shared" si="49"/>
        <v>0.44718028773775487</v>
      </c>
    </row>
    <row r="4" spans="1:183" x14ac:dyDescent="0.25">
      <c r="A4" s="1" t="str">
        <f>Data!A4</f>
        <v>AR_FAYETTEVILLE-DRAKE-FIELD_723445_TY3A</v>
      </c>
      <c r="B4" s="1" t="str">
        <f>TY3A_REP_CITIES!B4</f>
        <v>Fayetteville</v>
      </c>
      <c r="C4" s="1" t="str">
        <f>TY3A_REP_CITIES!C4</f>
        <v>Washington</v>
      </c>
      <c r="D4" s="2" t="str">
        <f>TY3A_REP_CITIES!A4</f>
        <v>AR</v>
      </c>
      <c r="E4" s="42">
        <f>TY3A_REP_CITIES!E4</f>
        <v>239187</v>
      </c>
      <c r="F4" s="2">
        <f>TY3A_REP_CITIES!G4</f>
        <v>4</v>
      </c>
      <c r="G4" s="2" t="str">
        <f>TY3A_REP_CITIES!H4</f>
        <v>Mixed-Humid</v>
      </c>
      <c r="H4" s="2" t="str">
        <f>TY3A_REP_CITIES!I4</f>
        <v>Southeast</v>
      </c>
      <c r="I4" s="2">
        <f>Data!B4</f>
        <v>36</v>
      </c>
      <c r="J4" s="2">
        <f>Data!C4</f>
        <v>-94.17</v>
      </c>
      <c r="K4" s="2">
        <f>VLOOKUP(D4,Table1[],2,FALSE)</f>
        <v>1.1000000000000001</v>
      </c>
      <c r="L4" s="2">
        <v>0.5</v>
      </c>
      <c r="M4" s="10">
        <f>Data!N4</f>
        <v>5335.4242599999998</v>
      </c>
      <c r="N4" s="10">
        <f>Data!Q4</f>
        <v>29308</v>
      </c>
      <c r="O4" s="10">
        <f>Data!O4</f>
        <v>19792661893.265701</v>
      </c>
      <c r="P4" s="10">
        <f>Data!P4</f>
        <v>20617356138.818417</v>
      </c>
      <c r="Q4" s="10">
        <f>Data!S4*15</f>
        <v>15556.083404491252</v>
      </c>
      <c r="R4" s="48">
        <f>SUM(Data!U4:AA4)*2+Data!AB4</f>
        <v>233.33552965188923</v>
      </c>
      <c r="S4" s="48">
        <f>SUM(Data!V4:AB4)*2+Data!AC4</f>
        <v>229.46077931291603</v>
      </c>
      <c r="T4" s="48">
        <f>SUM(Data!W4:AC4)*2+Data!AD4</f>
        <v>200.3434755458529</v>
      </c>
      <c r="U4" s="48">
        <f>SUM(Data!X4:AD4)*2+Data!AE4</f>
        <v>176.65572223954757</v>
      </c>
      <c r="V4" s="48">
        <f>SUM(Data!Y4:AE4)*2+Data!AF4</f>
        <v>166.49493136125645</v>
      </c>
      <c r="W4" s="48">
        <f>SUM(Data!Z4:AF4)*2+Data!AG4</f>
        <v>172.54407011732275</v>
      </c>
      <c r="X4" s="48">
        <f>SUM(Data!AA4:AG4)*2+Data!AH4</f>
        <v>164.96495867396911</v>
      </c>
      <c r="Y4" s="48">
        <f>SUM(Data!AB4:AH4)*2+Data!AI4</f>
        <v>157.12445943161296</v>
      </c>
      <c r="Z4" s="80">
        <f>(SUM(Data!CS4:CY4)*2+Data!CZ4)/('Useful Constants'!$B$1*1000000)*$K4/100</f>
        <v>0.23742053814661301</v>
      </c>
      <c r="AA4" s="80">
        <f>(SUM(Data!CT4:CZ4)*2+Data!DA4)/('Useful Constants'!$B$1*1000000)*$K4/100</f>
        <v>0.17030738014099561</v>
      </c>
      <c r="AB4" s="80">
        <f>(SUM(Data!CU4:DA4)*2+Data!DB4)/('Useful Constants'!$B$1*1000000)*$K4/100</f>
        <v>0.11066243871056264</v>
      </c>
      <c r="AC4" s="80">
        <f>(SUM(Data!CV4:DB4)*2+Data!DC4)/('Useful Constants'!$B$1*1000000)*$K4/100</f>
        <v>7.0664681863460935E-2</v>
      </c>
      <c r="AD4" s="80">
        <f>(SUM(Data!CW4:DC4)*2+Data!DD4)/('Useful Constants'!$B$1*1000000)*$K4/100</f>
        <v>4.8965142155466379E-2</v>
      </c>
      <c r="AE4" s="80">
        <f>(SUM(Data!CX4:DD4)*2+Data!DE4)/('Useful Constants'!$B$1*1000000)*$K4/100</f>
        <v>3.2469509996002233E-2</v>
      </c>
      <c r="AF4" s="80">
        <f>(SUM(Data!CY4:DE4)*2+Data!DF4)/('Useful Constants'!$B$1*1000000)*$K4/100</f>
        <v>1.8805241617236047E-2</v>
      </c>
      <c r="AG4" s="80">
        <f>(SUM(Data!CZ4:DF4)*2+Data!DG4)/('Useful Constants'!$B$1*1000000)*$K4/100</f>
        <v>1.2408322077055566E-2</v>
      </c>
      <c r="AH4" s="48">
        <f>Z4*'Useful Constants'!$B$3</f>
        <v>19.943325204315492</v>
      </c>
      <c r="AI4" s="48">
        <f>AA4*'Useful Constants'!$B$3</f>
        <v>14.305819931843631</v>
      </c>
      <c r="AJ4" s="48">
        <f>AB4*'Useful Constants'!$B$3</f>
        <v>9.2956448516872623</v>
      </c>
      <c r="AK4" s="48">
        <f>AC4*'Useful Constants'!$B$3</f>
        <v>5.9358332765307189</v>
      </c>
      <c r="AL4" s="48">
        <f>AD4*'Useful Constants'!$B$3</f>
        <v>4.1130719410591761</v>
      </c>
      <c r="AM4" s="48">
        <f>AE4*'Useful Constants'!$B$3</f>
        <v>2.7274388396641873</v>
      </c>
      <c r="AN4" s="48">
        <f>AF4*'Useful Constants'!$B$3</f>
        <v>1.5796402958478279</v>
      </c>
      <c r="AO4" s="48">
        <f>AG4*'Useful Constants'!$B$3</f>
        <v>1.0422990544726676</v>
      </c>
      <c r="AP4" s="10">
        <f>Z4*'Useful Constants'!$B$4</f>
        <v>6.6477750681051644</v>
      </c>
      <c r="AQ4" s="10">
        <f>AA4*'Useful Constants'!$B$4</f>
        <v>4.7686066439478774</v>
      </c>
      <c r="AR4" s="10">
        <f>AB4*'Useful Constants'!$B$4</f>
        <v>3.0985482838957541</v>
      </c>
      <c r="AS4" s="10">
        <f>AC4*'Useful Constants'!$B$4</f>
        <v>1.9786110921769062</v>
      </c>
      <c r="AT4" s="10">
        <f>AD4*'Useful Constants'!$B$4</f>
        <v>1.3710239803530586</v>
      </c>
      <c r="AU4" s="10">
        <f>AE4*'Useful Constants'!$B$4</f>
        <v>0.90914627988806251</v>
      </c>
      <c r="AV4" s="10">
        <f>AF4*'Useful Constants'!$B$4</f>
        <v>0.52654676528260935</v>
      </c>
      <c r="AW4" s="10">
        <f>AG4*'Useful Constants'!$B$4</f>
        <v>0.34743301815755584</v>
      </c>
      <c r="AX4" s="48">
        <f>P4/1000000/'Useful Constants'!$B$1*K4/100*'Useful Constants'!$B$3*15</f>
        <v>5715.1311216804652</v>
      </c>
      <c r="AY4" s="48">
        <f>P4/1000000/'Useful Constants'!$B$1*L4/100*'Useful Constants'!$B$3*15</f>
        <v>2597.7868734911208</v>
      </c>
      <c r="AZ4" s="48">
        <f>P4/1000000/'Useful Constants'!$B$1*K4/100*'Useful Constants'!$B$4*15</f>
        <v>1905.0437072268219</v>
      </c>
      <c r="BA4" s="48">
        <f>P4/1000000/'Useful Constants'!$B$1*L4/100*'Useful Constants'!$B$4*15</f>
        <v>865.92895783037363</v>
      </c>
      <c r="BB4" s="7">
        <f>Data!AN4</f>
        <v>5335.4242599999998</v>
      </c>
      <c r="BC4" s="7">
        <f>Data!AQ4</f>
        <v>5335.4242599999998</v>
      </c>
      <c r="BD4" s="7">
        <f>Data!AT4</f>
        <v>6643.9912400000003</v>
      </c>
      <c r="BE4" s="6">
        <f>Data!AO4</f>
        <v>17447883653.724201</v>
      </c>
      <c r="BF4" s="6">
        <f>Data!AP4</f>
        <v>5913889701.1044998</v>
      </c>
      <c r="BG4" s="6">
        <f>Data!AR4</f>
        <v>1592435636.53214</v>
      </c>
      <c r="BH4" s="6">
        <f>Data!AS4</f>
        <v>1592435636.53214</v>
      </c>
      <c r="BI4" s="8">
        <f t="shared" si="0"/>
        <v>0.91636507706322712</v>
      </c>
      <c r="BJ4" s="8">
        <f t="shared" si="1"/>
        <v>0.78785416766474492</v>
      </c>
      <c r="BK4" s="13">
        <f>BB4*'Useful Constants'!$B$5/'Useful Constants'!$B$6*'Useful Constants'!$B$7</f>
        <v>1.3653350681339997</v>
      </c>
      <c r="BL4" s="52">
        <f>1-VLOOKUP($G4,'Useful Constants'!$A$17:$X$23,10,FALSE)</f>
        <v>0</v>
      </c>
      <c r="BM4" s="52">
        <f>1-VLOOKUP($G4,'Useful Constants'!$A$17:$X$23,12,FALSE)</f>
        <v>0</v>
      </c>
      <c r="BN4" s="52">
        <f>1-VLOOKUP($G4,'Useful Constants'!$A$17:$X$23,14,FALSE)</f>
        <v>0</v>
      </c>
      <c r="BO4" s="52">
        <f>1-VLOOKUP($G4,'Useful Constants'!$A$17:$X$23,16,FALSE)</f>
        <v>0</v>
      </c>
      <c r="BP4" s="52">
        <f>1-VLOOKUP($G4,'Useful Constants'!$A$17:$X$23,18,FALSE)</f>
        <v>0</v>
      </c>
      <c r="BQ4" s="52">
        <f>1-VLOOKUP($G4,'Useful Constants'!$A$17:$X$23,20, FALSE)</f>
        <v>0</v>
      </c>
      <c r="BR4" s="52">
        <f>1-VLOOKUP($G4,'Useful Constants'!$A$17:$X$23,22, FALSE)</f>
        <v>0</v>
      </c>
      <c r="BS4" s="52">
        <f>1-VLOOKUP($G4,'Useful Constants'!$A$17:$X$23,24, FALSE)</f>
        <v>0</v>
      </c>
      <c r="BT4" s="13">
        <f t="shared" si="2"/>
        <v>0</v>
      </c>
      <c r="BU4" s="13">
        <f t="shared" si="3"/>
        <v>0</v>
      </c>
      <c r="BV4" s="13">
        <f t="shared" si="4"/>
        <v>0</v>
      </c>
      <c r="BW4" s="13">
        <f t="shared" si="5"/>
        <v>0</v>
      </c>
      <c r="BX4" s="13">
        <f t="shared" si="6"/>
        <v>0</v>
      </c>
      <c r="BY4" s="13">
        <f t="shared" si="7"/>
        <v>0</v>
      </c>
      <c r="BZ4" s="13">
        <f t="shared" si="8"/>
        <v>0</v>
      </c>
      <c r="CA4" s="13">
        <f t="shared" si="9"/>
        <v>0</v>
      </c>
      <c r="CB4" s="59">
        <f>+SUM(Data!BM4:BS4)*2+Data!BT4</f>
        <v>1278.7637279956564</v>
      </c>
      <c r="CC4" s="59">
        <f>+SUM(Data!BN4:BT4)*2+Data!BU4</f>
        <v>1256.8372351603846</v>
      </c>
      <c r="CD4" s="59">
        <f>+SUM(Data!BO4:BU4)*2+Data!BV4</f>
        <v>1098.4982896946126</v>
      </c>
      <c r="CE4" s="59">
        <f>+SUM(Data!BP4:BV4)*2+Data!BW4</f>
        <v>968.99958000746597</v>
      </c>
      <c r="CF4" s="59">
        <f>+SUM(Data!BQ4:BW4)*2+Data!BX4</f>
        <v>913.02399680010569</v>
      </c>
      <c r="CG4" s="59">
        <f>+SUM(Data!BR4:BX4)*2+Data!BY4</f>
        <v>945.70169558938233</v>
      </c>
      <c r="CH4" s="59">
        <f>+SUM(Data!BS4:BY4)*2+Data!BZ4</f>
        <v>903.70014686574802</v>
      </c>
      <c r="CI4" s="59">
        <f>+SUM(Data!BT4:BZ4)*2+Data!CA4</f>
        <v>860.62840000558026</v>
      </c>
      <c r="CJ4" s="13">
        <f>+SUM(Data!AW4:BC4)*2+Data!BD4</f>
        <v>7740.716187185858</v>
      </c>
      <c r="CK4" s="13">
        <f>+SUM(Data!AX4:BD4)*2+Data!BE4</f>
        <v>7621.0450112496565</v>
      </c>
      <c r="CL4" s="13">
        <f>+SUM(Data!AY4:BE4)*2+Data!BF4</f>
        <v>6632.2462830639879</v>
      </c>
      <c r="CM4" s="13">
        <f>+SUM(Data!AZ4:BF4)*2+Data!BG4</f>
        <v>5822.9925152689257</v>
      </c>
      <c r="CN4" s="13">
        <f>+SUM(Data!BA4:BG4)*2+Data!BH4</f>
        <v>5491.3919982867155</v>
      </c>
      <c r="CO4" s="13">
        <f>+SUM(Data!BB4:BH4)*2+Data!BI4</f>
        <v>5698.7849801189195</v>
      </c>
      <c r="CP4" s="13">
        <f>+SUM(Data!BC4:BI4)*2+Data!BJ4</f>
        <v>5445.8454720672808</v>
      </c>
      <c r="CQ4" s="13">
        <f>+SUM(Data!BD4:BJ4)*2+Data!BK4</f>
        <v>5189.3751596810807</v>
      </c>
      <c r="CR4" s="59">
        <f>+SUM(Data!CC4:CI4)*2+Data!CJ4</f>
        <v>2208.1558687724068</v>
      </c>
      <c r="CS4" s="59">
        <f>+SUM(Data!CD4:CJ4)*2+Data!CK4</f>
        <v>2205.120393593138</v>
      </c>
      <c r="CT4" s="59">
        <f>+SUM(Data!CE4:CK4)*2+Data!CL4</f>
        <v>1901.6559084199271</v>
      </c>
      <c r="CU4" s="59">
        <f>+SUM(Data!CF4:CL4)*2+Data!CM4</f>
        <v>1691.3590082346409</v>
      </c>
      <c r="CV4" s="59">
        <f>+SUM(Data!CG4:CM4)*2+Data!CN4</f>
        <v>1575.3663548293096</v>
      </c>
      <c r="CW4" s="59">
        <f>+SUM(Data!CH4:CN4)*2+Data!CO4</f>
        <v>1621.9881661578984</v>
      </c>
      <c r="CX4" s="59">
        <f>+SUM(Data!CI4:CO4)*2+Data!CP4</f>
        <v>1545.5197928920857</v>
      </c>
      <c r="CY4" s="59">
        <f>+SUM(Data!CJ4:CP4)*2+Data!CQ4</f>
        <v>1509.8169251846784</v>
      </c>
      <c r="CZ4" s="60">
        <f t="shared" si="10"/>
        <v>11227.635783953921</v>
      </c>
      <c r="DA4" s="60">
        <f t="shared" si="11"/>
        <v>11083.002640003178</v>
      </c>
      <c r="DB4" s="60">
        <f t="shared" si="12"/>
        <v>9632.4004811785271</v>
      </c>
      <c r="DC4" s="60">
        <f t="shared" si="13"/>
        <v>8483.3511035110314</v>
      </c>
      <c r="DD4" s="60">
        <f t="shared" si="14"/>
        <v>7979.7823499161314</v>
      </c>
      <c r="DE4" s="60">
        <f t="shared" si="15"/>
        <v>8266.4748418662002</v>
      </c>
      <c r="DF4" s="60">
        <f t="shared" si="16"/>
        <v>7895.065411825115</v>
      </c>
      <c r="DG4" s="60">
        <f t="shared" si="17"/>
        <v>7559.8204848713394</v>
      </c>
      <c r="DH4" s="13">
        <f t="shared" si="18"/>
        <v>0</v>
      </c>
      <c r="DI4" s="13">
        <f t="shared" si="19"/>
        <v>0</v>
      </c>
      <c r="DJ4" s="13">
        <f t="shared" si="20"/>
        <v>0</v>
      </c>
      <c r="DK4" s="13">
        <f t="shared" si="21"/>
        <v>0</v>
      </c>
      <c r="DL4" s="13">
        <f t="shared" si="22"/>
        <v>0</v>
      </c>
      <c r="DM4" s="13">
        <f t="shared" si="23"/>
        <v>0</v>
      </c>
      <c r="DN4" s="13">
        <f t="shared" si="24"/>
        <v>0</v>
      </c>
      <c r="DO4" s="13">
        <f t="shared" si="25"/>
        <v>0</v>
      </c>
      <c r="DP4" s="50">
        <f>DH4*'Useful Constants'!$B$8</f>
        <v>0</v>
      </c>
      <c r="DQ4" s="50">
        <f>DI4*'Useful Constants'!$B$8</f>
        <v>0</v>
      </c>
      <c r="DR4" s="50">
        <f>DJ4*'Useful Constants'!$B$10</f>
        <v>0</v>
      </c>
      <c r="DS4" s="50">
        <f>DK4*'Useful Constants'!$B$10</f>
        <v>0</v>
      </c>
      <c r="DT4" s="50">
        <f>DL4*'Useful Constants'!$B$10</f>
        <v>0</v>
      </c>
      <c r="DU4" s="50">
        <f>DM4*'Useful Constants'!$B$10</f>
        <v>0</v>
      </c>
      <c r="DV4" s="50">
        <f>DN4*'Useful Constants'!$B$10</f>
        <v>0</v>
      </c>
      <c r="DW4" s="50">
        <f>DO4*'Useful Constants'!$B$10</f>
        <v>0</v>
      </c>
      <c r="DX4" s="14">
        <f>DH4*'Useful Constants'!$B$9</f>
        <v>0</v>
      </c>
      <c r="DY4" s="14">
        <f>DI4*'Useful Constants'!$B$9</f>
        <v>0</v>
      </c>
      <c r="DZ4" s="14">
        <f>DJ4*'Useful Constants'!$B$11</f>
        <v>0</v>
      </c>
      <c r="EA4" s="14">
        <f>DK4*'Useful Constants'!$B$11</f>
        <v>0</v>
      </c>
      <c r="EB4" s="14">
        <f>DL4*'Useful Constants'!$B$11</f>
        <v>0</v>
      </c>
      <c r="EC4" s="14">
        <f>DM4*'Useful Constants'!$B$11</f>
        <v>0</v>
      </c>
      <c r="ED4" s="14">
        <f>DN4*'Useful Constants'!$B$11</f>
        <v>0</v>
      </c>
      <c r="EE4" s="14">
        <f>DO4*'Useful Constants'!$B$11</f>
        <v>0</v>
      </c>
      <c r="EF4" s="78">
        <f>(SUM(Data!DI4:DO4)*2+Data!DP4)/('Useful Constants'!$B$1*1000000)*$K4/100</f>
        <v>10.998173087955152</v>
      </c>
      <c r="EG4" s="78">
        <f>(SUM(Data!DJ4:DP4)*2+Data!DQ4)/('Useful Constants'!$B$1*1000000)*$K4/100</f>
        <v>7.8354782387805244</v>
      </c>
      <c r="EH4" s="78">
        <f>(SUM(Data!DK4:DQ4)*2+Data!DR4)/('Useful Constants'!$B$1*1000000)*$K4/100</f>
        <v>5.0379178426978619</v>
      </c>
      <c r="EI4" s="78">
        <f>(SUM(Data!DL4:DR4)*2+Data!DS4)/('Useful Constants'!$B$1*1000000)*$K4/100</f>
        <v>3.1694087581466182</v>
      </c>
      <c r="EJ4" s="78">
        <f>(SUM(Data!DM4:DS4)*2+Data!DT4)/('Useful Constants'!$B$1*1000000)*$K4/100</f>
        <v>2.2031923946667122</v>
      </c>
      <c r="EK4" s="78">
        <f>(SUM(Data!DN4:DT4)*2+Data!DU4)/('Useful Constants'!$B$1*1000000)*$K4/100</f>
        <v>1.4597313254767692</v>
      </c>
      <c r="EL4" s="78">
        <f>(SUM(Data!DO4:DU4)*2+Data!DV4)/('Useful Constants'!$B$1*1000000)*$K4/100</f>
        <v>0.83944355633021539</v>
      </c>
      <c r="EM4" s="78">
        <f>(SUM(Data!DP4:DV4)*2+Data!DW4)/('Useful Constants'!$B$1*1000000)*$K4/100</f>
        <v>0.54944594390195245</v>
      </c>
      <c r="EN4" s="79">
        <f>EF4*'Useful Constants'!$B$3</f>
        <v>923.84653938823271</v>
      </c>
      <c r="EO4" s="79">
        <f>EG4*'Useful Constants'!$B$3</f>
        <v>658.18017205756405</v>
      </c>
      <c r="EP4" s="79">
        <f>EH4*'Useful Constants'!$B$3</f>
        <v>423.18509878662042</v>
      </c>
      <c r="EQ4" s="79">
        <f>EI4*'Useful Constants'!$B$3</f>
        <v>266.23033568431595</v>
      </c>
      <c r="ER4" s="79">
        <f>EJ4*'Useful Constants'!$B$3</f>
        <v>185.06816115200382</v>
      </c>
      <c r="ES4" s="79">
        <f>EK4*'Useful Constants'!$B$3</f>
        <v>122.61743134004861</v>
      </c>
      <c r="ET4" s="79">
        <f>EL4*'Useful Constants'!$B$3</f>
        <v>70.513258731738091</v>
      </c>
      <c r="EU4" s="79">
        <f>EM4*'Useful Constants'!$B$3</f>
        <v>46.153459287764008</v>
      </c>
      <c r="EV4" s="78">
        <f>EF4*'Useful Constants'!$B$4</f>
        <v>307.94884646274426</v>
      </c>
      <c r="EW4" s="78">
        <f>EG4*'Useful Constants'!$B$4</f>
        <v>219.39339068585468</v>
      </c>
      <c r="EX4" s="78">
        <f>EH4*'Useful Constants'!$B$4</f>
        <v>141.06169959554012</v>
      </c>
      <c r="EY4" s="78">
        <f>EI4*'Useful Constants'!$B$4</f>
        <v>88.743445228105315</v>
      </c>
      <c r="EZ4" s="78">
        <f>EJ4*'Useful Constants'!$B$4</f>
        <v>61.689387050667946</v>
      </c>
      <c r="FA4" s="78">
        <f>EK4*'Useful Constants'!$B$4</f>
        <v>40.872477113349539</v>
      </c>
      <c r="FB4" s="78">
        <f>EL4*'Useful Constants'!$B$4</f>
        <v>23.504419577246033</v>
      </c>
      <c r="FC4" s="78">
        <f>EM4*'Useful Constants'!$B$4</f>
        <v>15.384486429254668</v>
      </c>
      <c r="FD4" s="40">
        <f t="shared" si="26"/>
        <v>0.28891393465561865</v>
      </c>
      <c r="FE4" s="40">
        <f t="shared" si="27"/>
        <v>0.29790176943191837</v>
      </c>
      <c r="FF4" s="40">
        <f t="shared" si="28"/>
        <v>0.38866847448881481</v>
      </c>
      <c r="FG4" s="40">
        <f t="shared" si="29"/>
        <v>0.46078359050031248</v>
      </c>
      <c r="FH4" s="40">
        <f t="shared" si="30"/>
        <v>0.49246350188507726</v>
      </c>
      <c r="FI4" s="40">
        <f t="shared" si="31"/>
        <v>0.47443126520663426</v>
      </c>
      <c r="FJ4" s="40">
        <f t="shared" si="32"/>
        <v>0.49780286724876216</v>
      </c>
      <c r="FK4" s="40">
        <f t="shared" si="33"/>
        <v>0.51888751486394447</v>
      </c>
      <c r="FL4" s="4">
        <f t="shared" si="34"/>
        <v>0.49625482354365286</v>
      </c>
      <c r="FM4" s="4">
        <f t="shared" si="35"/>
        <v>0.51307196201644445</v>
      </c>
      <c r="FN4" s="4">
        <f t="shared" si="36"/>
        <v>0.58238565953972177</v>
      </c>
      <c r="FO4" s="4">
        <f t="shared" si="37"/>
        <v>0.63621613522644693</v>
      </c>
      <c r="FP4" s="4">
        <f t="shared" si="38"/>
        <v>0.66035843701931995</v>
      </c>
      <c r="FQ4" s="4">
        <f t="shared" si="39"/>
        <v>0.65109810951285729</v>
      </c>
      <c r="FR4" s="4">
        <f t="shared" si="40"/>
        <v>0.66859173197022426</v>
      </c>
      <c r="FS4" s="4">
        <f t="shared" si="41"/>
        <v>0.68344276387063518</v>
      </c>
      <c r="FT4" s="38">
        <f t="shared" si="42"/>
        <v>0.37870629787086452</v>
      </c>
      <c r="FU4" s="38">
        <f t="shared" si="43"/>
        <v>0.39107687030713056</v>
      </c>
      <c r="FV4" s="38">
        <f t="shared" si="44"/>
        <v>0.47257423240735347</v>
      </c>
      <c r="FW4" s="38">
        <f t="shared" si="45"/>
        <v>0.53678601759137823</v>
      </c>
      <c r="FX4" s="38">
        <f t="shared" si="46"/>
        <v>0.56520650770277558</v>
      </c>
      <c r="FY4" s="38">
        <f t="shared" si="47"/>
        <v>0.55096656040218206</v>
      </c>
      <c r="FZ4" s="38">
        <f t="shared" si="48"/>
        <v>0.57179670354815193</v>
      </c>
      <c r="GA4" s="38">
        <f t="shared" si="49"/>
        <v>0.59018672335727307</v>
      </c>
    </row>
    <row r="5" spans="1:183" x14ac:dyDescent="0.25">
      <c r="A5" s="1" t="str">
        <f>Data!A5</f>
        <v>AR_LITTLE-ROCK-AFB_723405_TY3A</v>
      </c>
      <c r="B5" s="1" t="str">
        <f>TY3A_REP_CITIES!B5</f>
        <v>Little-Rock</v>
      </c>
      <c r="C5" s="1" t="str">
        <f>TY3A_REP_CITIES!C5</f>
        <v>Pulaski</v>
      </c>
      <c r="D5" s="2" t="str">
        <f>TY3A_REP_CITIES!A5</f>
        <v>AR</v>
      </c>
      <c r="E5" s="42">
        <f>TY3A_REP_CITIES!E5</f>
        <v>391911</v>
      </c>
      <c r="F5" s="2">
        <f>TY3A_REP_CITIES!G5</f>
        <v>3</v>
      </c>
      <c r="G5" s="2" t="str">
        <f>TY3A_REP_CITIES!H5</f>
        <v>Mixed-Humid</v>
      </c>
      <c r="H5" s="2" t="str">
        <f>TY3A_REP_CITIES!I5</f>
        <v>Southeast</v>
      </c>
      <c r="I5" s="2">
        <f>Data!B5</f>
        <v>34.92</v>
      </c>
      <c r="J5" s="2">
        <f>Data!C5</f>
        <v>-92.15</v>
      </c>
      <c r="K5" s="2">
        <f>VLOOKUP(D5,Table1[],2,FALSE)</f>
        <v>1.1000000000000001</v>
      </c>
      <c r="L5" s="2">
        <v>0.5</v>
      </c>
      <c r="M5" s="10">
        <f>Data!N5</f>
        <v>6185.8288300000004</v>
      </c>
      <c r="N5" s="10">
        <f>Data!Q5</f>
        <v>29308</v>
      </c>
      <c r="O5" s="10">
        <f>Data!O5</f>
        <v>20412466533.745701</v>
      </c>
      <c r="P5" s="10">
        <f>Data!P5</f>
        <v>21262985972.651749</v>
      </c>
      <c r="Q5" s="10">
        <f>Data!S5*15</f>
        <v>16043.220138993875</v>
      </c>
      <c r="R5" s="48">
        <f>SUM(Data!U5:AA5)*2+Data!AB5</f>
        <v>266.85819014432667</v>
      </c>
      <c r="S5" s="48">
        <f>SUM(Data!V5:AB5)*2+Data!AC5</f>
        <v>261.23791852043257</v>
      </c>
      <c r="T5" s="48">
        <f>SUM(Data!W5:AC5)*2+Data!AD5</f>
        <v>228.59658685475512</v>
      </c>
      <c r="U5" s="48">
        <f>SUM(Data!X5:AD5)*2+Data!AE5</f>
        <v>201.66555144719428</v>
      </c>
      <c r="V5" s="48">
        <f>SUM(Data!Y5:AE5)*2+Data!AF5</f>
        <v>191.26111785306452</v>
      </c>
      <c r="W5" s="48">
        <f>SUM(Data!Z5:AF5)*2+Data!AG5</f>
        <v>198.75209182268333</v>
      </c>
      <c r="X5" s="48">
        <f>SUM(Data!AA5:AG5)*2+Data!AH5</f>
        <v>189.94699158621682</v>
      </c>
      <c r="Y5" s="48">
        <f>SUM(Data!AB5:AH5)*2+Data!AI5</f>
        <v>180.018651505854</v>
      </c>
      <c r="Z5" s="80">
        <f>(SUM(Data!CS5:CY5)*2+Data!CZ5)/('Useful Constants'!$B$1*1000000)*$K5/100</f>
        <v>0.28301361643697392</v>
      </c>
      <c r="AA5" s="80">
        <f>(SUM(Data!CT5:CZ5)*2+Data!DA5)/('Useful Constants'!$B$1*1000000)*$K5/100</f>
        <v>0.2052988859739267</v>
      </c>
      <c r="AB5" s="80">
        <f>(SUM(Data!CU5:DA5)*2+Data!DB5)/('Useful Constants'!$B$1*1000000)*$K5/100</f>
        <v>0.1391134828346493</v>
      </c>
      <c r="AC5" s="80">
        <f>(SUM(Data!CV5:DB5)*2+Data!DC5)/('Useful Constants'!$B$1*1000000)*$K5/100</f>
        <v>9.2374833415379887E-2</v>
      </c>
      <c r="AD5" s="80">
        <f>(SUM(Data!CW5:DC5)*2+Data!DD5)/('Useful Constants'!$B$1*1000000)*$K5/100</f>
        <v>6.6200392762017279E-2</v>
      </c>
      <c r="AE5" s="80">
        <f>(SUM(Data!CX5:DD5)*2+Data!DE5)/('Useful Constants'!$B$1*1000000)*$K5/100</f>
        <v>4.5361043694083551E-2</v>
      </c>
      <c r="AF5" s="80">
        <f>(SUM(Data!CY5:DE5)*2+Data!DF5)/('Useful Constants'!$B$1*1000000)*$K5/100</f>
        <v>2.6326319074325939E-2</v>
      </c>
      <c r="AG5" s="80">
        <f>(SUM(Data!CZ5:DF5)*2+Data!DG5)/('Useful Constants'!$B$1*1000000)*$K5/100</f>
        <v>1.8838257295371363E-2</v>
      </c>
      <c r="AH5" s="48">
        <f>Z5*'Useful Constants'!$B$3</f>
        <v>23.773143780705809</v>
      </c>
      <c r="AI5" s="48">
        <f>AA5*'Useful Constants'!$B$3</f>
        <v>17.245106421809844</v>
      </c>
      <c r="AJ5" s="48">
        <f>AB5*'Useful Constants'!$B$3</f>
        <v>11.685532558110541</v>
      </c>
      <c r="AK5" s="48">
        <f>AC5*'Useful Constants'!$B$3</f>
        <v>7.75948600689191</v>
      </c>
      <c r="AL5" s="48">
        <f>AD5*'Useful Constants'!$B$3</f>
        <v>5.5608329920094519</v>
      </c>
      <c r="AM5" s="48">
        <f>AE5*'Useful Constants'!$B$3</f>
        <v>3.8103276703030184</v>
      </c>
      <c r="AN5" s="48">
        <f>AF5*'Useful Constants'!$B$3</f>
        <v>2.2114108022433787</v>
      </c>
      <c r="AO5" s="48">
        <f>AG5*'Useful Constants'!$B$3</f>
        <v>1.5824136128111945</v>
      </c>
      <c r="AP5" s="10">
        <f>Z5*'Useful Constants'!$B$4</f>
        <v>7.9243812602352701</v>
      </c>
      <c r="AQ5" s="10">
        <f>AA5*'Useful Constants'!$B$4</f>
        <v>5.7483688072699479</v>
      </c>
      <c r="AR5" s="10">
        <f>AB5*'Useful Constants'!$B$4</f>
        <v>3.8951775193701805</v>
      </c>
      <c r="AS5" s="10">
        <f>AC5*'Useful Constants'!$B$4</f>
        <v>2.5864953356306368</v>
      </c>
      <c r="AT5" s="10">
        <f>AD5*'Useful Constants'!$B$4</f>
        <v>1.8536109973364838</v>
      </c>
      <c r="AU5" s="10">
        <f>AE5*'Useful Constants'!$B$4</f>
        <v>1.2701092234343394</v>
      </c>
      <c r="AV5" s="10">
        <f>AF5*'Useful Constants'!$B$4</f>
        <v>0.73713693408112624</v>
      </c>
      <c r="AW5" s="10">
        <f>AG5*'Useful Constants'!$B$4</f>
        <v>0.52747120427039818</v>
      </c>
      <c r="AX5" s="48">
        <f>P5/1000000/'Useful Constants'!$B$1*K5/100*'Useful Constants'!$B$3*15</f>
        <v>5894.0997116190656</v>
      </c>
      <c r="AY5" s="48">
        <f>P5/1000000/'Useful Constants'!$B$1*L5/100*'Useful Constants'!$B$3*15</f>
        <v>2679.1362325541204</v>
      </c>
      <c r="AZ5" s="48">
        <f>P5/1000000/'Useful Constants'!$B$1*K5/100*'Useful Constants'!$B$4*15</f>
        <v>1964.6999038730219</v>
      </c>
      <c r="BA5" s="48">
        <f>P5/1000000/'Useful Constants'!$B$1*L5/100*'Useful Constants'!$B$4*15</f>
        <v>893.0454108513735</v>
      </c>
      <c r="BB5" s="7">
        <f>Data!AN5</f>
        <v>6185.8288300000004</v>
      </c>
      <c r="BC5" s="7">
        <f>Data!AQ5</f>
        <v>6185.8288300000004</v>
      </c>
      <c r="BD5" s="7">
        <f>Data!AT5</f>
        <v>5736.5947699999997</v>
      </c>
      <c r="BE5" s="6">
        <f>Data!AO5</f>
        <v>19056003341.643501</v>
      </c>
      <c r="BF5" s="6">
        <f>Data!AP5</f>
        <v>6414544564.9356499</v>
      </c>
      <c r="BG5" s="6">
        <f>Data!AR5</f>
        <v>640606600.97035599</v>
      </c>
      <c r="BH5" s="6">
        <f>Data!AS5</f>
        <v>640606600.97035599</v>
      </c>
      <c r="BI5" s="8">
        <f t="shared" si="0"/>
        <v>0.96747630161551834</v>
      </c>
      <c r="BJ5" s="8">
        <f t="shared" si="1"/>
        <v>0.90920015944292087</v>
      </c>
      <c r="BK5" s="13">
        <f>BB5*'Useful Constants'!$B$5/'Useful Constants'!$B$6*'Useful Constants'!$B$7</f>
        <v>1.5829535975970002</v>
      </c>
      <c r="BL5" s="52">
        <f>1-VLOOKUP($G5,'Useful Constants'!$A$17:$X$23,10,FALSE)</f>
        <v>0</v>
      </c>
      <c r="BM5" s="52">
        <f>1-VLOOKUP($G5,'Useful Constants'!$A$17:$X$23,12,FALSE)</f>
        <v>0</v>
      </c>
      <c r="BN5" s="52">
        <f>1-VLOOKUP($G5,'Useful Constants'!$A$17:$X$23,14,FALSE)</f>
        <v>0</v>
      </c>
      <c r="BO5" s="52">
        <f>1-VLOOKUP($G5,'Useful Constants'!$A$17:$X$23,16,FALSE)</f>
        <v>0</v>
      </c>
      <c r="BP5" s="52">
        <f>1-VLOOKUP($G5,'Useful Constants'!$A$17:$X$23,18,FALSE)</f>
        <v>0</v>
      </c>
      <c r="BQ5" s="52">
        <f>1-VLOOKUP($G5,'Useful Constants'!$A$17:$X$23,20, FALSE)</f>
        <v>0</v>
      </c>
      <c r="BR5" s="52">
        <f>1-VLOOKUP($G5,'Useful Constants'!$A$17:$X$23,22, FALSE)</f>
        <v>0</v>
      </c>
      <c r="BS5" s="52">
        <f>1-VLOOKUP($G5,'Useful Constants'!$A$17:$X$23,24, FALSE)</f>
        <v>0</v>
      </c>
      <c r="BT5" s="13">
        <f t="shared" si="2"/>
        <v>0</v>
      </c>
      <c r="BU5" s="13">
        <f t="shared" si="3"/>
        <v>0</v>
      </c>
      <c r="BV5" s="13">
        <f t="shared" si="4"/>
        <v>0</v>
      </c>
      <c r="BW5" s="13">
        <f t="shared" si="5"/>
        <v>0</v>
      </c>
      <c r="BX5" s="13">
        <f t="shared" si="6"/>
        <v>0</v>
      </c>
      <c r="BY5" s="13">
        <f t="shared" si="7"/>
        <v>0</v>
      </c>
      <c r="BZ5" s="13">
        <f t="shared" si="8"/>
        <v>0</v>
      </c>
      <c r="CA5" s="13">
        <f t="shared" si="9"/>
        <v>0</v>
      </c>
      <c r="CB5" s="59">
        <f>+SUM(Data!BM5:BS5)*2+Data!BT5</f>
        <v>1272.787057027318</v>
      </c>
      <c r="CC5" s="59">
        <f>+SUM(Data!BN5:BT5)*2+Data!BU5</f>
        <v>1246.2260370471708</v>
      </c>
      <c r="CD5" s="59">
        <f>+SUM(Data!BO5:BU5)*2+Data!BV5</f>
        <v>1091.5944165494716</v>
      </c>
      <c r="CE5" s="59">
        <f>+SUM(Data!BP5:BV5)*2+Data!BW5</f>
        <v>965.04208271646462</v>
      </c>
      <c r="CF5" s="59">
        <f>+SUM(Data!BQ5:BW5)*2+Data!BX5</f>
        <v>915.9115709434285</v>
      </c>
      <c r="CG5" s="59">
        <f>+SUM(Data!BR5:BX5)*2+Data!BY5</f>
        <v>951.5454753209392</v>
      </c>
      <c r="CH5" s="59">
        <f>+SUM(Data!BS5:BY5)*2+Data!BZ5</f>
        <v>909.62237317257802</v>
      </c>
      <c r="CI5" s="59">
        <f>+SUM(Data!BT5:BZ5)*2+Data!CA5</f>
        <v>862.19969337253724</v>
      </c>
      <c r="CJ5" s="13">
        <f>+SUM(Data!AW5:BC5)*2+Data!BD5</f>
        <v>8342.4866253186265</v>
      </c>
      <c r="CK5" s="13">
        <f>+SUM(Data!AX5:BD5)*2+Data!BE5</f>
        <v>8169.0809395737742</v>
      </c>
      <c r="CL5" s="13">
        <f>+SUM(Data!AY5:BE5)*2+Data!BF5</f>
        <v>7122.7223342528596</v>
      </c>
      <c r="CM5" s="13">
        <f>+SUM(Data!AZ5:BF5)*2+Data!BG5</f>
        <v>6253.5284737291358</v>
      </c>
      <c r="CN5" s="13">
        <f>+SUM(Data!BA5:BG5)*2+Data!BH5</f>
        <v>5914.8204589764582</v>
      </c>
      <c r="CO5" s="13">
        <f>+SUM(Data!BB5:BH5)*2+Data!BI5</f>
        <v>6137.945711056218</v>
      </c>
      <c r="CP5" s="13">
        <f>+SUM(Data!BC5:BI5)*2+Data!BJ5</f>
        <v>5850.0014949725391</v>
      </c>
      <c r="CQ5" s="13">
        <f>+SUM(Data!BD5:BJ5)*2+Data!BK5</f>
        <v>5549.6148162977934</v>
      </c>
      <c r="CR5" s="59">
        <f>+SUM(Data!CC5:CI5)*2+Data!CJ5</f>
        <v>871.42200818063679</v>
      </c>
      <c r="CS5" s="59">
        <f>+SUM(Data!CD5:CJ5)*2+Data!CK5</f>
        <v>860.67826704363461</v>
      </c>
      <c r="CT5" s="59">
        <f>+SUM(Data!CE5:CK5)*2+Data!CL5</f>
        <v>746.18867917764931</v>
      </c>
      <c r="CU5" s="59">
        <f>+SUM(Data!CF5:CL5)*2+Data!CM5</f>
        <v>664.24589004992299</v>
      </c>
      <c r="CV5" s="59">
        <f>+SUM(Data!CG5:CM5)*2+Data!CN5</f>
        <v>622.234162565058</v>
      </c>
      <c r="CW5" s="59">
        <f>+SUM(Data!CH5:CN5)*2+Data!CO5</f>
        <v>638.27022568443829</v>
      </c>
      <c r="CX5" s="59">
        <f>+SUM(Data!CI5:CO5)*2+Data!CP5</f>
        <v>602.79728641671045</v>
      </c>
      <c r="CY5" s="59">
        <f>+SUM(Data!CJ5:CP5)*2+Data!CQ5</f>
        <v>578.78422634047206</v>
      </c>
      <c r="CZ5" s="60">
        <f t="shared" si="10"/>
        <v>10486.695690526582</v>
      </c>
      <c r="DA5" s="60">
        <f t="shared" si="11"/>
        <v>10275.98524366458</v>
      </c>
      <c r="DB5" s="60">
        <f t="shared" si="12"/>
        <v>8960.5054299799795</v>
      </c>
      <c r="DC5" s="60">
        <f t="shared" si="13"/>
        <v>7882.8164464955235</v>
      </c>
      <c r="DD5" s="60">
        <f t="shared" si="14"/>
        <v>7452.9661924849443</v>
      </c>
      <c r="DE5" s="60">
        <f t="shared" si="15"/>
        <v>7727.7614120615963</v>
      </c>
      <c r="DF5" s="60">
        <f t="shared" si="16"/>
        <v>7362.4211545618273</v>
      </c>
      <c r="DG5" s="60">
        <f t="shared" si="17"/>
        <v>6990.598736010802</v>
      </c>
      <c r="DH5" s="13">
        <f t="shared" si="18"/>
        <v>0</v>
      </c>
      <c r="DI5" s="13">
        <f t="shared" si="19"/>
        <v>0</v>
      </c>
      <c r="DJ5" s="13">
        <f t="shared" si="20"/>
        <v>0</v>
      </c>
      <c r="DK5" s="13">
        <f t="shared" si="21"/>
        <v>0</v>
      </c>
      <c r="DL5" s="13">
        <f t="shared" si="22"/>
        <v>0</v>
      </c>
      <c r="DM5" s="13">
        <f t="shared" si="23"/>
        <v>0</v>
      </c>
      <c r="DN5" s="13">
        <f t="shared" si="24"/>
        <v>0</v>
      </c>
      <c r="DO5" s="13">
        <f t="shared" si="25"/>
        <v>0</v>
      </c>
      <c r="DP5" s="50">
        <f>DH5*'Useful Constants'!$B$8</f>
        <v>0</v>
      </c>
      <c r="DQ5" s="50">
        <f>DI5*'Useful Constants'!$B$8</f>
        <v>0</v>
      </c>
      <c r="DR5" s="50">
        <f>DJ5*'Useful Constants'!$B$10</f>
        <v>0</v>
      </c>
      <c r="DS5" s="50">
        <f>DK5*'Useful Constants'!$B$10</f>
        <v>0</v>
      </c>
      <c r="DT5" s="50">
        <f>DL5*'Useful Constants'!$B$10</f>
        <v>0</v>
      </c>
      <c r="DU5" s="50">
        <f>DM5*'Useful Constants'!$B$10</f>
        <v>0</v>
      </c>
      <c r="DV5" s="50">
        <f>DN5*'Useful Constants'!$B$10</f>
        <v>0</v>
      </c>
      <c r="DW5" s="50">
        <f>DO5*'Useful Constants'!$B$10</f>
        <v>0</v>
      </c>
      <c r="DX5" s="14">
        <f>DH5*'Useful Constants'!$B$9</f>
        <v>0</v>
      </c>
      <c r="DY5" s="14">
        <f>DI5*'Useful Constants'!$B$9</f>
        <v>0</v>
      </c>
      <c r="DZ5" s="14">
        <f>DJ5*'Useful Constants'!$B$11</f>
        <v>0</v>
      </c>
      <c r="EA5" s="14">
        <f>DK5*'Useful Constants'!$B$11</f>
        <v>0</v>
      </c>
      <c r="EB5" s="14">
        <f>DL5*'Useful Constants'!$B$11</f>
        <v>0</v>
      </c>
      <c r="EC5" s="14">
        <f>DM5*'Useful Constants'!$B$11</f>
        <v>0</v>
      </c>
      <c r="ED5" s="14">
        <f>DN5*'Useful Constants'!$B$11</f>
        <v>0</v>
      </c>
      <c r="EE5" s="14">
        <f>DO5*'Useful Constants'!$B$11</f>
        <v>0</v>
      </c>
      <c r="EF5" s="78">
        <f>(SUM(Data!DI5:DO5)*2+Data!DP5)/('Useful Constants'!$B$1*1000000)*$K5/100</f>
        <v>10.91508081316001</v>
      </c>
      <c r="EG5" s="78">
        <f>(SUM(Data!DJ5:DP5)*2+Data!DQ5)/('Useful Constants'!$B$1*1000000)*$K5/100</f>
        <v>7.9166804944674842</v>
      </c>
      <c r="EH5" s="78">
        <f>(SUM(Data!DK5:DQ5)*2+Data!DR5)/('Useful Constants'!$B$1*1000000)*$K5/100</f>
        <v>5.35634959470858</v>
      </c>
      <c r="EI5" s="78">
        <f>(SUM(Data!DL5:DR5)*2+Data!DS5)/('Useful Constants'!$B$1*1000000)*$K5/100</f>
        <v>3.5322709437257731</v>
      </c>
      <c r="EJ5" s="78">
        <f>(SUM(Data!DM5:DS5)*2+Data!DT5)/('Useful Constants'!$B$1*1000000)*$K5/100</f>
        <v>2.5531117690253682</v>
      </c>
      <c r="EK5" s="78">
        <f>(SUM(Data!DN5:DT5)*2+Data!DU5)/('Useful Constants'!$B$1*1000000)*$K5/100</f>
        <v>1.7595737480030642</v>
      </c>
      <c r="EL5" s="78">
        <f>(SUM(Data!DO5:DU5)*2+Data!DV5)/('Useful Constants'!$B$1*1000000)*$K5/100</f>
        <v>1.0159095837950318</v>
      </c>
      <c r="EM5" s="78">
        <f>(SUM(Data!DP5:DV5)*2+Data!DW5)/('Useful Constants'!$B$1*1000000)*$K5/100</f>
        <v>0.72919358103447007</v>
      </c>
      <c r="EN5" s="79">
        <f>EF5*'Useful Constants'!$B$3</f>
        <v>916.86678830544088</v>
      </c>
      <c r="EO5" s="79">
        <f>EG5*'Useful Constants'!$B$3</f>
        <v>665.00116153526869</v>
      </c>
      <c r="EP5" s="79">
        <f>EH5*'Useful Constants'!$B$3</f>
        <v>449.93336595552074</v>
      </c>
      <c r="EQ5" s="79">
        <f>EI5*'Useful Constants'!$B$3</f>
        <v>296.71075927296494</v>
      </c>
      <c r="ER5" s="79">
        <f>EJ5*'Useful Constants'!$B$3</f>
        <v>214.46138859813092</v>
      </c>
      <c r="ES5" s="79">
        <f>EK5*'Useful Constants'!$B$3</f>
        <v>147.80419483225739</v>
      </c>
      <c r="ET5" s="79">
        <f>EL5*'Useful Constants'!$B$3</f>
        <v>85.336405038782672</v>
      </c>
      <c r="EU5" s="79">
        <f>EM5*'Useful Constants'!$B$3</f>
        <v>61.252260806895485</v>
      </c>
      <c r="EV5" s="78">
        <f>EF5*'Useful Constants'!$B$4</f>
        <v>305.62226276848025</v>
      </c>
      <c r="EW5" s="78">
        <f>EG5*'Useful Constants'!$B$4</f>
        <v>221.66705384508955</v>
      </c>
      <c r="EX5" s="78">
        <f>EH5*'Useful Constants'!$B$4</f>
        <v>149.97778865184023</v>
      </c>
      <c r="EY5" s="78">
        <f>EI5*'Useful Constants'!$B$4</f>
        <v>98.903586424321645</v>
      </c>
      <c r="EZ5" s="78">
        <f>EJ5*'Useful Constants'!$B$4</f>
        <v>71.487129532710313</v>
      </c>
      <c r="FA5" s="78">
        <f>EK5*'Useful Constants'!$B$4</f>
        <v>49.268064944085801</v>
      </c>
      <c r="FB5" s="78">
        <f>EL5*'Useful Constants'!$B$4</f>
        <v>28.445468346260892</v>
      </c>
      <c r="FC5" s="78">
        <f>EM5*'Useful Constants'!$B$4</f>
        <v>20.417420268965163</v>
      </c>
      <c r="FD5" s="40">
        <f t="shared" si="26"/>
        <v>0.35704197865242981</v>
      </c>
      <c r="FE5" s="40">
        <f t="shared" si="27"/>
        <v>0.3697438327961694</v>
      </c>
      <c r="FF5" s="40">
        <f t="shared" si="28"/>
        <v>0.44932360160216472</v>
      </c>
      <c r="FG5" s="40">
        <f t="shared" si="29"/>
        <v>0.5147508824187057</v>
      </c>
      <c r="FH5" s="40">
        <f t="shared" si="30"/>
        <v>0.54091750302513453</v>
      </c>
      <c r="FI5" s="40">
        <f t="shared" si="31"/>
        <v>0.52421040362331128</v>
      </c>
      <c r="FJ5" s="40">
        <f t="shared" si="32"/>
        <v>0.5464581190264175</v>
      </c>
      <c r="FK5" s="40">
        <f t="shared" si="33"/>
        <v>0.56909968309752845</v>
      </c>
      <c r="FL5" s="4">
        <f t="shared" si="34"/>
        <v>0.54215592181177674</v>
      </c>
      <c r="FM5" s="4">
        <f t="shared" si="35"/>
        <v>0.56051363059426318</v>
      </c>
      <c r="FN5" s="4">
        <f t="shared" si="36"/>
        <v>0.62141296580261784</v>
      </c>
      <c r="FO5" s="4">
        <f t="shared" si="37"/>
        <v>0.67052419344043668</v>
      </c>
      <c r="FP5" s="4">
        <f t="shared" si="38"/>
        <v>0.69099497573141455</v>
      </c>
      <c r="FQ5" s="4">
        <f t="shared" si="39"/>
        <v>0.68268021533366574</v>
      </c>
      <c r="FR5" s="4">
        <f t="shared" si="40"/>
        <v>0.69979147509680695</v>
      </c>
      <c r="FS5" s="4">
        <f t="shared" si="41"/>
        <v>0.71562889162447185</v>
      </c>
      <c r="FT5" s="38">
        <f t="shared" si="42"/>
        <v>0.43718920695267482</v>
      </c>
      <c r="FU5" s="38">
        <f t="shared" si="43"/>
        <v>0.45233312148683325</v>
      </c>
      <c r="FV5" s="38">
        <f t="shared" si="44"/>
        <v>0.52384542350155927</v>
      </c>
      <c r="FW5" s="38">
        <f t="shared" si="45"/>
        <v>0.58222302192003317</v>
      </c>
      <c r="FX5" s="38">
        <f t="shared" si="46"/>
        <v>0.60592742619323114</v>
      </c>
      <c r="FY5" s="38">
        <f t="shared" si="47"/>
        <v>0.59284673559454149</v>
      </c>
      <c r="FZ5" s="38">
        <f t="shared" si="48"/>
        <v>0.61287438306095909</v>
      </c>
      <c r="GA5" s="38">
        <f t="shared" si="49"/>
        <v>0.63257543155330764</v>
      </c>
    </row>
    <row r="6" spans="1:183" x14ac:dyDescent="0.25">
      <c r="A6" s="1" t="str">
        <f>Data!A6</f>
        <v>AZ_FLAGSTAFF-PULLIAM-AP_723755_TY3A</v>
      </c>
      <c r="B6" s="1" t="str">
        <f>TY3A_REP_CITIES!B6</f>
        <v>Flagstaff</v>
      </c>
      <c r="C6" s="1" t="str">
        <f>TY3A_REP_CITIES!C6</f>
        <v>Coconino</v>
      </c>
      <c r="D6" s="2" t="str">
        <f>TY3A_REP_CITIES!A6</f>
        <v>AZ</v>
      </c>
      <c r="E6" s="42">
        <f>TY3A_REP_CITIES!E6</f>
        <v>143476</v>
      </c>
      <c r="F6" s="2">
        <f>TY3A_REP_CITIES!G6</f>
        <v>5</v>
      </c>
      <c r="G6" s="2" t="str">
        <f>TY3A_REP_CITIES!H6</f>
        <v>Cold</v>
      </c>
      <c r="H6" s="2" t="str">
        <f>TY3A_REP_CITIES!I6</f>
        <v>Southwest</v>
      </c>
      <c r="I6" s="2">
        <f>Data!B6</f>
        <v>35.14</v>
      </c>
      <c r="J6" s="2">
        <f>Data!C6</f>
        <v>-111.67</v>
      </c>
      <c r="K6" s="2">
        <f>VLOOKUP(D6,Table1[],2,FALSE)</f>
        <v>3.4</v>
      </c>
      <c r="L6" s="2">
        <v>0.5</v>
      </c>
      <c r="M6" s="10">
        <f>Data!N6</f>
        <v>4149.4032299999999</v>
      </c>
      <c r="N6" s="10">
        <f>Data!Q6</f>
        <v>29308</v>
      </c>
      <c r="O6" s="10">
        <f>Data!O6</f>
        <v>45784971061.953903</v>
      </c>
      <c r="P6" s="10">
        <f>Data!P6</f>
        <v>47692678189.535416</v>
      </c>
      <c r="Q6" s="10">
        <f>Data!S6*15</f>
        <v>35984.792361572749</v>
      </c>
      <c r="R6" s="48">
        <f>SUM(Data!U6:AA6)*2+Data!AB6</f>
        <v>460.9372843803385</v>
      </c>
      <c r="S6" s="48">
        <f>SUM(Data!V6:AB6)*2+Data!AC6</f>
        <v>378.80712427620017</v>
      </c>
      <c r="T6" s="48">
        <f>SUM(Data!W6:AC6)*2+Data!AD6</f>
        <v>347.86917091482741</v>
      </c>
      <c r="U6" s="48">
        <f>SUM(Data!X6:AD6)*2+Data!AE6</f>
        <v>331.79746591823772</v>
      </c>
      <c r="V6" s="48">
        <f>SUM(Data!Y6:AE6)*2+Data!AF6</f>
        <v>325.54153459948321</v>
      </c>
      <c r="W6" s="48">
        <f>SUM(Data!Z6:AF6)*2+Data!AG6</f>
        <v>314.32855986886665</v>
      </c>
      <c r="X6" s="48">
        <f>SUM(Data!AA6:AG6)*2+Data!AH6</f>
        <v>302.38650309109073</v>
      </c>
      <c r="Y6" s="48">
        <f>SUM(Data!AB6:AH6)*2+Data!AI6</f>
        <v>326.57623272271292</v>
      </c>
      <c r="Z6" s="80">
        <f>(SUM(Data!CS6:CY6)*2+Data!CZ6)/('Useful Constants'!$B$1*1000000)*$K6/100</f>
        <v>0.56624338056792467</v>
      </c>
      <c r="AA6" s="80">
        <f>(SUM(Data!CT6:CZ6)*2+Data!DA6)/('Useful Constants'!$B$1*1000000)*$K6/100</f>
        <v>0.44725634250177776</v>
      </c>
      <c r="AB6" s="80">
        <f>(SUM(Data!CU6:DA6)*2+Data!DB6)/('Useful Constants'!$B$1*1000000)*$K6/100</f>
        <v>0.35725318273374179</v>
      </c>
      <c r="AC6" s="80">
        <f>(SUM(Data!CV6:DB6)*2+Data!DC6)/('Useful Constants'!$B$1*1000000)*$K6/100</f>
        <v>0.26348177411587304</v>
      </c>
      <c r="AD6" s="80">
        <f>(SUM(Data!CW6:DC6)*2+Data!DD6)/('Useful Constants'!$B$1*1000000)*$K6/100</f>
        <v>0.21148895574491461</v>
      </c>
      <c r="AE6" s="80">
        <f>(SUM(Data!CX6:DD6)*2+Data!DE6)/('Useful Constants'!$B$1*1000000)*$K6/100</f>
        <v>0.1728519527325271</v>
      </c>
      <c r="AF6" s="80">
        <f>(SUM(Data!CY6:DE6)*2+Data!DF6)/('Useful Constants'!$B$1*1000000)*$K6/100</f>
        <v>0.1452069982753183</v>
      </c>
      <c r="AG6" s="80">
        <f>(SUM(Data!CZ6:DF6)*2+Data!DG6)/('Useful Constants'!$B$1*1000000)*$K6/100</f>
        <v>0.11630342325441705</v>
      </c>
      <c r="AH6" s="48">
        <f>Z6*'Useful Constants'!$B$3</f>
        <v>47.564443967705671</v>
      </c>
      <c r="AI6" s="48">
        <f>AA6*'Useful Constants'!$B$3</f>
        <v>37.56953277014933</v>
      </c>
      <c r="AJ6" s="48">
        <f>AB6*'Useful Constants'!$B$3</f>
        <v>30.00926734963431</v>
      </c>
      <c r="AK6" s="48">
        <f>AC6*'Useful Constants'!$B$3</f>
        <v>22.132469025733336</v>
      </c>
      <c r="AL6" s="48">
        <f>AD6*'Useful Constants'!$B$3</f>
        <v>17.765072282572827</v>
      </c>
      <c r="AM6" s="48">
        <f>AE6*'Useful Constants'!$B$3</f>
        <v>14.519564029532276</v>
      </c>
      <c r="AN6" s="48">
        <f>AF6*'Useful Constants'!$B$3</f>
        <v>12.197387855126737</v>
      </c>
      <c r="AO6" s="48">
        <f>AG6*'Useful Constants'!$B$3</f>
        <v>9.7694875533710324</v>
      </c>
      <c r="AP6" s="10">
        <f>Z6*'Useful Constants'!$B$4</f>
        <v>15.85481465590189</v>
      </c>
      <c r="AQ6" s="10">
        <f>AA6*'Useful Constants'!$B$4</f>
        <v>12.523177590049777</v>
      </c>
      <c r="AR6" s="10">
        <f>AB6*'Useful Constants'!$B$4</f>
        <v>10.00308911654477</v>
      </c>
      <c r="AS6" s="10">
        <f>AC6*'Useful Constants'!$B$4</f>
        <v>7.377489675244445</v>
      </c>
      <c r="AT6" s="10">
        <f>AD6*'Useful Constants'!$B$4</f>
        <v>5.9216907608576088</v>
      </c>
      <c r="AU6" s="10">
        <f>AE6*'Useful Constants'!$B$4</f>
        <v>4.8398546765107584</v>
      </c>
      <c r="AV6" s="10">
        <f>AF6*'Useful Constants'!$B$4</f>
        <v>4.0657959517089122</v>
      </c>
      <c r="AW6" s="10">
        <f>AG6*'Useful Constants'!$B$4</f>
        <v>3.2564958511236775</v>
      </c>
      <c r="AX6" s="48">
        <f>P6/1000000/'Useful Constants'!$B$1*K6/100*'Useful Constants'!$B$3*15</f>
        <v>40863.086672793943</v>
      </c>
      <c r="AY6" s="48">
        <f>P6/1000000/'Useful Constants'!$B$1*L6/100*'Useful Constants'!$B$3*15</f>
        <v>6009.2774518814631</v>
      </c>
      <c r="AZ6" s="48">
        <f>P6/1000000/'Useful Constants'!$B$1*K6/100*'Useful Constants'!$B$4*15</f>
        <v>13621.028890931313</v>
      </c>
      <c r="BA6" s="48">
        <f>P6/1000000/'Useful Constants'!$B$1*L6/100*'Useful Constants'!$B$4*15</f>
        <v>2003.0924839604872</v>
      </c>
      <c r="BB6" s="7">
        <f>Data!AN6</f>
        <v>4149.4032299999999</v>
      </c>
      <c r="BC6" s="7">
        <f>Data!AQ6</f>
        <v>4149.4032299999999</v>
      </c>
      <c r="BD6" s="7">
        <f>Data!AT6</f>
        <v>7024.4732999999997</v>
      </c>
      <c r="BE6" s="6">
        <f>Data!AO6</f>
        <v>38399707545.678299</v>
      </c>
      <c r="BF6" s="6">
        <f>Data!AP6</f>
        <v>13192091192.5879</v>
      </c>
      <c r="BG6" s="6">
        <f>Data!AR6</f>
        <v>4976206977.3710203</v>
      </c>
      <c r="BH6" s="6">
        <f>Data!AS6</f>
        <v>4976206977.3710203</v>
      </c>
      <c r="BI6" s="8">
        <f t="shared" si="0"/>
        <v>0.88527718592015536</v>
      </c>
      <c r="BJ6" s="8">
        <f t="shared" si="1"/>
        <v>0.72610494770505674</v>
      </c>
      <c r="BK6" s="13">
        <f>BB6*'Useful Constants'!$B$5/'Useful Constants'!$B$6*'Useful Constants'!$B$7</f>
        <v>1.061832286557</v>
      </c>
      <c r="BL6" s="52">
        <f>1-VLOOKUP($G6,'Useful Constants'!$A$17:$X$23,10,FALSE)</f>
        <v>6.6471999999999865E-2</v>
      </c>
      <c r="BM6" s="52">
        <f>1-VLOOKUP($G6,'Useful Constants'!$A$17:$X$23,12,FALSE)</f>
        <v>4.945672000000001E-2</v>
      </c>
      <c r="BN6" s="52">
        <f>1-VLOOKUP($G6,'Useful Constants'!$A$17:$X$23,14,FALSE)</f>
        <v>3.4455679999999989E-2</v>
      </c>
      <c r="BO6" s="52">
        <f>1-VLOOKUP($G6,'Useful Constants'!$A$17:$X$23,16,FALSE)</f>
        <v>2.1468880000000024E-2</v>
      </c>
      <c r="BP6" s="52">
        <f>1-VLOOKUP($G6,'Useful Constants'!$A$17:$X$23,18,FALSE)</f>
        <v>0</v>
      </c>
      <c r="BQ6" s="52">
        <f>1-VLOOKUP($G6,'Useful Constants'!$A$17:$X$23,20, FALSE)</f>
        <v>0</v>
      </c>
      <c r="BR6" s="52">
        <f>1-VLOOKUP($G6,'Useful Constants'!$A$17:$X$23,22, FALSE)</f>
        <v>0</v>
      </c>
      <c r="BS6" s="52">
        <f>1-VLOOKUP($G6,'Useful Constants'!$A$17:$X$23,24, FALSE)</f>
        <v>0</v>
      </c>
      <c r="BT6" s="13">
        <f t="shared" si="2"/>
        <v>7.0582115752016755E-2</v>
      </c>
      <c r="BU6" s="13">
        <f t="shared" si="3"/>
        <v>5.2514742083209325E-2</v>
      </c>
      <c r="BV6" s="13">
        <f t="shared" si="4"/>
        <v>3.6586153479276282E-2</v>
      </c>
      <c r="BW6" s="13">
        <f t="shared" si="5"/>
        <v>2.2796349940217873E-2</v>
      </c>
      <c r="BX6" s="13">
        <f t="shared" si="6"/>
        <v>0</v>
      </c>
      <c r="BY6" s="13">
        <f t="shared" si="7"/>
        <v>0</v>
      </c>
      <c r="BZ6" s="13">
        <f t="shared" si="8"/>
        <v>0</v>
      </c>
      <c r="CA6" s="13">
        <f t="shared" si="9"/>
        <v>0</v>
      </c>
      <c r="CB6" s="59">
        <f>+SUM(Data!BM6:BS6)*2+Data!BT6</f>
        <v>3263.7817799509203</v>
      </c>
      <c r="CC6" s="59">
        <f>+SUM(Data!BN6:BT6)*2+Data!BU6</f>
        <v>2684.0153323736304</v>
      </c>
      <c r="CD6" s="59">
        <f>+SUM(Data!BO6:BU6)*2+Data!BV6</f>
        <v>2464.3681924075213</v>
      </c>
      <c r="CE6" s="59">
        <f>+SUM(Data!BP6:BV6)*2+Data!BW6</f>
        <v>2350.2171238419901</v>
      </c>
      <c r="CF6" s="59">
        <f>+SUM(Data!BQ6:BW6)*2+Data!BX6</f>
        <v>2306.305282809773</v>
      </c>
      <c r="CG6" s="59">
        <f>+SUM(Data!BR6:BX6)*2+Data!BY6</f>
        <v>2227.2317664327725</v>
      </c>
      <c r="CH6" s="59">
        <f>+SUM(Data!BS6:BY6)*2+Data!BZ6</f>
        <v>2140.9926789146111</v>
      </c>
      <c r="CI6" s="59">
        <f>+SUM(Data!BT6:BZ6)*2+Data!CA6</f>
        <v>2313.4523936071369</v>
      </c>
      <c r="CJ6" s="13">
        <f>+SUM(Data!AW6:BC6)*2+Data!BD6</f>
        <v>14787.55610547361</v>
      </c>
      <c r="CK6" s="13">
        <f>+SUM(Data!AX6:BD6)*2+Data!BE6</f>
        <v>12159.29838362354</v>
      </c>
      <c r="CL6" s="13">
        <f>+SUM(Data!AY6:BE6)*2+Data!BF6</f>
        <v>11157.28216778509</v>
      </c>
      <c r="CM6" s="13">
        <f>+SUM(Data!AZ6:BF6)*2+Data!BG6</f>
        <v>10599.547552697821</v>
      </c>
      <c r="CN6" s="13">
        <f>+SUM(Data!BA6:BG6)*2+Data!BH6</f>
        <v>10412.773291765598</v>
      </c>
      <c r="CO6" s="13">
        <f>+SUM(Data!BB6:BH6)*2+Data!BI6</f>
        <v>10060.279468535316</v>
      </c>
      <c r="CP6" s="13">
        <f>+SUM(Data!BC6:BI6)*2+Data!BJ6</f>
        <v>9691.0193752296836</v>
      </c>
      <c r="CQ6" s="13">
        <f>+SUM(Data!BD6:BJ6)*2+Data!BK6</f>
        <v>10504.720568022112</v>
      </c>
      <c r="CR6" s="59">
        <f>+SUM(Data!CC6:CI6)*2+Data!CJ6</f>
        <v>5798.0317158327452</v>
      </c>
      <c r="CS6" s="59">
        <f>+SUM(Data!CD6:CJ6)*2+Data!CK6</f>
        <v>4721.8962249274291</v>
      </c>
      <c r="CT6" s="59">
        <f>+SUM(Data!CE6:CK6)*2+Data!CL6</f>
        <v>4426.3009162080534</v>
      </c>
      <c r="CU6" s="59">
        <f>+SUM(Data!CF6:CL6)*2+Data!CM6</f>
        <v>4163.9965498366919</v>
      </c>
      <c r="CV6" s="59">
        <f>+SUM(Data!CG6:CM6)*2+Data!CN6</f>
        <v>4059.1003332409755</v>
      </c>
      <c r="CW6" s="59">
        <f>+SUM(Data!CH6:CN6)*2+Data!CO6</f>
        <v>3885.1689397416831</v>
      </c>
      <c r="CX6" s="59">
        <f>+SUM(Data!CI6:CO6)*2+Data!CP6</f>
        <v>3842.7771580646395</v>
      </c>
      <c r="CY6" s="59">
        <f>+SUM(Data!CJ6:CP6)*2+Data!CQ6</f>
        <v>4193.683792086219</v>
      </c>
      <c r="CZ6" s="60">
        <f t="shared" si="10"/>
        <v>23849.369601257276</v>
      </c>
      <c r="DA6" s="60">
        <f t="shared" si="11"/>
        <v>19565.2099409246</v>
      </c>
      <c r="DB6" s="60">
        <f t="shared" si="12"/>
        <v>18047.951276400665</v>
      </c>
      <c r="DC6" s="60">
        <f t="shared" si="13"/>
        <v>17113.761226376504</v>
      </c>
      <c r="DD6" s="60">
        <f t="shared" si="14"/>
        <v>16778.178907816346</v>
      </c>
      <c r="DE6" s="60">
        <f t="shared" si="15"/>
        <v>16172.680174709772</v>
      </c>
      <c r="DF6" s="60">
        <f t="shared" si="16"/>
        <v>15674.789212208936</v>
      </c>
      <c r="DG6" s="60">
        <f t="shared" si="17"/>
        <v>17011.856753715467</v>
      </c>
      <c r="DH6" s="13">
        <f t="shared" si="18"/>
        <v>7.2570596296715667E-2</v>
      </c>
      <c r="DI6" s="13">
        <f t="shared" si="19"/>
        <v>5.3994218035860388E-2</v>
      </c>
      <c r="DJ6" s="13">
        <f t="shared" si="20"/>
        <v>3.7616879940558796E-2</v>
      </c>
      <c r="DK6" s="13">
        <f t="shared" si="21"/>
        <v>2.343858201081114E-2</v>
      </c>
      <c r="DL6" s="13">
        <f t="shared" si="22"/>
        <v>0</v>
      </c>
      <c r="DM6" s="13">
        <f t="shared" si="23"/>
        <v>0</v>
      </c>
      <c r="DN6" s="13">
        <f t="shared" si="24"/>
        <v>0</v>
      </c>
      <c r="DO6" s="13">
        <f t="shared" si="25"/>
        <v>0</v>
      </c>
      <c r="DP6" s="50">
        <f>DH6*'Useful Constants'!$B$8</f>
        <v>309.15074022400876</v>
      </c>
      <c r="DQ6" s="50">
        <f>DI6*'Useful Constants'!$B$8</f>
        <v>230.01536883276526</v>
      </c>
      <c r="DR6" s="50">
        <f>DJ6*'Useful Constants'!$B$10</f>
        <v>91.409018255557882</v>
      </c>
      <c r="DS6" s="50">
        <f>DK6*'Useful Constants'!$B$10</f>
        <v>56.955754286271066</v>
      </c>
      <c r="DT6" s="50">
        <f>DL6*'Useful Constants'!$B$10</f>
        <v>0</v>
      </c>
      <c r="DU6" s="50">
        <f>DM6*'Useful Constants'!$B$10</f>
        <v>0</v>
      </c>
      <c r="DV6" s="50">
        <f>DN6*'Useful Constants'!$B$10</f>
        <v>0</v>
      </c>
      <c r="DW6" s="50">
        <f>DO6*'Useful Constants'!$B$10</f>
        <v>0</v>
      </c>
      <c r="DX6" s="14">
        <f>DH6*'Useful Constants'!$B$9</f>
        <v>139.62582727488095</v>
      </c>
      <c r="DY6" s="14">
        <f>DI6*'Useful Constants'!$B$9</f>
        <v>103.88487550099539</v>
      </c>
      <c r="DZ6" s="14">
        <f>DJ6*'Useful Constants'!$B$11</f>
        <v>25.466627719758304</v>
      </c>
      <c r="EA6" s="14">
        <f>DK6*'Useful Constants'!$B$11</f>
        <v>15.867920021319142</v>
      </c>
      <c r="EB6" s="14">
        <f>DL6*'Useful Constants'!$B$11</f>
        <v>0</v>
      </c>
      <c r="EC6" s="14">
        <f>DM6*'Useful Constants'!$B$11</f>
        <v>0</v>
      </c>
      <c r="ED6" s="14">
        <f>DN6*'Useful Constants'!$B$11</f>
        <v>0</v>
      </c>
      <c r="EE6" s="14">
        <f>DO6*'Useful Constants'!$B$11</f>
        <v>0</v>
      </c>
      <c r="EF6" s="78">
        <f>(SUM(Data!DI6:DO6)*2+Data!DP6)/('Useful Constants'!$B$1*1000000)*$K6/100</f>
        <v>29.313015633338875</v>
      </c>
      <c r="EG6" s="78">
        <f>(SUM(Data!DJ6:DP6)*2+Data!DQ6)/('Useful Constants'!$B$1*1000000)*$K6/100</f>
        <v>23.358263421834366</v>
      </c>
      <c r="EH6" s="78">
        <f>(SUM(Data!DK6:DQ6)*2+Data!DR6)/('Useful Constants'!$B$1*1000000)*$K6/100</f>
        <v>18.643165419488522</v>
      </c>
      <c r="EI6" s="78">
        <f>(SUM(Data!DL6:DR6)*2+Data!DS6)/('Useful Constants'!$B$1*1000000)*$K6/100</f>
        <v>13.724571459949635</v>
      </c>
      <c r="EJ6" s="78">
        <f>(SUM(Data!DM6:DS6)*2+Data!DT6)/('Useful Constants'!$B$1*1000000)*$K6/100</f>
        <v>11.055851626573604</v>
      </c>
      <c r="EK6" s="78">
        <f>(SUM(Data!DN6:DT6)*2+Data!DU6)/('Useful Constants'!$B$1*1000000)*$K6/100</f>
        <v>9.0494522745390711</v>
      </c>
      <c r="EL6" s="78">
        <f>(SUM(Data!DO6:DU6)*2+Data!DV6)/('Useful Constants'!$B$1*1000000)*$K6/100</f>
        <v>7.6247187182040044</v>
      </c>
      <c r="EM6" s="78">
        <f>(SUM(Data!DP6:DV6)*2+Data!DW6)/('Useful Constants'!$B$1*1000000)*$K6/100</f>
        <v>6.0727309128940536</v>
      </c>
      <c r="EN6" s="79">
        <f>EF6*'Useful Constants'!$B$3</f>
        <v>2462.2933132004655</v>
      </c>
      <c r="EO6" s="79">
        <f>EG6*'Useful Constants'!$B$3</f>
        <v>1962.0941274340867</v>
      </c>
      <c r="EP6" s="79">
        <f>EH6*'Useful Constants'!$B$3</f>
        <v>1566.0258952370359</v>
      </c>
      <c r="EQ6" s="79">
        <f>EI6*'Useful Constants'!$B$3</f>
        <v>1152.8640026357693</v>
      </c>
      <c r="ER6" s="79">
        <f>EJ6*'Useful Constants'!$B$3</f>
        <v>928.69153663218276</v>
      </c>
      <c r="ES6" s="79">
        <f>EK6*'Useful Constants'!$B$3</f>
        <v>760.153991061282</v>
      </c>
      <c r="ET6" s="79">
        <f>EL6*'Useful Constants'!$B$3</f>
        <v>640.47637232913632</v>
      </c>
      <c r="EU6" s="79">
        <f>EM6*'Useful Constants'!$B$3</f>
        <v>510.1093966831005</v>
      </c>
      <c r="EV6" s="78">
        <f>EF6*'Useful Constants'!$B$4</f>
        <v>820.76443773348853</v>
      </c>
      <c r="EW6" s="78">
        <f>EG6*'Useful Constants'!$B$4</f>
        <v>654.0313758113623</v>
      </c>
      <c r="EX6" s="78">
        <f>EH6*'Useful Constants'!$B$4</f>
        <v>522.0086317456786</v>
      </c>
      <c r="EY6" s="78">
        <f>EI6*'Useful Constants'!$B$4</f>
        <v>384.2880008785898</v>
      </c>
      <c r="EZ6" s="78">
        <f>EJ6*'Useful Constants'!$B$4</f>
        <v>309.56384554406094</v>
      </c>
      <c r="FA6" s="78">
        <f>EK6*'Useful Constants'!$B$4</f>
        <v>253.38466368709399</v>
      </c>
      <c r="FB6" s="78">
        <f>EL6*'Useful Constants'!$B$4</f>
        <v>213.49212410971211</v>
      </c>
      <c r="FC6" s="78">
        <f>EM6*'Useful Constants'!$B$4</f>
        <v>170.03646556103351</v>
      </c>
      <c r="FD6" s="40">
        <f t="shared" si="26"/>
        <v>0.34561964233015435</v>
      </c>
      <c r="FE6" s="40">
        <f t="shared" si="27"/>
        <v>0.46195618097327013</v>
      </c>
      <c r="FF6" s="40">
        <f t="shared" si="28"/>
        <v>0.50325821134070436</v>
      </c>
      <c r="FG6" s="40">
        <f t="shared" si="29"/>
        <v>0.52876188795067691</v>
      </c>
      <c r="FH6" s="40">
        <f t="shared" si="30"/>
        <v>0.53792275896462993</v>
      </c>
      <c r="FI6" s="40">
        <f t="shared" si="31"/>
        <v>0.55446083089145304</v>
      </c>
      <c r="FJ6" s="40">
        <f t="shared" si="32"/>
        <v>0.56803505528304055</v>
      </c>
      <c r="FK6" s="40">
        <f t="shared" si="33"/>
        <v>0.53150053516881102</v>
      </c>
      <c r="FL6" s="4">
        <f t="shared" si="34"/>
        <v>0.6806741022045838</v>
      </c>
      <c r="FM6" s="4">
        <f t="shared" si="35"/>
        <v>0.73872467498464212</v>
      </c>
      <c r="FN6" s="4">
        <f t="shared" si="36"/>
        <v>0.7632561071456937</v>
      </c>
      <c r="FO6" s="4">
        <f t="shared" si="37"/>
        <v>0.7797939941494153</v>
      </c>
      <c r="FP6" s="4">
        <f t="shared" si="38"/>
        <v>0.78717822249825231</v>
      </c>
      <c r="FQ6" s="4">
        <f t="shared" si="39"/>
        <v>0.79644611800834486</v>
      </c>
      <c r="FR6" s="4">
        <f t="shared" si="40"/>
        <v>0.80383642916997666</v>
      </c>
      <c r="FS6" s="4">
        <f t="shared" si="41"/>
        <v>0.78938299644002186</v>
      </c>
      <c r="FT6" s="38">
        <f t="shared" si="42"/>
        <v>0.52367430817543592</v>
      </c>
      <c r="FU6" s="38">
        <f t="shared" si="43"/>
        <v>0.60917248432033844</v>
      </c>
      <c r="FV6" s="38">
        <f t="shared" si="44"/>
        <v>0.64216708462362904</v>
      </c>
      <c r="FW6" s="38">
        <f t="shared" si="45"/>
        <v>0.6628573333833937</v>
      </c>
      <c r="FX6" s="38">
        <f t="shared" si="46"/>
        <v>0.67101234621536254</v>
      </c>
      <c r="FY6" s="38">
        <f t="shared" si="47"/>
        <v>0.6836766512841953</v>
      </c>
      <c r="FZ6" s="38">
        <f t="shared" si="48"/>
        <v>0.69395802149498642</v>
      </c>
      <c r="GA6" s="38">
        <f t="shared" si="49"/>
        <v>0.6691892972264516</v>
      </c>
    </row>
    <row r="7" spans="1:183" x14ac:dyDescent="0.25">
      <c r="A7" s="1" t="str">
        <f>Data!A7</f>
        <v>AZ_KINGMAN_AMOS_723700_TY3A</v>
      </c>
      <c r="B7" s="1" t="str">
        <f>TY3A_REP_CITIES!B7</f>
        <v>Kingman</v>
      </c>
      <c r="C7" s="1" t="str">
        <f>TY3A_REP_CITIES!C7</f>
        <v>Mohave</v>
      </c>
      <c r="D7" s="2" t="str">
        <f>TY3A_REP_CITIES!A7</f>
        <v>AZ</v>
      </c>
      <c r="E7" s="42">
        <f>TY3A_REP_CITIES!E7</f>
        <v>212181</v>
      </c>
      <c r="F7" s="2">
        <f>TY3A_REP_CITIES!G7</f>
        <v>3</v>
      </c>
      <c r="G7" s="2" t="str">
        <f>TY3A_REP_CITIES!H7</f>
        <v>Hot-Dry</v>
      </c>
      <c r="H7" s="2" t="str">
        <f>TY3A_REP_CITIES!I7</f>
        <v>Southwest</v>
      </c>
      <c r="I7" s="2">
        <f>Data!B7</f>
        <v>35.270000000000003</v>
      </c>
      <c r="J7" s="2">
        <f>Data!C7</f>
        <v>-113.95</v>
      </c>
      <c r="K7" s="2">
        <f>VLOOKUP(D7,Table1[],2,FALSE)</f>
        <v>3.4</v>
      </c>
      <c r="L7" s="2">
        <v>0.5</v>
      </c>
      <c r="M7" s="10">
        <f>Data!N7</f>
        <v>5441.8352000000004</v>
      </c>
      <c r="N7" s="10">
        <f>Data!Q7</f>
        <v>29308</v>
      </c>
      <c r="O7" s="10">
        <f>Data!O7</f>
        <v>10457010020.058701</v>
      </c>
      <c r="P7" s="10">
        <f>Data!P7</f>
        <v>10892718770.894501</v>
      </c>
      <c r="Q7" s="10">
        <f>Data!S7*15</f>
        <v>8218.7085754737509</v>
      </c>
      <c r="R7" s="48">
        <f>SUM(Data!U7:AA7)*2+Data!AB7</f>
        <v>136.42840993129093</v>
      </c>
      <c r="S7" s="48">
        <f>SUM(Data!V7:AB7)*2+Data!AC7</f>
        <v>111.10450330419067</v>
      </c>
      <c r="T7" s="48">
        <f>SUM(Data!W7:AC7)*2+Data!AD7</f>
        <v>102.96609699018919</v>
      </c>
      <c r="U7" s="48">
        <f>SUM(Data!X7:AD7)*2+Data!AE7</f>
        <v>97.202356818026246</v>
      </c>
      <c r="V7" s="48">
        <f>SUM(Data!Y7:AE7)*2+Data!AF7</f>
        <v>95.266601184146765</v>
      </c>
      <c r="W7" s="48">
        <f>SUM(Data!Z7:AF7)*2+Data!AG7</f>
        <v>91.152044987660631</v>
      </c>
      <c r="X7" s="48">
        <f>SUM(Data!AA7:AG7)*2+Data!AH7</f>
        <v>88.932547406682986</v>
      </c>
      <c r="Y7" s="48">
        <f>SUM(Data!AB7:AH7)*2+Data!AI7</f>
        <v>97.531880740827106</v>
      </c>
      <c r="Z7" s="80">
        <f>(SUM(Data!CS7:CY7)*2+Data!CZ7)/('Useful Constants'!$B$1*1000000)*$K7/100</f>
        <v>0.15433722842635403</v>
      </c>
      <c r="AA7" s="80">
        <f>(SUM(Data!CT7:CZ7)*2+Data!DA7)/('Useful Constants'!$B$1*1000000)*$K7/100</f>
        <v>0.12135744367243281</v>
      </c>
      <c r="AB7" s="80">
        <f>(SUM(Data!CU7:DA7)*2+Data!DB7)/('Useful Constants'!$B$1*1000000)*$K7/100</f>
        <v>9.6262842634843721E-2</v>
      </c>
      <c r="AC7" s="80">
        <f>(SUM(Data!CV7:DB7)*2+Data!DC7)/('Useful Constants'!$B$1*1000000)*$K7/100</f>
        <v>6.9671357846166168E-2</v>
      </c>
      <c r="AD7" s="80">
        <f>(SUM(Data!CW7:DC7)*2+Data!DD7)/('Useful Constants'!$B$1*1000000)*$K7/100</f>
        <v>5.4474463183965982E-2</v>
      </c>
      <c r="AE7" s="80">
        <f>(SUM(Data!CX7:DD7)*2+Data!DE7)/('Useful Constants'!$B$1*1000000)*$K7/100</f>
        <v>4.4134585956588444E-2</v>
      </c>
      <c r="AF7" s="80">
        <f>(SUM(Data!CY7:DE7)*2+Data!DF7)/('Useful Constants'!$B$1*1000000)*$K7/100</f>
        <v>3.6148853195860073E-2</v>
      </c>
      <c r="AG7" s="80">
        <f>(SUM(Data!CZ7:DF7)*2+Data!DG7)/('Useful Constants'!$B$1*1000000)*$K7/100</f>
        <v>2.7869254962433802E-2</v>
      </c>
      <c r="AH7" s="48">
        <f>Z7*'Useful Constants'!$B$3</f>
        <v>12.964327187813739</v>
      </c>
      <c r="AI7" s="48">
        <f>AA7*'Useful Constants'!$B$3</f>
        <v>10.194025268484356</v>
      </c>
      <c r="AJ7" s="48">
        <f>AB7*'Useful Constants'!$B$3</f>
        <v>8.0860787813268722</v>
      </c>
      <c r="AK7" s="48">
        <f>AC7*'Useful Constants'!$B$3</f>
        <v>5.852394059077958</v>
      </c>
      <c r="AL7" s="48">
        <f>AD7*'Useful Constants'!$B$3</f>
        <v>4.5758549074531425</v>
      </c>
      <c r="AM7" s="48">
        <f>AE7*'Useful Constants'!$B$3</f>
        <v>3.7073052203534291</v>
      </c>
      <c r="AN7" s="48">
        <f>AF7*'Useful Constants'!$B$3</f>
        <v>3.0365036684522462</v>
      </c>
      <c r="AO7" s="48">
        <f>AG7*'Useful Constants'!$B$3</f>
        <v>2.3410174168444393</v>
      </c>
      <c r="AP7" s="10">
        <f>Z7*'Useful Constants'!$B$4</f>
        <v>4.3214423959379129</v>
      </c>
      <c r="AQ7" s="10">
        <f>AA7*'Useful Constants'!$B$4</f>
        <v>3.3980084228281187</v>
      </c>
      <c r="AR7" s="10">
        <f>AB7*'Useful Constants'!$B$4</f>
        <v>2.6953595937756241</v>
      </c>
      <c r="AS7" s="10">
        <f>AC7*'Useful Constants'!$B$4</f>
        <v>1.9507980196926527</v>
      </c>
      <c r="AT7" s="10">
        <f>AD7*'Useful Constants'!$B$4</f>
        <v>1.5252849691510475</v>
      </c>
      <c r="AU7" s="10">
        <f>AE7*'Useful Constants'!$B$4</f>
        <v>1.2357684067844765</v>
      </c>
      <c r="AV7" s="10">
        <f>AF7*'Useful Constants'!$B$4</f>
        <v>1.012167889484082</v>
      </c>
      <c r="AW7" s="10">
        <f>AG7*'Useful Constants'!$B$4</f>
        <v>0.78033913894814644</v>
      </c>
      <c r="AX7" s="48">
        <f>P7/1000000/'Useful Constants'!$B$1*K7/100*'Useful Constants'!$B$3*15</f>
        <v>9332.881442902406</v>
      </c>
      <c r="AY7" s="48">
        <f>P7/1000000/'Useful Constants'!$B$1*L7/100*'Useful Constants'!$B$3*15</f>
        <v>1372.4825651327071</v>
      </c>
      <c r="AZ7" s="48">
        <f>P7/1000000/'Useful Constants'!$B$1*K7/100*'Useful Constants'!$B$4*15</f>
        <v>3110.9604809674688</v>
      </c>
      <c r="BA7" s="48">
        <f>P7/1000000/'Useful Constants'!$B$1*L7/100*'Useful Constants'!$B$4*15</f>
        <v>457.494188377569</v>
      </c>
      <c r="BB7" s="7">
        <f>Data!AN7</f>
        <v>5441.8352000000004</v>
      </c>
      <c r="BC7" s="7">
        <f>Data!AQ7</f>
        <v>5441.8352000000004</v>
      </c>
      <c r="BD7" s="7">
        <f>Data!AT7</f>
        <v>4178.2020899999998</v>
      </c>
      <c r="BE7" s="6">
        <f>Data!AO7</f>
        <v>9821754271.1628094</v>
      </c>
      <c r="BF7" s="6">
        <f>Data!AP7</f>
        <v>2892863397.9410901</v>
      </c>
      <c r="BG7" s="6">
        <f>Data!AR7</f>
        <v>156938791.979846</v>
      </c>
      <c r="BH7" s="6">
        <f>Data!AS7</f>
        <v>156938791.979846</v>
      </c>
      <c r="BI7" s="8">
        <f t="shared" si="0"/>
        <v>0.98427261055262694</v>
      </c>
      <c r="BJ7" s="8">
        <f t="shared" si="1"/>
        <v>0.94854132097534016</v>
      </c>
      <c r="BK7" s="13">
        <f>BB7*'Useful Constants'!$B$5/'Useful Constants'!$B$6*'Useful Constants'!$B$7</f>
        <v>1.39256562768</v>
      </c>
      <c r="BL7" s="52">
        <f>1-VLOOKUP($G7,'Useful Constants'!$A$17:$X$23,10,FALSE)</f>
        <v>0.10654528000000008</v>
      </c>
      <c r="BM7" s="52">
        <f>1-VLOOKUP($G7,'Useful Constants'!$A$17:$X$23,12,FALSE)</f>
        <v>8.5501519999999998E-2</v>
      </c>
      <c r="BN7" s="52">
        <f>1-VLOOKUP($G7,'Useful Constants'!$A$17:$X$23,14,FALSE)</f>
        <v>6.6471999999999865E-2</v>
      </c>
      <c r="BO7" s="52">
        <f>1-VLOOKUP($G7,'Useful Constants'!$A$17:$X$23,16,FALSE)</f>
        <v>4.945672000000001E-2</v>
      </c>
      <c r="BP7" s="52">
        <f>1-VLOOKUP($G7,'Useful Constants'!$A$17:$X$23,18,FALSE)</f>
        <v>3.4455679999999989E-2</v>
      </c>
      <c r="BQ7" s="52">
        <f>1-VLOOKUP($G7,'Useful Constants'!$A$17:$X$23,20, FALSE)</f>
        <v>2.1468880000000024E-2</v>
      </c>
      <c r="BR7" s="52">
        <f>1-VLOOKUP($G7,'Useful Constants'!$A$17:$X$23,22, FALSE)</f>
        <v>0</v>
      </c>
      <c r="BS7" s="52">
        <f>1-VLOOKUP($G7,'Useful Constants'!$A$17:$X$23,24, FALSE)</f>
        <v>0</v>
      </c>
      <c r="BT7" s="13">
        <f t="shared" si="2"/>
        <v>0.14837129471954147</v>
      </c>
      <c r="BU7" s="13">
        <f t="shared" si="3"/>
        <v>0.11906647786639407</v>
      </c>
      <c r="BV7" s="13">
        <f t="shared" si="4"/>
        <v>9.2566622403144769E-2</v>
      </c>
      <c r="BW7" s="13">
        <f t="shared" si="5"/>
        <v>6.8871728329794019E-2</v>
      </c>
      <c r="BX7" s="13">
        <f t="shared" si="6"/>
        <v>4.798179564634121E-2</v>
      </c>
      <c r="BY7" s="13">
        <f t="shared" si="7"/>
        <v>2.9896824352786632E-2</v>
      </c>
      <c r="BZ7" s="13">
        <f t="shared" si="8"/>
        <v>0</v>
      </c>
      <c r="CA7" s="13">
        <f t="shared" si="9"/>
        <v>0</v>
      </c>
      <c r="CB7" s="59">
        <f>+SUM(Data!BM7:BS7)*2+Data!BT7</f>
        <v>737.93470679150232</v>
      </c>
      <c r="CC7" s="59">
        <f>+SUM(Data!BN7:BT7)*2+Data!BU7</f>
        <v>601.21688344474171</v>
      </c>
      <c r="CD7" s="59">
        <f>+SUM(Data!BO7:BU7)*2+Data!BV7</f>
        <v>556.75033716687983</v>
      </c>
      <c r="CE7" s="59">
        <f>+SUM(Data!BP7:BV7)*2+Data!BW7</f>
        <v>526.07943041188696</v>
      </c>
      <c r="CF7" s="59">
        <f>+SUM(Data!BQ7:BW7)*2+Data!BX7</f>
        <v>515.82746913834262</v>
      </c>
      <c r="CG7" s="59">
        <f>+SUM(Data!BR7:BX7)*2+Data!BY7</f>
        <v>493.68373767069943</v>
      </c>
      <c r="CH7" s="59">
        <f>+SUM(Data!BS7:BY7)*2+Data!BZ7</f>
        <v>481.27993708729451</v>
      </c>
      <c r="CI7" s="59">
        <f>+SUM(Data!BT7:BZ7)*2+Data!CA7</f>
        <v>528.09419894915015</v>
      </c>
      <c r="CJ7" s="13">
        <f>+SUM(Data!AW7:BC7)*2+Data!BD7</f>
        <v>3317.2787992167205</v>
      </c>
      <c r="CK7" s="13">
        <f>+SUM(Data!AX7:BD7)*2+Data!BE7</f>
        <v>2700.2767864491984</v>
      </c>
      <c r="CL7" s="13">
        <f>+SUM(Data!AY7:BE7)*2+Data!BF7</f>
        <v>2502.5417827072074</v>
      </c>
      <c r="CM7" s="13">
        <f>+SUM(Data!AZ7:BF7)*2+Data!BG7</f>
        <v>2346.0449906001177</v>
      </c>
      <c r="CN7" s="13">
        <f>+SUM(Data!BA7:BG7)*2+Data!BH7</f>
        <v>2301.2246698061085</v>
      </c>
      <c r="CO7" s="13">
        <f>+SUM(Data!BB7:BH7)*2+Data!BI7</f>
        <v>2201.582549018759</v>
      </c>
      <c r="CP7" s="13">
        <f>+SUM(Data!BC7:BI7)*2+Data!BJ7</f>
        <v>2157.390834829645</v>
      </c>
      <c r="CQ7" s="13">
        <f>+SUM(Data!BD7:BJ7)*2+Data!BK7</f>
        <v>2372.1318175621386</v>
      </c>
      <c r="CR7" s="59">
        <f>+SUM(Data!CC7:CI7)*2+Data!CJ7</f>
        <v>180.63702974087636</v>
      </c>
      <c r="CS7" s="59">
        <f>+SUM(Data!CD7:CJ7)*2+Data!CK7</f>
        <v>147.94243143194615</v>
      </c>
      <c r="CT7" s="59">
        <f>+SUM(Data!CE7:CK7)*2+Data!CL7</f>
        <v>136.49561605266911</v>
      </c>
      <c r="CU7" s="59">
        <f>+SUM(Data!CF7:CL7)*2+Data!CM7</f>
        <v>130.68482551668851</v>
      </c>
      <c r="CV7" s="59">
        <f>+SUM(Data!CG7:CM7)*2+Data!CN7</f>
        <v>128.11684810018528</v>
      </c>
      <c r="CW7" s="59">
        <f>+SUM(Data!CH7:CN7)*2+Data!CO7</f>
        <v>124.68945804165806</v>
      </c>
      <c r="CX7" s="59">
        <f>+SUM(Data!CI7:CO7)*2+Data!CP7</f>
        <v>122.89439300737226</v>
      </c>
      <c r="CY7" s="59">
        <f>+SUM(Data!CJ7:CP7)*2+Data!CQ7</f>
        <v>136.97731750791718</v>
      </c>
      <c r="CZ7" s="60">
        <f t="shared" si="10"/>
        <v>4235.8505357490994</v>
      </c>
      <c r="DA7" s="60">
        <f t="shared" si="11"/>
        <v>3449.4361013258863</v>
      </c>
      <c r="DB7" s="60">
        <f t="shared" si="12"/>
        <v>3195.7877359267563</v>
      </c>
      <c r="DC7" s="60">
        <f t="shared" si="13"/>
        <v>3002.8092465286932</v>
      </c>
      <c r="DD7" s="60">
        <f t="shared" si="14"/>
        <v>2945.1689870446362</v>
      </c>
      <c r="DE7" s="60">
        <f t="shared" si="15"/>
        <v>2819.9557447311163</v>
      </c>
      <c r="DF7" s="60">
        <f t="shared" si="16"/>
        <v>2761.5651649243118</v>
      </c>
      <c r="DG7" s="60">
        <f t="shared" si="17"/>
        <v>3037.2033340192061</v>
      </c>
      <c r="DH7" s="13">
        <f t="shared" si="18"/>
        <v>0.15255129739866441</v>
      </c>
      <c r="DI7" s="13">
        <f t="shared" si="19"/>
        <v>0.122420888147817</v>
      </c>
      <c r="DJ7" s="13">
        <f t="shared" si="20"/>
        <v>9.5174463295642872E-2</v>
      </c>
      <c r="DK7" s="13">
        <f t="shared" si="21"/>
        <v>7.0812022842142511E-2</v>
      </c>
      <c r="DL7" s="13">
        <f t="shared" si="22"/>
        <v>4.9333566787315292E-2</v>
      </c>
      <c r="DM7" s="13">
        <f t="shared" si="23"/>
        <v>3.0739095131161506E-2</v>
      </c>
      <c r="DN7" s="13">
        <f t="shared" si="24"/>
        <v>0</v>
      </c>
      <c r="DO7" s="13">
        <f t="shared" si="25"/>
        <v>0</v>
      </c>
      <c r="DP7" s="50">
        <f>DH7*'Useful Constants'!$B$8</f>
        <v>649.86852691831041</v>
      </c>
      <c r="DQ7" s="50">
        <f>DI7*'Useful Constants'!$B$8</f>
        <v>521.51298350970046</v>
      </c>
      <c r="DR7" s="50">
        <f>DJ7*'Useful Constants'!$B$10</f>
        <v>231.27394580841218</v>
      </c>
      <c r="DS7" s="50">
        <f>DK7*'Useful Constants'!$B$10</f>
        <v>172.07321550640631</v>
      </c>
      <c r="DT7" s="50">
        <f>DL7*'Useful Constants'!$B$10</f>
        <v>119.88056729317616</v>
      </c>
      <c r="DU7" s="50">
        <f>DM7*'Useful Constants'!$B$10</f>
        <v>74.696001168722461</v>
      </c>
      <c r="DV7" s="50">
        <f>DN7*'Useful Constants'!$B$10</f>
        <v>0</v>
      </c>
      <c r="DW7" s="50">
        <f>DO7*'Useful Constants'!$B$10</f>
        <v>0</v>
      </c>
      <c r="DX7" s="14">
        <f>DH7*'Useful Constants'!$B$9</f>
        <v>293.50869619503032</v>
      </c>
      <c r="DY7" s="14">
        <f>DI7*'Useful Constants'!$B$9</f>
        <v>235.53778879639989</v>
      </c>
      <c r="DZ7" s="14">
        <f>DJ7*'Useful Constants'!$B$11</f>
        <v>64.433111651150227</v>
      </c>
      <c r="EA7" s="14">
        <f>DK7*'Useful Constants'!$B$11</f>
        <v>47.939739464130483</v>
      </c>
      <c r="EB7" s="14">
        <f>DL7*'Useful Constants'!$B$11</f>
        <v>33.398824715012452</v>
      </c>
      <c r="EC7" s="14">
        <f>DM7*'Useful Constants'!$B$11</f>
        <v>20.810367403796338</v>
      </c>
      <c r="ED7" s="14">
        <f>DN7*'Useful Constants'!$B$11</f>
        <v>0</v>
      </c>
      <c r="EE7" s="14">
        <f>DO7*'Useful Constants'!$B$11</f>
        <v>0</v>
      </c>
      <c r="EF7" s="78">
        <f>(SUM(Data!DI7:DO7)*2+Data!DP7)/('Useful Constants'!$B$1*1000000)*$K7/100</f>
        <v>4.8852866939489141</v>
      </c>
      <c r="EG7" s="78">
        <f>(SUM(Data!DJ7:DP7)*2+Data!DQ7)/('Useful Constants'!$B$1*1000000)*$K7/100</f>
        <v>3.8600899896057994</v>
      </c>
      <c r="EH7" s="78">
        <f>(SUM(Data!DK7:DQ7)*2+Data!DR7)/('Useful Constants'!$B$1*1000000)*$K7/100</f>
        <v>3.0663386622962103</v>
      </c>
      <c r="EI7" s="78">
        <f>(SUM(Data!DL7:DR7)*2+Data!DS7)/('Useful Constants'!$B$1*1000000)*$K7/100</f>
        <v>2.2305589102396501</v>
      </c>
      <c r="EJ7" s="78">
        <f>(SUM(Data!DM7:DS7)*2+Data!DT7)/('Useful Constants'!$B$1*1000000)*$K7/100</f>
        <v>1.749049974457928</v>
      </c>
      <c r="EK7" s="78">
        <f>(SUM(Data!DN7:DT7)*2+Data!DU7)/('Useful Constants'!$B$1*1000000)*$K7/100</f>
        <v>1.4174274410948453</v>
      </c>
      <c r="EL7" s="78">
        <f>(SUM(Data!DO7:DU7)*2+Data!DV7)/('Useful Constants'!$B$1*1000000)*$K7/100</f>
        <v>1.1596483937589146</v>
      </c>
      <c r="EM7" s="78">
        <f>(SUM(Data!DP7:DV7)*2+Data!DW7)/('Useful Constants'!$B$1*1000000)*$K7/100</f>
        <v>0.89218863023943196</v>
      </c>
      <c r="EN7" s="79">
        <f>EF7*'Useful Constants'!$B$3</f>
        <v>410.36408229170877</v>
      </c>
      <c r="EO7" s="79">
        <f>EG7*'Useful Constants'!$B$3</f>
        <v>324.24755912688715</v>
      </c>
      <c r="EP7" s="79">
        <f>EH7*'Useful Constants'!$B$3</f>
        <v>257.57244763288168</v>
      </c>
      <c r="EQ7" s="79">
        <f>EI7*'Useful Constants'!$B$3</f>
        <v>187.3669484601306</v>
      </c>
      <c r="ER7" s="79">
        <f>EJ7*'Useful Constants'!$B$3</f>
        <v>146.92019785446595</v>
      </c>
      <c r="ES7" s="79">
        <f>EK7*'Useful Constants'!$B$3</f>
        <v>119.06390505196701</v>
      </c>
      <c r="ET7" s="79">
        <f>EL7*'Useful Constants'!$B$3</f>
        <v>97.410465075748832</v>
      </c>
      <c r="EU7" s="79">
        <f>EM7*'Useful Constants'!$B$3</f>
        <v>74.943844940112285</v>
      </c>
      <c r="EV7" s="78">
        <f>EF7*'Useful Constants'!$B$4</f>
        <v>136.7880274305696</v>
      </c>
      <c r="EW7" s="78">
        <f>EG7*'Useful Constants'!$B$4</f>
        <v>108.08251970896238</v>
      </c>
      <c r="EX7" s="78">
        <f>EH7*'Useful Constants'!$B$4</f>
        <v>85.857482544293887</v>
      </c>
      <c r="EY7" s="78">
        <f>EI7*'Useful Constants'!$B$4</f>
        <v>62.4556494867102</v>
      </c>
      <c r="EZ7" s="78">
        <f>EJ7*'Useful Constants'!$B$4</f>
        <v>48.97339928482198</v>
      </c>
      <c r="FA7" s="78">
        <f>EK7*'Useful Constants'!$B$4</f>
        <v>39.687968350655666</v>
      </c>
      <c r="FB7" s="78">
        <f>EL7*'Useful Constants'!$B$4</f>
        <v>32.470155025249611</v>
      </c>
      <c r="FC7" s="78">
        <f>EM7*'Useful Constants'!$B$4</f>
        <v>24.981281646704094</v>
      </c>
      <c r="FD7" s="40">
        <f t="shared" si="26"/>
        <v>0.49302440604524062</v>
      </c>
      <c r="FE7" s="40">
        <f t="shared" si="27"/>
        <v>0.58589273628311123</v>
      </c>
      <c r="FF7" s="40">
        <f t="shared" si="28"/>
        <v>0.61596819610102282</v>
      </c>
      <c r="FG7" s="40">
        <f t="shared" si="29"/>
        <v>0.6389079595756143</v>
      </c>
      <c r="FH7" s="40">
        <f t="shared" si="30"/>
        <v>0.64575682216210883</v>
      </c>
      <c r="FI7" s="40">
        <f t="shared" si="31"/>
        <v>0.66064945327873192</v>
      </c>
      <c r="FJ7" s="40">
        <f t="shared" si="32"/>
        <v>0.66758733025689254</v>
      </c>
      <c r="FK7" s="40">
        <f t="shared" si="33"/>
        <v>0.63478649396800946</v>
      </c>
      <c r="FL7" s="4">
        <f t="shared" si="34"/>
        <v>0.72233241018707806</v>
      </c>
      <c r="FM7" s="4">
        <f t="shared" si="35"/>
        <v>0.77447556056086553</v>
      </c>
      <c r="FN7" s="4">
        <f t="shared" si="36"/>
        <v>0.80642973576668342</v>
      </c>
      <c r="FO7" s="4">
        <f t="shared" si="37"/>
        <v>0.82329180062725771</v>
      </c>
      <c r="FP7" s="4">
        <f t="shared" si="38"/>
        <v>0.83116147514819139</v>
      </c>
      <c r="FQ7" s="4">
        <f t="shared" si="39"/>
        <v>0.84154127784594079</v>
      </c>
      <c r="FR7" s="4">
        <f t="shared" si="40"/>
        <v>0.84965453457987217</v>
      </c>
      <c r="FS7" s="4">
        <f t="shared" si="41"/>
        <v>0.83640895197273835</v>
      </c>
      <c r="FT7" s="38">
        <f t="shared" si="42"/>
        <v>0.6088043883811356</v>
      </c>
      <c r="FU7" s="38">
        <f t="shared" si="43"/>
        <v>0.68130037530712007</v>
      </c>
      <c r="FV7" s="38">
        <f t="shared" si="44"/>
        <v>0.71864730086137307</v>
      </c>
      <c r="FW7" s="38">
        <f t="shared" si="45"/>
        <v>0.73808499363440305</v>
      </c>
      <c r="FX7" s="38">
        <f t="shared" si="46"/>
        <v>0.74524127887742853</v>
      </c>
      <c r="FY7" s="38">
        <f t="shared" si="47"/>
        <v>0.7575283723795192</v>
      </c>
      <c r="FZ7" s="38">
        <f t="shared" si="48"/>
        <v>0.76475457414950376</v>
      </c>
      <c r="GA7" s="38">
        <f t="shared" si="49"/>
        <v>0.74235909831617553</v>
      </c>
    </row>
    <row r="8" spans="1:183" x14ac:dyDescent="0.25">
      <c r="A8" s="1" t="str">
        <f>Data!A8</f>
        <v>AZ_PHOENIX-SKY-HARBOR-IAP_722780_TY3A</v>
      </c>
      <c r="B8" s="1" t="str">
        <f>TY3A_REP_CITIES!B8</f>
        <v>Phoenix</v>
      </c>
      <c r="C8" s="1" t="str">
        <f>TY3A_REP_CITIES!C8</f>
        <v>Maricopa</v>
      </c>
      <c r="D8" s="2" t="str">
        <f>TY3A_REP_CITIES!A8</f>
        <v>AZ</v>
      </c>
      <c r="E8" s="42">
        <f>TY3A_REP_CITIES!E8</f>
        <v>4485414</v>
      </c>
      <c r="F8" s="2">
        <f>TY3A_REP_CITIES!G8</f>
        <v>2</v>
      </c>
      <c r="G8" s="2" t="str">
        <f>TY3A_REP_CITIES!H8</f>
        <v>Hot-Dry</v>
      </c>
      <c r="H8" s="2" t="str">
        <f>TY3A_REP_CITIES!I8</f>
        <v>Southwest</v>
      </c>
      <c r="I8" s="2">
        <f>Data!B8</f>
        <v>33.450000000000003</v>
      </c>
      <c r="J8" s="2">
        <f>Data!C8</f>
        <v>-111.98</v>
      </c>
      <c r="K8" s="2">
        <f>VLOOKUP(D8,Table1[],2,FALSE)</f>
        <v>3.4</v>
      </c>
      <c r="L8" s="2">
        <v>0.5</v>
      </c>
      <c r="M8" s="10">
        <f>Data!N8</f>
        <v>7591.4790000000003</v>
      </c>
      <c r="N8" s="10">
        <f>Data!Q8</f>
        <v>29308</v>
      </c>
      <c r="O8" s="10">
        <f>Data!O8</f>
        <v>1395805529.8261299</v>
      </c>
      <c r="P8" s="10">
        <f>Data!P8</f>
        <v>1453964093.5688834</v>
      </c>
      <c r="Q8" s="10">
        <f>Data!S8*15</f>
        <v>1097.0362326965924</v>
      </c>
      <c r="R8" s="48">
        <f>SUM(Data!U8:AA8)*2+Data!AB8</f>
        <v>21.596621379397924</v>
      </c>
      <c r="S8" s="48">
        <f>SUM(Data!V8:AB8)*2+Data!AC8</f>
        <v>17.344990215674994</v>
      </c>
      <c r="T8" s="48">
        <f>SUM(Data!W8:AC8)*2+Data!AD8</f>
        <v>16.471078432794858</v>
      </c>
      <c r="U8" s="48">
        <f>SUM(Data!X8:AD8)*2+Data!AE8</f>
        <v>15.831054728365933</v>
      </c>
      <c r="V8" s="48">
        <f>SUM(Data!Y8:AE8)*2+Data!AF8</f>
        <v>15.51744611533287</v>
      </c>
      <c r="W8" s="48">
        <f>SUM(Data!Z8:AF8)*2+Data!AG8</f>
        <v>15.074541543498368</v>
      </c>
      <c r="X8" s="48">
        <f>SUM(Data!AA8:AG8)*2+Data!AH8</f>
        <v>14.830537426298569</v>
      </c>
      <c r="Y8" s="48">
        <f>SUM(Data!AB8:AH8)*2+Data!AI8</f>
        <v>16.267458553705264</v>
      </c>
      <c r="Z8" s="80">
        <f>(SUM(Data!CS8:CY8)*2+Data!CZ8)/('Useful Constants'!$B$1*1000000)*$K8/100</f>
        <v>2.7854851306631696E-2</v>
      </c>
      <c r="AA8" s="80">
        <f>(SUM(Data!CT8:CZ8)*2+Data!DA8)/('Useful Constants'!$B$1*1000000)*$K8/100</f>
        <v>2.2004568373893023E-2</v>
      </c>
      <c r="AB8" s="80">
        <f>(SUM(Data!CU8:DA8)*2+Data!DB8)/('Useful Constants'!$B$1*1000000)*$K8/100</f>
        <v>1.6967229710335211E-2</v>
      </c>
      <c r="AC8" s="80">
        <f>(SUM(Data!CV8:DB8)*2+Data!DC8)/('Useful Constants'!$B$1*1000000)*$K8/100</f>
        <v>1.2266716600205509E-2</v>
      </c>
      <c r="AD8" s="80">
        <f>(SUM(Data!CW8:DC8)*2+Data!DD8)/('Useful Constants'!$B$1*1000000)*$K8/100</f>
        <v>9.4372467783936237E-3</v>
      </c>
      <c r="AE8" s="80">
        <f>(SUM(Data!CX8:DD8)*2+Data!DE8)/('Useful Constants'!$B$1*1000000)*$K8/100</f>
        <v>7.6350602166958903E-3</v>
      </c>
      <c r="AF8" s="80">
        <f>(SUM(Data!CY8:DE8)*2+Data!DF8)/('Useful Constants'!$B$1*1000000)*$K8/100</f>
        <v>6.2262498939968528E-3</v>
      </c>
      <c r="AG8" s="80">
        <f>(SUM(Data!CZ8:DF8)*2+Data!DG8)/('Useful Constants'!$B$1*1000000)*$K8/100</f>
        <v>4.5563880967855012E-3</v>
      </c>
      <c r="AH8" s="48">
        <f>Z8*'Useful Constants'!$B$3</f>
        <v>2.3398075097570623</v>
      </c>
      <c r="AI8" s="48">
        <f>AA8*'Useful Constants'!$B$3</f>
        <v>1.8483837434070138</v>
      </c>
      <c r="AJ8" s="48">
        <f>AB8*'Useful Constants'!$B$3</f>
        <v>1.4252472956681577</v>
      </c>
      <c r="AK8" s="48">
        <f>AC8*'Useful Constants'!$B$3</f>
        <v>1.0304041944172628</v>
      </c>
      <c r="AL8" s="48">
        <f>AD8*'Useful Constants'!$B$3</f>
        <v>0.79272872938506445</v>
      </c>
      <c r="AM8" s="48">
        <f>AE8*'Useful Constants'!$B$3</f>
        <v>0.6413450582024548</v>
      </c>
      <c r="AN8" s="48">
        <f>AF8*'Useful Constants'!$B$3</f>
        <v>0.52300499109573562</v>
      </c>
      <c r="AO8" s="48">
        <f>AG8*'Useful Constants'!$B$3</f>
        <v>0.38273660012998212</v>
      </c>
      <c r="AP8" s="10">
        <f>Z8*'Useful Constants'!$B$4</f>
        <v>0.77993583658568744</v>
      </c>
      <c r="AQ8" s="10">
        <f>AA8*'Useful Constants'!$B$4</f>
        <v>0.61612791446900461</v>
      </c>
      <c r="AR8" s="10">
        <f>AB8*'Useful Constants'!$B$4</f>
        <v>0.47508243188938593</v>
      </c>
      <c r="AS8" s="10">
        <f>AC8*'Useful Constants'!$B$4</f>
        <v>0.34346806480575426</v>
      </c>
      <c r="AT8" s="10">
        <f>AD8*'Useful Constants'!$B$4</f>
        <v>0.26424290979502146</v>
      </c>
      <c r="AU8" s="10">
        <f>AE8*'Useful Constants'!$B$4</f>
        <v>0.21378168606748493</v>
      </c>
      <c r="AV8" s="10">
        <f>AF8*'Useful Constants'!$B$4</f>
        <v>0.17433499703191188</v>
      </c>
      <c r="AW8" s="10">
        <f>AG8*'Useful Constants'!$B$4</f>
        <v>0.12757886670999402</v>
      </c>
      <c r="AX8" s="48">
        <f>P8/1000000/'Useful Constants'!$B$1*K8/100*'Useful Constants'!$B$3*15</f>
        <v>1245.7564353698192</v>
      </c>
      <c r="AY8" s="48">
        <f>P8/1000000/'Useful Constants'!$B$1*L8/100*'Useful Constants'!$B$3*15</f>
        <v>183.19947578967933</v>
      </c>
      <c r="AZ8" s="48">
        <f>P8/1000000/'Useful Constants'!$B$1*K8/100*'Useful Constants'!$B$4*15</f>
        <v>415.25214512327307</v>
      </c>
      <c r="BA8" s="48">
        <f>P8/1000000/'Useful Constants'!$B$1*L8/100*'Useful Constants'!$B$4*15</f>
        <v>61.066491929893118</v>
      </c>
      <c r="BB8" s="7">
        <f>Data!AN8</f>
        <v>7591.4790000000003</v>
      </c>
      <c r="BC8" s="7">
        <f>Data!AQ8</f>
        <v>7591.4790000000003</v>
      </c>
      <c r="BD8" s="7">
        <f>Data!AT8</f>
        <v>2811.1936500000002</v>
      </c>
      <c r="BE8" s="6">
        <f>Data!AO8</f>
        <v>1305115873.7883999</v>
      </c>
      <c r="BF8" s="6">
        <f>Data!AP8</f>
        <v>337901454.62901402</v>
      </c>
      <c r="BG8" s="6">
        <f>Data!AR8</f>
        <v>20363324.780639701</v>
      </c>
      <c r="BH8" s="6">
        <f>Data!AS8</f>
        <v>20363324.780639701</v>
      </c>
      <c r="BI8" s="8">
        <f t="shared" si="0"/>
        <v>0.98463700916421515</v>
      </c>
      <c r="BJ8" s="8">
        <f t="shared" si="1"/>
        <v>0.94316124288244507</v>
      </c>
      <c r="BK8" s="13">
        <f>BB8*'Useful Constants'!$B$5/'Useful Constants'!$B$6*'Useful Constants'!$B$7</f>
        <v>1.9426594761</v>
      </c>
      <c r="BL8" s="52">
        <f>1-VLOOKUP($G8,'Useful Constants'!$A$17:$X$23,10,FALSE)</f>
        <v>0.10654528000000008</v>
      </c>
      <c r="BM8" s="52">
        <f>1-VLOOKUP($G8,'Useful Constants'!$A$17:$X$23,12,FALSE)</f>
        <v>8.5501519999999998E-2</v>
      </c>
      <c r="BN8" s="52">
        <f>1-VLOOKUP($G8,'Useful Constants'!$A$17:$X$23,14,FALSE)</f>
        <v>6.6471999999999865E-2</v>
      </c>
      <c r="BO8" s="52">
        <f>1-VLOOKUP($G8,'Useful Constants'!$A$17:$X$23,16,FALSE)</f>
        <v>4.945672000000001E-2</v>
      </c>
      <c r="BP8" s="52">
        <f>1-VLOOKUP($G8,'Useful Constants'!$A$17:$X$23,18,FALSE)</f>
        <v>3.4455679999999989E-2</v>
      </c>
      <c r="BQ8" s="52">
        <f>1-VLOOKUP($G8,'Useful Constants'!$A$17:$X$23,20, FALSE)</f>
        <v>2.1468880000000024E-2</v>
      </c>
      <c r="BR8" s="52">
        <f>1-VLOOKUP($G8,'Useful Constants'!$A$17:$X$23,22, FALSE)</f>
        <v>0</v>
      </c>
      <c r="BS8" s="52">
        <f>1-VLOOKUP($G8,'Useful Constants'!$A$17:$X$23,24, FALSE)</f>
        <v>0</v>
      </c>
      <c r="BT8" s="13">
        <f t="shared" si="2"/>
        <v>0.20698119782572796</v>
      </c>
      <c r="BU8" s="13">
        <f t="shared" si="3"/>
        <v>0.16610033804895366</v>
      </c>
      <c r="BV8" s="13">
        <f t="shared" si="4"/>
        <v>0.12913246069531895</v>
      </c>
      <c r="BW8" s="13">
        <f t="shared" si="5"/>
        <v>9.6077565764824416E-2</v>
      </c>
      <c r="BX8" s="13">
        <f t="shared" si="6"/>
        <v>6.6935653257469224E-2</v>
      </c>
      <c r="BY8" s="13">
        <f t="shared" si="7"/>
        <v>4.1706723173253815E-2</v>
      </c>
      <c r="BZ8" s="13">
        <f t="shared" si="8"/>
        <v>0</v>
      </c>
      <c r="CA8" s="13">
        <f t="shared" si="9"/>
        <v>0</v>
      </c>
      <c r="CB8" s="59">
        <f>+SUM(Data!BM8:BS8)*2+Data!BT8</f>
        <v>89.093712038936658</v>
      </c>
      <c r="CC8" s="59">
        <f>+SUM(Data!BN8:BT8)*2+Data!BU8</f>
        <v>71.600432170538852</v>
      </c>
      <c r="CD8" s="59">
        <f>+SUM(Data!BO8:BU8)*2+Data!BV8</f>
        <v>67.95782516526765</v>
      </c>
      <c r="CE8" s="59">
        <f>+SUM(Data!BP8:BV8)*2+Data!BW8</f>
        <v>65.290277027368049</v>
      </c>
      <c r="CF8" s="59">
        <f>+SUM(Data!BQ8:BW8)*2+Data!BX8</f>
        <v>63.975571925082292</v>
      </c>
      <c r="CG8" s="59">
        <f>+SUM(Data!BR8:BX8)*2+Data!BY8</f>
        <v>62.08620854818875</v>
      </c>
      <c r="CH8" s="59">
        <f>+SUM(Data!BS8:BY8)*2+Data!BZ8</f>
        <v>61.099215163327081</v>
      </c>
      <c r="CI8" s="59">
        <f>+SUM(Data!BT8:BZ8)*2+Data!CA8</f>
        <v>67.024391282493397</v>
      </c>
      <c r="CJ8" s="13">
        <f>+SUM(Data!AW8:BC8)*2+Data!BD8</f>
        <v>366.44758475068733</v>
      </c>
      <c r="CK8" s="13">
        <f>+SUM(Data!AX8:BD8)*2+Data!BE8</f>
        <v>294.70237128498729</v>
      </c>
      <c r="CL8" s="13">
        <f>+SUM(Data!AY8:BE8)*2+Data!BF8</f>
        <v>279.56489452848564</v>
      </c>
      <c r="CM8" s="13">
        <f>+SUM(Data!AZ8:BF8)*2+Data!BG8</f>
        <v>268.08276393690727</v>
      </c>
      <c r="CN8" s="13">
        <f>+SUM(Data!BA8:BG8)*2+Data!BH8</f>
        <v>262.68728044032514</v>
      </c>
      <c r="CO8" s="13">
        <f>+SUM(Data!BB8:BH8)*2+Data!BI8</f>
        <v>255.06068952819612</v>
      </c>
      <c r="CP8" s="13">
        <f>+SUM(Data!BC8:BI8)*2+Data!BJ8</f>
        <v>251.20682300757224</v>
      </c>
      <c r="CQ8" s="13">
        <f>+SUM(Data!BD8:BJ8)*2+Data!BK8</f>
        <v>275.82978214021057</v>
      </c>
      <c r="CR8" s="59">
        <f>+SUM(Data!CC8:CI8)*2+Data!CJ8</f>
        <v>24.133978333378703</v>
      </c>
      <c r="CS8" s="59">
        <f>+SUM(Data!CD8:CJ8)*2+Data!CK8</f>
        <v>19.537023873014654</v>
      </c>
      <c r="CT8" s="59">
        <f>+SUM(Data!CE8:CK8)*2+Data!CL8</f>
        <v>18.478433046355715</v>
      </c>
      <c r="CU8" s="59">
        <f>+SUM(Data!CF8:CL8)*2+Data!CM8</f>
        <v>17.480431991012342</v>
      </c>
      <c r="CV8" s="59">
        <f>+SUM(Data!CG8:CM8)*2+Data!CN8</f>
        <v>17.038517566784996</v>
      </c>
      <c r="CW8" s="59">
        <f>+SUM(Data!CH8:CN8)*2+Data!CO8</f>
        <v>16.638434768792088</v>
      </c>
      <c r="CX8" s="59">
        <f>+SUM(Data!CI8:CO8)*2+Data!CP8</f>
        <v>16.454712435165288</v>
      </c>
      <c r="CY8" s="59">
        <f>+SUM(Data!CJ8:CP8)*2+Data!CQ8</f>
        <v>18.269440492798534</v>
      </c>
      <c r="CZ8" s="60">
        <f t="shared" si="10"/>
        <v>479.67527512300268</v>
      </c>
      <c r="DA8" s="60">
        <f t="shared" si="11"/>
        <v>385.83982732854082</v>
      </c>
      <c r="DB8" s="60">
        <f t="shared" si="12"/>
        <v>366.00115274010898</v>
      </c>
      <c r="DC8" s="60">
        <f t="shared" si="13"/>
        <v>350.85347295528766</v>
      </c>
      <c r="DD8" s="60">
        <f t="shared" si="14"/>
        <v>343.70136993219245</v>
      </c>
      <c r="DE8" s="60">
        <f t="shared" si="15"/>
        <v>333.78533284517698</v>
      </c>
      <c r="DF8" s="60">
        <f t="shared" si="16"/>
        <v>328.76075060606462</v>
      </c>
      <c r="DG8" s="60">
        <f t="shared" si="17"/>
        <v>361.12361391550252</v>
      </c>
      <c r="DH8" s="13">
        <f t="shared" si="18"/>
        <v>0.21281239288994189</v>
      </c>
      <c r="DI8" s="13">
        <f t="shared" si="19"/>
        <v>0.1707798136804109</v>
      </c>
      <c r="DJ8" s="13">
        <f t="shared" si="20"/>
        <v>0.13277045571779605</v>
      </c>
      <c r="DK8" s="13">
        <f t="shared" si="21"/>
        <v>9.8784319002097901E-2</v>
      </c>
      <c r="DL8" s="13">
        <f t="shared" si="22"/>
        <v>6.8821403533315645E-2</v>
      </c>
      <c r="DM8" s="13">
        <f t="shared" si="23"/>
        <v>4.2881709311449717E-2</v>
      </c>
      <c r="DN8" s="13">
        <f t="shared" si="24"/>
        <v>0</v>
      </c>
      <c r="DO8" s="13">
        <f t="shared" si="25"/>
        <v>0</v>
      </c>
      <c r="DP8" s="50">
        <f>DH8*'Useful Constants'!$B$8</f>
        <v>906.58079371115241</v>
      </c>
      <c r="DQ8" s="50">
        <f>DI8*'Useful Constants'!$B$8</f>
        <v>727.52200627855041</v>
      </c>
      <c r="DR8" s="50">
        <f>DJ8*'Useful Constants'!$B$10</f>
        <v>322.6322073942444</v>
      </c>
      <c r="DS8" s="50">
        <f>DK8*'Useful Constants'!$B$10</f>
        <v>240.04589517509791</v>
      </c>
      <c r="DT8" s="50">
        <f>DL8*'Useful Constants'!$B$10</f>
        <v>167.23601058595702</v>
      </c>
      <c r="DU8" s="50">
        <f>DM8*'Useful Constants'!$B$10</f>
        <v>104.20255362682282</v>
      </c>
      <c r="DV8" s="50">
        <f>DN8*'Useful Constants'!$B$10</f>
        <v>0</v>
      </c>
      <c r="DW8" s="50">
        <f>DO8*'Useful Constants'!$B$10</f>
        <v>0</v>
      </c>
      <c r="DX8" s="14">
        <f>DH8*'Useful Constants'!$B$9</f>
        <v>409.4510439202482</v>
      </c>
      <c r="DY8" s="14">
        <f>DI8*'Useful Constants'!$B$9</f>
        <v>328.58036152111055</v>
      </c>
      <c r="DZ8" s="14">
        <f>DJ8*'Useful Constants'!$B$11</f>
        <v>89.885598520947923</v>
      </c>
      <c r="EA8" s="14">
        <f>DK8*'Useful Constants'!$B$11</f>
        <v>66.876983964420276</v>
      </c>
      <c r="EB8" s="14">
        <f>DL8*'Useful Constants'!$B$11</f>
        <v>46.592090192054691</v>
      </c>
      <c r="EC8" s="14">
        <f>DM8*'Useful Constants'!$B$11</f>
        <v>29.030917203851459</v>
      </c>
      <c r="ED8" s="14">
        <f>DN8*'Useful Constants'!$B$11</f>
        <v>0</v>
      </c>
      <c r="EE8" s="14">
        <f>DO8*'Useful Constants'!$B$11</f>
        <v>0</v>
      </c>
      <c r="EF8" s="78">
        <f>(SUM(Data!DI8:DO8)*2+Data!DP8)/('Useful Constants'!$B$1*1000000)*$K8/100</f>
        <v>0.62638648048294254</v>
      </c>
      <c r="EG8" s="78">
        <f>(SUM(Data!DJ8:DP8)*2+Data!DQ8)/('Useful Constants'!$B$1*1000000)*$K8/100</f>
        <v>0.49637123203211431</v>
      </c>
      <c r="EH8" s="78">
        <f>(SUM(Data!DK8:DQ8)*2+Data!DR8)/('Useful Constants'!$B$1*1000000)*$K8/100</f>
        <v>0.38385557927800545</v>
      </c>
      <c r="EI8" s="78">
        <f>(SUM(Data!DL8:DR8)*2+Data!DS8)/('Useful Constants'!$B$1*1000000)*$K8/100</f>
        <v>0.27794725853916713</v>
      </c>
      <c r="EJ8" s="78">
        <f>(SUM(Data!DM8:DS8)*2+Data!DT8)/('Useful Constants'!$B$1*1000000)*$K8/100</f>
        <v>0.2137315729606756</v>
      </c>
      <c r="EK8" s="78">
        <f>(SUM(Data!DN8:DT8)*2+Data!DU8)/('Useful Constants'!$B$1*1000000)*$K8/100</f>
        <v>0.17316465285346996</v>
      </c>
      <c r="EL8" s="78">
        <f>(SUM(Data!DO8:DU8)*2+Data!DV8)/('Useful Constants'!$B$1*1000000)*$K8/100</f>
        <v>0.14160581473202416</v>
      </c>
      <c r="EM8" s="78">
        <f>(SUM(Data!DP8:DV8)*2+Data!DW8)/('Useful Constants'!$B$1*1000000)*$K8/100</f>
        <v>0.10341208291662576</v>
      </c>
      <c r="EN8" s="79">
        <f>EF8*'Useful Constants'!$B$3</f>
        <v>52.616464360567171</v>
      </c>
      <c r="EO8" s="79">
        <f>EG8*'Useful Constants'!$B$3</f>
        <v>41.695183490697602</v>
      </c>
      <c r="EP8" s="79">
        <f>EH8*'Useful Constants'!$B$3</f>
        <v>32.243868659352458</v>
      </c>
      <c r="EQ8" s="79">
        <f>EI8*'Useful Constants'!$B$3</f>
        <v>23.347569717290039</v>
      </c>
      <c r="ER8" s="79">
        <f>EJ8*'Useful Constants'!$B$3</f>
        <v>17.95345212869675</v>
      </c>
      <c r="ES8" s="79">
        <f>EK8*'Useful Constants'!$B$3</f>
        <v>14.545830839691478</v>
      </c>
      <c r="ET8" s="79">
        <f>EL8*'Useful Constants'!$B$3</f>
        <v>11.89488843749003</v>
      </c>
      <c r="EU8" s="79">
        <f>EM8*'Useful Constants'!$B$3</f>
        <v>8.6866149649965649</v>
      </c>
      <c r="EV8" s="78">
        <f>EF8*'Useful Constants'!$B$4</f>
        <v>17.538821453522392</v>
      </c>
      <c r="EW8" s="78">
        <f>EG8*'Useful Constants'!$B$4</f>
        <v>13.898394496899201</v>
      </c>
      <c r="EX8" s="78">
        <f>EH8*'Useful Constants'!$B$4</f>
        <v>10.747956219784152</v>
      </c>
      <c r="EY8" s="78">
        <f>EI8*'Useful Constants'!$B$4</f>
        <v>7.7825232390966796</v>
      </c>
      <c r="EZ8" s="78">
        <f>EJ8*'Useful Constants'!$B$4</f>
        <v>5.9844840428989166</v>
      </c>
      <c r="FA8" s="78">
        <f>EK8*'Useful Constants'!$B$4</f>
        <v>4.8486102798971586</v>
      </c>
      <c r="FB8" s="78">
        <f>EL8*'Useful Constants'!$B$4</f>
        <v>3.9649628124966765</v>
      </c>
      <c r="FC8" s="78">
        <f>EM8*'Useful Constants'!$B$4</f>
        <v>2.8955383216655215</v>
      </c>
      <c r="FD8" s="40">
        <f t="shared" si="26"/>
        <v>0.57119507676249814</v>
      </c>
      <c r="FE8" s="40">
        <f t="shared" si="27"/>
        <v>0.65376316524769984</v>
      </c>
      <c r="FF8" s="40">
        <f t="shared" si="28"/>
        <v>0.67130781353479552</v>
      </c>
      <c r="FG8" s="40">
        <f t="shared" si="29"/>
        <v>0.68473017679662362</v>
      </c>
      <c r="FH8" s="40">
        <f t="shared" si="30"/>
        <v>0.69106985444583269</v>
      </c>
      <c r="FI8" s="40">
        <f t="shared" si="31"/>
        <v>0.69986323253341942</v>
      </c>
      <c r="FJ8" s="40">
        <f t="shared" si="32"/>
        <v>0.704316416822379</v>
      </c>
      <c r="FK8" s="40">
        <f t="shared" si="33"/>
        <v>0.67562883627023451</v>
      </c>
      <c r="FL8" s="4">
        <f t="shared" si="34"/>
        <v>0.43572045563392542</v>
      </c>
      <c r="FM8" s="4">
        <f t="shared" si="35"/>
        <v>0.54617963641043032</v>
      </c>
      <c r="FN8" s="4">
        <f t="shared" si="36"/>
        <v>0.71662388606547944</v>
      </c>
      <c r="FO8" s="4">
        <f t="shared" si="37"/>
        <v>0.75844187916425221</v>
      </c>
      <c r="FP8" s="4">
        <f t="shared" si="38"/>
        <v>0.79196383185571528</v>
      </c>
      <c r="FQ8" s="4">
        <f t="shared" si="39"/>
        <v>0.82195684481109155</v>
      </c>
      <c r="FR8" s="4">
        <f t="shared" si="40"/>
        <v>0.86595462361396536</v>
      </c>
      <c r="FS8" s="4">
        <f t="shared" si="41"/>
        <v>0.85455672502311175</v>
      </c>
      <c r="FT8" s="38">
        <f t="shared" si="42"/>
        <v>0.43181845943788766</v>
      </c>
      <c r="FU8" s="38">
        <f t="shared" si="43"/>
        <v>0.54231680640820834</v>
      </c>
      <c r="FV8" s="38">
        <f t="shared" si="44"/>
        <v>0.70657460537484029</v>
      </c>
      <c r="FW8" s="38">
        <f t="shared" si="45"/>
        <v>0.73230254051605259</v>
      </c>
      <c r="FX8" s="38">
        <f t="shared" si="46"/>
        <v>0.75063317121553819</v>
      </c>
      <c r="FY8" s="38">
        <f t="shared" si="47"/>
        <v>0.76856674805661618</v>
      </c>
      <c r="FZ8" s="38">
        <f t="shared" si="48"/>
        <v>0.79052244615357226</v>
      </c>
      <c r="GA8" s="38">
        <f t="shared" si="49"/>
        <v>0.77102112062070283</v>
      </c>
    </row>
    <row r="9" spans="1:183" x14ac:dyDescent="0.25">
      <c r="A9" s="1" t="str">
        <f>Data!A9</f>
        <v>AZ_PRESCOTT-LOVE-FIELD_723723_TY3A</v>
      </c>
      <c r="B9" s="1" t="str">
        <f>TY3A_REP_CITIES!B9</f>
        <v>Prescott</v>
      </c>
      <c r="C9" s="1" t="str">
        <f>TY3A_REP_CITIES!C9</f>
        <v>Yavapai</v>
      </c>
      <c r="D9" s="2" t="str">
        <f>TY3A_REP_CITIES!A9</f>
        <v>AZ</v>
      </c>
      <c r="E9" s="42">
        <f>TY3A_REP_CITIES!E9</f>
        <v>235099</v>
      </c>
      <c r="F9" s="2">
        <f>TY3A_REP_CITIES!G9</f>
        <v>4</v>
      </c>
      <c r="G9" s="2" t="str">
        <f>TY3A_REP_CITIES!H9</f>
        <v>Mixed-Dry</v>
      </c>
      <c r="H9" s="2" t="str">
        <f>TY3A_REP_CITIES!I9</f>
        <v>Southwest</v>
      </c>
      <c r="I9" s="2">
        <f>Data!B9</f>
        <v>34.65</v>
      </c>
      <c r="J9" s="2">
        <f>Data!C9</f>
        <v>-112.42</v>
      </c>
      <c r="K9" s="2">
        <f>VLOOKUP(D9,Table1[],2,FALSE)</f>
        <v>3.4</v>
      </c>
      <c r="L9" s="2">
        <v>0.5</v>
      </c>
      <c r="M9" s="10">
        <f>Data!N9</f>
        <v>4643.4975100000001</v>
      </c>
      <c r="N9" s="10">
        <f>Data!Q9</f>
        <v>29308</v>
      </c>
      <c r="O9" s="10">
        <f>Data!O9</f>
        <v>24283554710.166901</v>
      </c>
      <c r="P9" s="10">
        <f>Data!P9</f>
        <v>25295369489.757168</v>
      </c>
      <c r="Q9" s="10">
        <f>Data!S9*15</f>
        <v>19085.709868939499</v>
      </c>
      <c r="R9" s="48">
        <f>SUM(Data!U9:AA9)*2+Data!AB9</f>
        <v>272.86229527554804</v>
      </c>
      <c r="S9" s="48">
        <f>SUM(Data!V9:AB9)*2+Data!AC9</f>
        <v>221.72057301772213</v>
      </c>
      <c r="T9" s="48">
        <f>SUM(Data!W9:AC9)*2+Data!AD9</f>
        <v>205.43903035657306</v>
      </c>
      <c r="U9" s="48">
        <f>SUM(Data!X9:AD9)*2+Data!AE9</f>
        <v>194.69594284659379</v>
      </c>
      <c r="V9" s="48">
        <f>SUM(Data!Y9:AE9)*2+Data!AF9</f>
        <v>192.37648029306962</v>
      </c>
      <c r="W9" s="48">
        <f>SUM(Data!Z9:AF9)*2+Data!AG9</f>
        <v>186.30584704896501</v>
      </c>
      <c r="X9" s="48">
        <f>SUM(Data!AA9:AG9)*2+Data!AH9</f>
        <v>180.75274704823579</v>
      </c>
      <c r="Y9" s="48">
        <f>SUM(Data!AB9:AH9)*2+Data!AI9</f>
        <v>198.19314729384456</v>
      </c>
      <c r="Z9" s="80">
        <f>(SUM(Data!CS9:CY9)*2+Data!CZ9)/('Useful Constants'!$B$1*1000000)*$K9/100</f>
        <v>0.31331747227224932</v>
      </c>
      <c r="AA9" s="80">
        <f>(SUM(Data!CT9:CZ9)*2+Data!DA9)/('Useful Constants'!$B$1*1000000)*$K9/100</f>
        <v>0.24456184792286811</v>
      </c>
      <c r="AB9" s="80">
        <f>(SUM(Data!CU9:DA9)*2+Data!DB9)/('Useful Constants'!$B$1*1000000)*$K9/100</f>
        <v>0.19295367710200761</v>
      </c>
      <c r="AC9" s="80">
        <f>(SUM(Data!CV9:DB9)*2+Data!DC9)/('Useful Constants'!$B$1*1000000)*$K9/100</f>
        <v>0.13942009229868291</v>
      </c>
      <c r="AD9" s="80">
        <f>(SUM(Data!CW9:DC9)*2+Data!DD9)/('Useful Constants'!$B$1*1000000)*$K9/100</f>
        <v>0.10767893404455435</v>
      </c>
      <c r="AE9" s="80">
        <f>(SUM(Data!CX9:DD9)*2+Data!DE9)/('Useful Constants'!$B$1*1000000)*$K9/100</f>
        <v>8.5381921547240794E-2</v>
      </c>
      <c r="AF9" s="80">
        <f>(SUM(Data!CY9:DE9)*2+Data!DF9)/('Useful Constants'!$B$1*1000000)*$K9/100</f>
        <v>7.1047415369026229E-2</v>
      </c>
      <c r="AG9" s="80">
        <f>(SUM(Data!CZ9:DF9)*2+Data!DG9)/('Useful Constants'!$B$1*1000000)*$K9/100</f>
        <v>5.3667020014067389E-2</v>
      </c>
      <c r="AH9" s="48">
        <f>Z9*'Useful Constants'!$B$3</f>
        <v>26.318667670868944</v>
      </c>
      <c r="AI9" s="48">
        <f>AA9*'Useful Constants'!$B$3</f>
        <v>20.543195225520922</v>
      </c>
      <c r="AJ9" s="48">
        <f>AB9*'Useful Constants'!$B$3</f>
        <v>16.208108876568641</v>
      </c>
      <c r="AK9" s="48">
        <f>AC9*'Useful Constants'!$B$3</f>
        <v>11.711287753089364</v>
      </c>
      <c r="AL9" s="48">
        <f>AD9*'Useful Constants'!$B$3</f>
        <v>9.0450304597425646</v>
      </c>
      <c r="AM9" s="48">
        <f>AE9*'Useful Constants'!$B$3</f>
        <v>7.1720814099682269</v>
      </c>
      <c r="AN9" s="48">
        <f>AF9*'Useful Constants'!$B$3</f>
        <v>5.9679828909982033</v>
      </c>
      <c r="AO9" s="48">
        <f>AG9*'Useful Constants'!$B$3</f>
        <v>4.5080296811816609</v>
      </c>
      <c r="AP9" s="10">
        <f>Z9*'Useful Constants'!$B$4</f>
        <v>8.7728892236229807</v>
      </c>
      <c r="AQ9" s="10">
        <f>AA9*'Useful Constants'!$B$4</f>
        <v>6.847731741840307</v>
      </c>
      <c r="AR9" s="10">
        <f>AB9*'Useful Constants'!$B$4</f>
        <v>5.4027029588562137</v>
      </c>
      <c r="AS9" s="10">
        <f>AC9*'Useful Constants'!$B$4</f>
        <v>3.9037625843631214</v>
      </c>
      <c r="AT9" s="10">
        <f>AD9*'Useful Constants'!$B$4</f>
        <v>3.015010153247522</v>
      </c>
      <c r="AU9" s="10">
        <f>AE9*'Useful Constants'!$B$4</f>
        <v>2.3906938033227423</v>
      </c>
      <c r="AV9" s="10">
        <f>AF9*'Useful Constants'!$B$4</f>
        <v>1.9893276303327343</v>
      </c>
      <c r="AW9" s="10">
        <f>AG9*'Useful Constants'!$B$4</f>
        <v>1.502676560393887</v>
      </c>
      <c r="AX9" s="48">
        <f>P9/1000000/'Useful Constants'!$B$1*K9/100*'Useful Constants'!$B$3*15</f>
        <v>21673.072578823943</v>
      </c>
      <c r="AY9" s="48">
        <f>P9/1000000/'Useful Constants'!$B$1*L9/100*'Useful Constants'!$B$3*15</f>
        <v>3187.2165557094031</v>
      </c>
      <c r="AZ9" s="48">
        <f>P9/1000000/'Useful Constants'!$B$1*K9/100*'Useful Constants'!$B$4*15</f>
        <v>7224.357526274649</v>
      </c>
      <c r="BA9" s="48">
        <f>P9/1000000/'Useful Constants'!$B$1*L9/100*'Useful Constants'!$B$4*15</f>
        <v>1062.405518569801</v>
      </c>
      <c r="BB9" s="7">
        <f>Data!AN9</f>
        <v>4643.4975100000001</v>
      </c>
      <c r="BC9" s="7">
        <f>Data!AQ9</f>
        <v>4643.4975100000001</v>
      </c>
      <c r="BD9" s="7">
        <f>Data!AT9</f>
        <v>5347.3536100000001</v>
      </c>
      <c r="BE9" s="6">
        <f>Data!AO9</f>
        <v>22361421526.738602</v>
      </c>
      <c r="BF9" s="6">
        <f>Data!AP9</f>
        <v>6711526471.9656801</v>
      </c>
      <c r="BG9" s="6">
        <f>Data!AR9</f>
        <v>722309505.78623199</v>
      </c>
      <c r="BH9" s="6">
        <f>Data!AS9</f>
        <v>722309505.78623199</v>
      </c>
      <c r="BI9" s="8">
        <f t="shared" si="0"/>
        <v>0.968709152572931</v>
      </c>
      <c r="BJ9" s="8">
        <f t="shared" si="1"/>
        <v>0.90283488794372513</v>
      </c>
      <c r="BK9" s="13">
        <f>BB9*'Useful Constants'!$B$5/'Useful Constants'!$B$6*'Useful Constants'!$B$7</f>
        <v>1.1882710128089999</v>
      </c>
      <c r="BL9" s="52">
        <f>1-VLOOKUP($G9,'Useful Constants'!$A$17:$X$23,10,FALSE)</f>
        <v>0.10654528000000008</v>
      </c>
      <c r="BM9" s="52">
        <f>1-VLOOKUP($G9,'Useful Constants'!$A$17:$X$23,12,FALSE)</f>
        <v>8.5501519999999998E-2</v>
      </c>
      <c r="BN9" s="52">
        <f>1-VLOOKUP($G9,'Useful Constants'!$A$17:$X$23,14,FALSE)</f>
        <v>6.6471999999999865E-2</v>
      </c>
      <c r="BO9" s="52">
        <f>1-VLOOKUP($G9,'Useful Constants'!$A$17:$X$23,16,FALSE)</f>
        <v>4.945672000000001E-2</v>
      </c>
      <c r="BP9" s="52">
        <f>1-VLOOKUP($G9,'Useful Constants'!$A$17:$X$23,18,FALSE)</f>
        <v>3.4455679999999989E-2</v>
      </c>
      <c r="BQ9" s="52">
        <f>1-VLOOKUP($G9,'Useful Constants'!$A$17:$X$23,20, FALSE)</f>
        <v>2.1468880000000024E-2</v>
      </c>
      <c r="BR9" s="52">
        <f>1-VLOOKUP($G9,'Useful Constants'!$A$17:$X$23,22, FALSE)</f>
        <v>0</v>
      </c>
      <c r="BS9" s="52">
        <f>1-VLOOKUP($G9,'Useful Constants'!$A$17:$X$23,24, FALSE)</f>
        <v>0</v>
      </c>
      <c r="BT9" s="13">
        <f t="shared" si="2"/>
        <v>0.12660466777561857</v>
      </c>
      <c r="BU9" s="13">
        <f t="shared" si="3"/>
        <v>0.10159897776710897</v>
      </c>
      <c r="BV9" s="13">
        <f t="shared" si="4"/>
        <v>7.8986750763439681E-2</v>
      </c>
      <c r="BW9" s="13">
        <f t="shared" si="5"/>
        <v>5.8767986764611133E-2</v>
      </c>
      <c r="BX9" s="13">
        <f t="shared" si="6"/>
        <v>4.0942685770622787E-2</v>
      </c>
      <c r="BY9" s="13">
        <f t="shared" si="7"/>
        <v>2.5510847781474909E-2</v>
      </c>
      <c r="BZ9" s="13">
        <f t="shared" si="8"/>
        <v>0</v>
      </c>
      <c r="CA9" s="13">
        <f t="shared" si="9"/>
        <v>0</v>
      </c>
      <c r="CB9" s="59">
        <f>+SUM(Data!BM9:BS9)*2+Data!BT9</f>
        <v>1747.3993682274649</v>
      </c>
      <c r="CC9" s="59">
        <f>+SUM(Data!BN9:BT9)*2+Data!BU9</f>
        <v>1419.6382414373013</v>
      </c>
      <c r="CD9" s="59">
        <f>+SUM(Data!BO9:BU9)*2+Data!BV9</f>
        <v>1317.3221539109845</v>
      </c>
      <c r="CE9" s="59">
        <f>+SUM(Data!BP9:BV9)*2+Data!BW9</f>
        <v>1248.7478197499158</v>
      </c>
      <c r="CF9" s="59">
        <f>+SUM(Data!BQ9:BW9)*2+Data!BX9</f>
        <v>1233.0574866131162</v>
      </c>
      <c r="CG9" s="59">
        <f>+SUM(Data!BR9:BX9)*2+Data!BY9</f>
        <v>1194.3472908899253</v>
      </c>
      <c r="CH9" s="59">
        <f>+SUM(Data!BS9:BY9)*2+Data!BZ9</f>
        <v>1158.3211707026678</v>
      </c>
      <c r="CI9" s="59">
        <f>+SUM(Data!BT9:BZ9)*2+Data!CA9</f>
        <v>1269.3224461718883</v>
      </c>
      <c r="CJ9" s="13">
        <f>+SUM(Data!AW9:BC9)*2+Data!BD9</f>
        <v>7526.0955951081023</v>
      </c>
      <c r="CK9" s="13">
        <f>+SUM(Data!AX9:BD9)*2+Data!BE9</f>
        <v>6111.2259262333537</v>
      </c>
      <c r="CL9" s="13">
        <f>+SUM(Data!AY9:BE9)*2+Data!BF9</f>
        <v>5675.6812429330985</v>
      </c>
      <c r="CM9" s="13">
        <f>+SUM(Data!AZ9:BF9)*2+Data!BG9</f>
        <v>5345.2238656013724</v>
      </c>
      <c r="CN9" s="13">
        <f>+SUM(Data!BA9:BG9)*2+Data!BH9</f>
        <v>5284.4091293697129</v>
      </c>
      <c r="CO9" s="13">
        <f>+SUM(Data!BB9:BH9)*2+Data!BI9</f>
        <v>5127.5192871687286</v>
      </c>
      <c r="CP9" s="13">
        <f>+SUM(Data!BC9:BI9)*2+Data!BJ9</f>
        <v>4989.7880881366782</v>
      </c>
      <c r="CQ9" s="13">
        <f>+SUM(Data!BD9:BJ9)*2+Data!BK9</f>
        <v>5478.9579544455137</v>
      </c>
      <c r="CR9" s="59">
        <f>+SUM(Data!CC9:CI9)*2+Data!CJ9</f>
        <v>811.05339617585571</v>
      </c>
      <c r="CS9" s="59">
        <f>+SUM(Data!CD9:CJ9)*2+Data!CK9</f>
        <v>648.244569119076</v>
      </c>
      <c r="CT9" s="59">
        <f>+SUM(Data!CE9:CK9)*2+Data!CL9</f>
        <v>614.36753809503512</v>
      </c>
      <c r="CU9" s="59">
        <f>+SUM(Data!CF9:CL9)*2+Data!CM9</f>
        <v>575.83885462994522</v>
      </c>
      <c r="CV9" s="59">
        <f>+SUM(Data!CG9:CM9)*2+Data!CN9</f>
        <v>570.86767554174583</v>
      </c>
      <c r="CW9" s="59">
        <f>+SUM(Data!CH9:CN9)*2+Data!CO9</f>
        <v>565.73655062046873</v>
      </c>
      <c r="CX9" s="59">
        <f>+SUM(Data!CI9:CO9)*2+Data!CP9</f>
        <v>558.19338837026419</v>
      </c>
      <c r="CY9" s="59">
        <f>+SUM(Data!CJ9:CP9)*2+Data!CQ9</f>
        <v>622.68771951247538</v>
      </c>
      <c r="CZ9" s="60">
        <f t="shared" si="10"/>
        <v>10084.548359511424</v>
      </c>
      <c r="DA9" s="60">
        <f t="shared" si="11"/>
        <v>8179.1087367897308</v>
      </c>
      <c r="DB9" s="60">
        <f t="shared" si="12"/>
        <v>7607.3709349391183</v>
      </c>
      <c r="DC9" s="60">
        <f t="shared" si="13"/>
        <v>7169.8105399812339</v>
      </c>
      <c r="DD9" s="60">
        <f t="shared" si="14"/>
        <v>7088.3342915245748</v>
      </c>
      <c r="DE9" s="60">
        <f t="shared" si="15"/>
        <v>6887.6031286791231</v>
      </c>
      <c r="DF9" s="60">
        <f t="shared" si="16"/>
        <v>6706.3026472096099</v>
      </c>
      <c r="DG9" s="60">
        <f t="shared" si="17"/>
        <v>7370.9681201298772</v>
      </c>
      <c r="DH9" s="13">
        <f t="shared" si="18"/>
        <v>0.13017144834117128</v>
      </c>
      <c r="DI9" s="13">
        <f t="shared" si="19"/>
        <v>0.10446128344466896</v>
      </c>
      <c r="DJ9" s="13">
        <f t="shared" si="20"/>
        <v>8.1212011589197705E-2</v>
      </c>
      <c r="DK9" s="13">
        <f t="shared" si="21"/>
        <v>6.042363277475802E-2</v>
      </c>
      <c r="DL9" s="13">
        <f t="shared" si="22"/>
        <v>4.2096147001349324E-2</v>
      </c>
      <c r="DM9" s="13">
        <f t="shared" si="23"/>
        <v>2.6229554268971902E-2</v>
      </c>
      <c r="DN9" s="13">
        <f t="shared" si="24"/>
        <v>0</v>
      </c>
      <c r="DO9" s="13">
        <f t="shared" si="25"/>
        <v>0</v>
      </c>
      <c r="DP9" s="50">
        <f>DH9*'Useful Constants'!$B$8</f>
        <v>554.53036993338969</v>
      </c>
      <c r="DQ9" s="50">
        <f>DI9*'Useful Constants'!$B$8</f>
        <v>445.00506747428977</v>
      </c>
      <c r="DR9" s="50">
        <f>DJ9*'Useful Constants'!$B$10</f>
        <v>197.34518816175043</v>
      </c>
      <c r="DS9" s="50">
        <f>DK9*'Useful Constants'!$B$10</f>
        <v>146.82942764266198</v>
      </c>
      <c r="DT9" s="50">
        <f>DL9*'Useful Constants'!$B$10</f>
        <v>102.29363721327886</v>
      </c>
      <c r="DU9" s="50">
        <f>DM9*'Useful Constants'!$B$10</f>
        <v>63.737816873601723</v>
      </c>
      <c r="DV9" s="50">
        <f>DN9*'Useful Constants'!$B$10</f>
        <v>0</v>
      </c>
      <c r="DW9" s="50">
        <f>DO9*'Useful Constants'!$B$10</f>
        <v>0</v>
      </c>
      <c r="DX9" s="14">
        <f>DH9*'Useful Constants'!$B$9</f>
        <v>250.44986660841354</v>
      </c>
      <c r="DY9" s="14">
        <f>DI9*'Useful Constants'!$B$9</f>
        <v>200.98350934754308</v>
      </c>
      <c r="DZ9" s="14">
        <f>DJ9*'Useful Constants'!$B$11</f>
        <v>54.980531845886844</v>
      </c>
      <c r="EA9" s="14">
        <f>DK9*'Useful Constants'!$B$11</f>
        <v>40.906799388511182</v>
      </c>
      <c r="EB9" s="14">
        <f>DL9*'Useful Constants'!$B$11</f>
        <v>28.499091519913492</v>
      </c>
      <c r="EC9" s="14">
        <f>DM9*'Useful Constants'!$B$11</f>
        <v>17.757408240093977</v>
      </c>
      <c r="ED9" s="14">
        <f>DN9*'Useful Constants'!$B$11</f>
        <v>0</v>
      </c>
      <c r="EE9" s="14">
        <f>DO9*'Useful Constants'!$B$11</f>
        <v>0</v>
      </c>
      <c r="EF9" s="78">
        <f>(SUM(Data!DI9:DO9)*2+Data!DP9)/('Useful Constants'!$B$1*1000000)*$K9/100</f>
        <v>12.067144723901048</v>
      </c>
      <c r="EG9" s="78">
        <f>(SUM(Data!DJ9:DP9)*2+Data!DQ9)/('Useful Constants'!$B$1*1000000)*$K9/100</f>
        <v>9.5045792862402703</v>
      </c>
      <c r="EH9" s="78">
        <f>(SUM(Data!DK9:DQ9)*2+Data!DR9)/('Useful Constants'!$B$1*1000000)*$K9/100</f>
        <v>7.4888539494399735</v>
      </c>
      <c r="EI9" s="78">
        <f>(SUM(Data!DL9:DR9)*2+Data!DS9)/('Useful Constants'!$B$1*1000000)*$K9/100</f>
        <v>5.4139338347029256</v>
      </c>
      <c r="EJ9" s="78">
        <f>(SUM(Data!DM9:DS9)*2+Data!DT9)/('Useful Constants'!$B$1*1000000)*$K9/100</f>
        <v>4.1771241642310857</v>
      </c>
      <c r="EK9" s="78">
        <f>(SUM(Data!DN9:DT9)*2+Data!DU9)/('Useful Constants'!$B$1*1000000)*$K9/100</f>
        <v>3.3261450353810913</v>
      </c>
      <c r="EL9" s="78">
        <f>(SUM(Data!DO9:DU9)*2+Data!DV9)/('Useful Constants'!$B$1*1000000)*$K9/100</f>
        <v>2.7785594115108285</v>
      </c>
      <c r="EM9" s="78">
        <f>(SUM(Data!DP9:DV9)*2+Data!DW9)/('Useful Constants'!$B$1*1000000)*$K9/100</f>
        <v>2.1169503518315755</v>
      </c>
      <c r="EN9" s="79">
        <f>EF9*'Useful Constants'!$B$3</f>
        <v>1013.6401568076881</v>
      </c>
      <c r="EO9" s="79">
        <f>EG9*'Useful Constants'!$B$3</f>
        <v>798.38466004418274</v>
      </c>
      <c r="EP9" s="79">
        <f>EH9*'Useful Constants'!$B$3</f>
        <v>629.06373175295778</v>
      </c>
      <c r="EQ9" s="79">
        <f>EI9*'Useful Constants'!$B$3</f>
        <v>454.77044211504574</v>
      </c>
      <c r="ER9" s="79">
        <f>EJ9*'Useful Constants'!$B$3</f>
        <v>350.87842979541119</v>
      </c>
      <c r="ES9" s="79">
        <f>EK9*'Useful Constants'!$B$3</f>
        <v>279.39618297201167</v>
      </c>
      <c r="ET9" s="79">
        <f>EL9*'Useful Constants'!$B$3</f>
        <v>233.39899056690959</v>
      </c>
      <c r="EU9" s="79">
        <f>EM9*'Useful Constants'!$B$3</f>
        <v>177.82382955385233</v>
      </c>
      <c r="EV9" s="78">
        <f>EF9*'Useful Constants'!$B$4</f>
        <v>337.88005226922934</v>
      </c>
      <c r="EW9" s="78">
        <f>EG9*'Useful Constants'!$B$4</f>
        <v>266.12822001472756</v>
      </c>
      <c r="EX9" s="78">
        <f>EH9*'Useful Constants'!$B$4</f>
        <v>209.68791058431927</v>
      </c>
      <c r="EY9" s="78">
        <f>EI9*'Useful Constants'!$B$4</f>
        <v>151.59014737168192</v>
      </c>
      <c r="EZ9" s="78">
        <f>EJ9*'Useful Constants'!$B$4</f>
        <v>116.9594765984704</v>
      </c>
      <c r="FA9" s="78">
        <f>EK9*'Useful Constants'!$B$4</f>
        <v>93.132060990670553</v>
      </c>
      <c r="FB9" s="78">
        <f>EL9*'Useful Constants'!$B$4</f>
        <v>77.799663522303206</v>
      </c>
      <c r="FC9" s="78">
        <f>EM9*'Useful Constants'!$B$4</f>
        <v>59.274609851284112</v>
      </c>
      <c r="FD9" s="40">
        <f t="shared" si="26"/>
        <v>0.47906548716681485</v>
      </c>
      <c r="FE9" s="40">
        <f t="shared" si="27"/>
        <v>0.57637507687115086</v>
      </c>
      <c r="FF9" s="40">
        <f t="shared" si="28"/>
        <v>0.60565485370253358</v>
      </c>
      <c r="FG9" s="40">
        <f t="shared" si="29"/>
        <v>0.62812968720822582</v>
      </c>
      <c r="FH9" s="40">
        <f t="shared" si="30"/>
        <v>0.63231131124139039</v>
      </c>
      <c r="FI9" s="40">
        <f t="shared" si="31"/>
        <v>0.64261117102737597</v>
      </c>
      <c r="FJ9" s="40">
        <f t="shared" si="32"/>
        <v>0.65191832144399087</v>
      </c>
      <c r="FK9" s="40">
        <f t="shared" si="33"/>
        <v>0.61776575447797377</v>
      </c>
      <c r="FL9" s="4">
        <f t="shared" si="34"/>
        <v>0.73663303222867316</v>
      </c>
      <c r="FM9" s="4">
        <f t="shared" si="35"/>
        <v>0.78676467746681067</v>
      </c>
      <c r="FN9" s="4">
        <f t="shared" si="36"/>
        <v>0.80905072849922266</v>
      </c>
      <c r="FO9" s="4">
        <f t="shared" si="37"/>
        <v>0.82398670712216526</v>
      </c>
      <c r="FP9" s="4">
        <f t="shared" si="38"/>
        <v>0.82917447337374639</v>
      </c>
      <c r="FQ9" s="4">
        <f t="shared" si="39"/>
        <v>0.83618434945037123</v>
      </c>
      <c r="FR9" s="4">
        <f t="shared" si="40"/>
        <v>0.8427538189421262</v>
      </c>
      <c r="FS9" s="4">
        <f t="shared" si="41"/>
        <v>0.82901440090354328</v>
      </c>
      <c r="FT9" s="38">
        <f t="shared" si="42"/>
        <v>0.61405812689899475</v>
      </c>
      <c r="FU9" s="38">
        <f t="shared" si="43"/>
        <v>0.6867429602495172</v>
      </c>
      <c r="FV9" s="38">
        <f t="shared" si="44"/>
        <v>0.71460865098759496</v>
      </c>
      <c r="FW9" s="38">
        <f t="shared" si="45"/>
        <v>0.73296985618142152</v>
      </c>
      <c r="FX9" s="38">
        <f t="shared" si="46"/>
        <v>0.73760053540698134</v>
      </c>
      <c r="FY9" s="38">
        <f t="shared" si="47"/>
        <v>0.74607417840418855</v>
      </c>
      <c r="FZ9" s="38">
        <f t="shared" si="48"/>
        <v>0.75379969586256379</v>
      </c>
      <c r="GA9" s="38">
        <f t="shared" si="49"/>
        <v>0.73051656542931664</v>
      </c>
    </row>
    <row r="10" spans="1:183" x14ac:dyDescent="0.25">
      <c r="A10" s="1" t="str">
        <f>Data!A10</f>
        <v>CA_BISHOP-AP_724800_TY3A</v>
      </c>
      <c r="B10" s="1" t="str">
        <f>TY3A_REP_CITIES!B10</f>
        <v>Bishop</v>
      </c>
      <c r="C10" s="1" t="str">
        <f>TY3A_REP_CITIES!C10</f>
        <v>Inyo</v>
      </c>
      <c r="D10" s="2" t="str">
        <f>TY3A_REP_CITIES!A10</f>
        <v>CA</v>
      </c>
      <c r="E10" s="42">
        <f>TY3A_REP_CITIES!E10</f>
        <v>18039</v>
      </c>
      <c r="F10" s="2">
        <f>TY3A_REP_CITIES!G10</f>
        <v>5</v>
      </c>
      <c r="G10" s="2" t="str">
        <f>TY3A_REP_CITIES!H10</f>
        <v>Cold</v>
      </c>
      <c r="H10" s="2" t="str">
        <f>TY3A_REP_CITIES!I10</f>
        <v>Pacific</v>
      </c>
      <c r="I10" s="2">
        <f>Data!B10</f>
        <v>37.369999999999997</v>
      </c>
      <c r="J10" s="2">
        <f>Data!C10</f>
        <v>-118.35</v>
      </c>
      <c r="K10" s="2">
        <f>VLOOKUP(D10,Table1[],2,FALSE)</f>
        <v>2.8</v>
      </c>
      <c r="L10" s="2">
        <v>0.5</v>
      </c>
      <c r="M10" s="10">
        <f>Data!N10</f>
        <v>4380.27693</v>
      </c>
      <c r="N10" s="10">
        <f>Data!Q10</f>
        <v>29308</v>
      </c>
      <c r="O10" s="10">
        <f>Data!O10</f>
        <v>14451723961.368099</v>
      </c>
      <c r="P10" s="10">
        <f>Data!P10</f>
        <v>15053879126.425169</v>
      </c>
      <c r="Q10" s="10">
        <f>Data!S10*15</f>
        <v>11358.3622301061</v>
      </c>
      <c r="R10" s="48">
        <f>SUM(Data!U10:AA10)*2+Data!AB10</f>
        <v>53.973382593376307</v>
      </c>
      <c r="S10" s="48">
        <f>SUM(Data!V10:AB10)*2+Data!AC10</f>
        <v>52.90004494309548</v>
      </c>
      <c r="T10" s="48">
        <f>SUM(Data!W10:AC10)*2+Data!AD10</f>
        <v>49.40243497451192</v>
      </c>
      <c r="U10" s="48">
        <f>SUM(Data!X10:AD10)*2+Data!AE10</f>
        <v>47.299803128229023</v>
      </c>
      <c r="V10" s="48">
        <f>SUM(Data!Y10:AE10)*2+Data!AF10</f>
        <v>43.551670619308958</v>
      </c>
      <c r="W10" s="48">
        <f>SUM(Data!Z10:AF10)*2+Data!AG10</f>
        <v>37.062295325565707</v>
      </c>
      <c r="X10" s="48">
        <f>SUM(Data!AA10:AG10)*2+Data!AH10</f>
        <v>34.779550337327684</v>
      </c>
      <c r="Y10" s="48">
        <f>SUM(Data!AB10:AH10)*2+Data!AI10</f>
        <v>34.358304769787331</v>
      </c>
      <c r="Z10" s="80">
        <f>(SUM(Data!CS10:CY10)*2+Data!CZ10)/('Useful Constants'!$B$1*1000000)*$K10/100</f>
        <v>0.92374533864791852</v>
      </c>
      <c r="AA10" s="80">
        <f>(SUM(Data!CT10:CZ10)*2+Data!DA10)/('Useful Constants'!$B$1*1000000)*$K10/100</f>
        <v>0.87167606426627853</v>
      </c>
      <c r="AB10" s="80">
        <f>(SUM(Data!CU10:DA10)*2+Data!DB10)/('Useful Constants'!$B$1*1000000)*$K10/100</f>
        <v>0.81840120965129382</v>
      </c>
      <c r="AC10" s="80">
        <f>(SUM(Data!CV10:DB10)*2+Data!DC10)/('Useful Constants'!$B$1*1000000)*$K10/100</f>
        <v>0.7628696161787144</v>
      </c>
      <c r="AD10" s="80">
        <f>(SUM(Data!CW10:DC10)*2+Data!DD10)/('Useful Constants'!$B$1*1000000)*$K10/100</f>
        <v>0.70844652914082284</v>
      </c>
      <c r="AE10" s="80">
        <f>(SUM(Data!CX10:DD10)*2+Data!DE10)/('Useful Constants'!$B$1*1000000)*$K10/100</f>
        <v>0.65463251784989585</v>
      </c>
      <c r="AF10" s="80">
        <f>(SUM(Data!CY10:DE10)*2+Data!DF10)/('Useful Constants'!$B$1*1000000)*$K10/100</f>
        <v>0.59743194966502078</v>
      </c>
      <c r="AG10" s="80">
        <f>(SUM(Data!CZ10:DF10)*2+Data!DG10)/('Useful Constants'!$B$1*1000000)*$K10/100</f>
        <v>0.54310855756206788</v>
      </c>
      <c r="AH10" s="48">
        <f>Z10*'Useful Constants'!$B$3</f>
        <v>77.594608446425156</v>
      </c>
      <c r="AI10" s="48">
        <f>AA10*'Useful Constants'!$B$3</f>
        <v>73.220789398367401</v>
      </c>
      <c r="AJ10" s="48">
        <f>AB10*'Useful Constants'!$B$3</f>
        <v>68.745701610708679</v>
      </c>
      <c r="AK10" s="48">
        <f>AC10*'Useful Constants'!$B$3</f>
        <v>64.081047759012009</v>
      </c>
      <c r="AL10" s="48">
        <f>AD10*'Useful Constants'!$B$3</f>
        <v>59.50950844782912</v>
      </c>
      <c r="AM10" s="48">
        <f>AE10*'Useful Constants'!$B$3</f>
        <v>54.989131499391249</v>
      </c>
      <c r="AN10" s="48">
        <f>AF10*'Useful Constants'!$B$3</f>
        <v>50.184283771861743</v>
      </c>
      <c r="AO10" s="48">
        <f>AG10*'Useful Constants'!$B$3</f>
        <v>45.6211188352137</v>
      </c>
      <c r="AP10" s="10">
        <f>Z10*'Useful Constants'!$B$4</f>
        <v>25.864869482141717</v>
      </c>
      <c r="AQ10" s="10">
        <f>AA10*'Useful Constants'!$B$4</f>
        <v>24.406929799455799</v>
      </c>
      <c r="AR10" s="10">
        <f>AB10*'Useful Constants'!$B$4</f>
        <v>22.915233870236229</v>
      </c>
      <c r="AS10" s="10">
        <f>AC10*'Useful Constants'!$B$4</f>
        <v>21.360349253004003</v>
      </c>
      <c r="AT10" s="10">
        <f>AD10*'Useful Constants'!$B$4</f>
        <v>19.836502815943039</v>
      </c>
      <c r="AU10" s="10">
        <f>AE10*'Useful Constants'!$B$4</f>
        <v>18.329710499797084</v>
      </c>
      <c r="AV10" s="10">
        <f>AF10*'Useful Constants'!$B$4</f>
        <v>16.728094590620582</v>
      </c>
      <c r="AW10" s="10">
        <f>AG10*'Useful Constants'!$B$4</f>
        <v>15.207039611737901</v>
      </c>
      <c r="AX10" s="48">
        <f>P10/1000000/'Useful Constants'!$B$1*K10/100*'Useful Constants'!$B$3*15</f>
        <v>10622.017111605597</v>
      </c>
      <c r="AY10" s="48">
        <f>P10/1000000/'Useful Constants'!$B$1*L10/100*'Useful Constants'!$B$3*15</f>
        <v>1896.7887699295713</v>
      </c>
      <c r="AZ10" s="48">
        <f>P10/1000000/'Useful Constants'!$B$1*K10/100*'Useful Constants'!$B$4*15</f>
        <v>3540.6723705351997</v>
      </c>
      <c r="BA10" s="48">
        <f>P10/1000000/'Useful Constants'!$B$1*L10/100*'Useful Constants'!$B$4*15</f>
        <v>632.26292330985711</v>
      </c>
      <c r="BB10" s="7">
        <f>Data!AN10</f>
        <v>4380.27693</v>
      </c>
      <c r="BC10" s="7">
        <f>Data!AQ10</f>
        <v>4380.27693</v>
      </c>
      <c r="BD10" s="7">
        <f>Data!AT10</f>
        <v>5239.9376400000001</v>
      </c>
      <c r="BE10" s="6">
        <f>Data!AO10</f>
        <v>13415075994.757</v>
      </c>
      <c r="BF10" s="6">
        <f>Data!AP10</f>
        <v>4270499598.8805799</v>
      </c>
      <c r="BG10" s="6">
        <f>Data!AR10</f>
        <v>364968177.862387</v>
      </c>
      <c r="BH10" s="6">
        <f>Data!AS10</f>
        <v>364968177.862387</v>
      </c>
      <c r="BI10" s="8">
        <f t="shared" si="0"/>
        <v>0.9735147309188189</v>
      </c>
      <c r="BJ10" s="8">
        <f t="shared" si="1"/>
        <v>0.92126616008561157</v>
      </c>
      <c r="BK10" s="13">
        <f>BB10*'Useful Constants'!$B$5/'Useful Constants'!$B$6*'Useful Constants'!$B$7</f>
        <v>1.1209128663870001</v>
      </c>
      <c r="BL10" s="52">
        <f>1-VLOOKUP($G10,'Useful Constants'!$A$17:$X$23,10,FALSE)</f>
        <v>6.6471999999999865E-2</v>
      </c>
      <c r="BM10" s="52">
        <f>1-VLOOKUP($G10,'Useful Constants'!$A$17:$X$23,12,FALSE)</f>
        <v>4.945672000000001E-2</v>
      </c>
      <c r="BN10" s="52">
        <f>1-VLOOKUP($G10,'Useful Constants'!$A$17:$X$23,14,FALSE)</f>
        <v>3.4455679999999989E-2</v>
      </c>
      <c r="BO10" s="52">
        <f>1-VLOOKUP($G10,'Useful Constants'!$A$17:$X$23,16,FALSE)</f>
        <v>2.1468880000000024E-2</v>
      </c>
      <c r="BP10" s="52">
        <f>1-VLOOKUP($G10,'Useful Constants'!$A$17:$X$23,18,FALSE)</f>
        <v>0</v>
      </c>
      <c r="BQ10" s="52">
        <f>1-VLOOKUP($G10,'Useful Constants'!$A$17:$X$23,20, FALSE)</f>
        <v>0</v>
      </c>
      <c r="BR10" s="52">
        <f>1-VLOOKUP($G10,'Useful Constants'!$A$17:$X$23,22, FALSE)</f>
        <v>0</v>
      </c>
      <c r="BS10" s="52">
        <f>1-VLOOKUP($G10,'Useful Constants'!$A$17:$X$23,24, FALSE)</f>
        <v>0</v>
      </c>
      <c r="BT10" s="13">
        <f t="shared" si="2"/>
        <v>7.4509320054476511E-2</v>
      </c>
      <c r="BU10" s="13">
        <f t="shared" si="3"/>
        <v>5.5436673777299286E-2</v>
      </c>
      <c r="BV10" s="13">
        <f t="shared" si="4"/>
        <v>3.8621815032113219E-2</v>
      </c>
      <c r="BW10" s="13">
        <f t="shared" si="5"/>
        <v>2.4064743818918564E-2</v>
      </c>
      <c r="BX10" s="13">
        <f t="shared" si="6"/>
        <v>0</v>
      </c>
      <c r="BY10" s="13">
        <f t="shared" si="7"/>
        <v>0</v>
      </c>
      <c r="BZ10" s="13">
        <f t="shared" si="8"/>
        <v>0</v>
      </c>
      <c r="CA10" s="13">
        <f t="shared" si="9"/>
        <v>0</v>
      </c>
      <c r="CB10" s="59">
        <f>+SUM(Data!BM10:BS10)*2+Data!BT10</f>
        <v>343.54620546517134</v>
      </c>
      <c r="CC10" s="59">
        <f>+SUM(Data!BN10:BT10)*2+Data!BU10</f>
        <v>336.47700663153211</v>
      </c>
      <c r="CD10" s="59">
        <f>+SUM(Data!BO10:BU10)*2+Data!BV10</f>
        <v>315.11580234765847</v>
      </c>
      <c r="CE10" s="59">
        <f>+SUM(Data!BP10:BV10)*2+Data!BW10</f>
        <v>302.37170045154335</v>
      </c>
      <c r="CF10" s="59">
        <f>+SUM(Data!BQ10:BW10)*2+Data!BX10</f>
        <v>279.05042334859911</v>
      </c>
      <c r="CG10" s="59">
        <f>+SUM(Data!BR10:BX10)*2+Data!BY10</f>
        <v>237.76151813764102</v>
      </c>
      <c r="CH10" s="59">
        <f>+SUM(Data!BS10:BY10)*2+Data!BZ10</f>
        <v>223.5331374904454</v>
      </c>
      <c r="CI10" s="59">
        <f>+SUM(Data!BT10:BZ10)*2+Data!CA10</f>
        <v>220.81502002198721</v>
      </c>
      <c r="CJ10" s="13">
        <f>+SUM(Data!AW10:BC10)*2+Data!BD10</f>
        <v>1770.658406214686</v>
      </c>
      <c r="CK10" s="13">
        <f>+SUM(Data!AX10:BD10)*2+Data!BE10</f>
        <v>1738.7140111832741</v>
      </c>
      <c r="CL10" s="13">
        <f>+SUM(Data!AY10:BE10)*2+Data!BF10</f>
        <v>1614.5833959684733</v>
      </c>
      <c r="CM10" s="13">
        <f>+SUM(Data!AZ10:BF10)*2+Data!BG10</f>
        <v>1538.5059298330168</v>
      </c>
      <c r="CN10" s="13">
        <f>+SUM(Data!BA10:BG10)*2+Data!BH10</f>
        <v>1409.8069763553788</v>
      </c>
      <c r="CO10" s="13">
        <f>+SUM(Data!BB10:BH10)*2+Data!BI10</f>
        <v>1196.5495533712574</v>
      </c>
      <c r="CP10" s="13">
        <f>+SUM(Data!BC10:BI10)*2+Data!BJ10</f>
        <v>1118.8365589004904</v>
      </c>
      <c r="CQ10" s="13">
        <f>+SUM(Data!BD10:BJ10)*2+Data!BK10</f>
        <v>1104.9960128843668</v>
      </c>
      <c r="CR10" s="59">
        <f>+SUM(Data!CC10:CI10)*2+Data!CJ10</f>
        <v>121.19291117920162</v>
      </c>
      <c r="CS10" s="59">
        <f>+SUM(Data!CD10:CJ10)*2+Data!CK10</f>
        <v>119.61762899318312</v>
      </c>
      <c r="CT10" s="59">
        <f>+SUM(Data!CE10:CK10)*2+Data!CL10</f>
        <v>116.39944087805866</v>
      </c>
      <c r="CU10" s="59">
        <f>+SUM(Data!CF10:CL10)*2+Data!CM10</f>
        <v>116.07181605533705</v>
      </c>
      <c r="CV10" s="59">
        <f>+SUM(Data!CG10:CM10)*2+Data!CN10</f>
        <v>111.20942725298252</v>
      </c>
      <c r="CW10" s="59">
        <f>+SUM(Data!CH10:CN10)*2+Data!CO10</f>
        <v>95.877239248740125</v>
      </c>
      <c r="CX10" s="59">
        <f>+SUM(Data!CI10:CO10)*2+Data!CP10</f>
        <v>92.053726618367122</v>
      </c>
      <c r="CY10" s="59">
        <f>+SUM(Data!CJ10:CP10)*2+Data!CQ10</f>
        <v>93.102590521737284</v>
      </c>
      <c r="CZ10" s="60">
        <f t="shared" si="10"/>
        <v>2235.3975228590589</v>
      </c>
      <c r="DA10" s="60">
        <f t="shared" si="11"/>
        <v>2194.8086468079896</v>
      </c>
      <c r="DB10" s="60">
        <f t="shared" si="12"/>
        <v>2046.0986391941904</v>
      </c>
      <c r="DC10" s="60">
        <f t="shared" si="13"/>
        <v>1956.9494463398971</v>
      </c>
      <c r="DD10" s="60">
        <f t="shared" si="14"/>
        <v>1800.0668269569605</v>
      </c>
      <c r="DE10" s="60">
        <f t="shared" si="15"/>
        <v>1530.1883107576384</v>
      </c>
      <c r="DF10" s="60">
        <f t="shared" si="16"/>
        <v>1434.423423009303</v>
      </c>
      <c r="DG10" s="60">
        <f t="shared" si="17"/>
        <v>1418.9136234280913</v>
      </c>
      <c r="DH10" s="13">
        <f t="shared" si="18"/>
        <v>7.6608440090033633E-2</v>
      </c>
      <c r="DI10" s="13">
        <f t="shared" si="19"/>
        <v>5.6998468094379244E-2</v>
      </c>
      <c r="DJ10" s="13">
        <f t="shared" si="20"/>
        <v>3.9709891338328543E-2</v>
      </c>
      <c r="DK10" s="13">
        <f t="shared" si="21"/>
        <v>2.4742709821881793E-2</v>
      </c>
      <c r="DL10" s="13">
        <f t="shared" si="22"/>
        <v>0</v>
      </c>
      <c r="DM10" s="13">
        <f t="shared" si="23"/>
        <v>0</v>
      </c>
      <c r="DN10" s="13">
        <f t="shared" si="24"/>
        <v>0</v>
      </c>
      <c r="DO10" s="13">
        <f t="shared" si="25"/>
        <v>0</v>
      </c>
      <c r="DP10" s="50">
        <f>DH10*'Useful Constants'!$B$8</f>
        <v>326.35195478354325</v>
      </c>
      <c r="DQ10" s="50">
        <f>DI10*'Useful Constants'!$B$8</f>
        <v>242.81347408205559</v>
      </c>
      <c r="DR10" s="50">
        <f>DJ10*'Useful Constants'!$B$10</f>
        <v>96.495035952138366</v>
      </c>
      <c r="DS10" s="50">
        <f>DK10*'Useful Constants'!$B$10</f>
        <v>60.124784867172757</v>
      </c>
      <c r="DT10" s="50">
        <f>DL10*'Useful Constants'!$B$10</f>
        <v>0</v>
      </c>
      <c r="DU10" s="50">
        <f>DM10*'Useful Constants'!$B$10</f>
        <v>0</v>
      </c>
      <c r="DV10" s="50">
        <f>DN10*'Useful Constants'!$B$10</f>
        <v>0</v>
      </c>
      <c r="DW10" s="50">
        <f>DO10*'Useful Constants'!$B$10</f>
        <v>0</v>
      </c>
      <c r="DX10" s="14">
        <f>DH10*'Useful Constants'!$B$9</f>
        <v>147.39463873322472</v>
      </c>
      <c r="DY10" s="14">
        <f>DI10*'Useful Constants'!$B$9</f>
        <v>109.66505261358567</v>
      </c>
      <c r="DZ10" s="14">
        <f>DJ10*'Useful Constants'!$B$11</f>
        <v>26.883596436048425</v>
      </c>
      <c r="EA10" s="14">
        <f>DK10*'Useful Constants'!$B$11</f>
        <v>16.750814549413974</v>
      </c>
      <c r="EB10" s="14">
        <f>DL10*'Useful Constants'!$B$11</f>
        <v>0</v>
      </c>
      <c r="EC10" s="14">
        <f>DM10*'Useful Constants'!$B$11</f>
        <v>0</v>
      </c>
      <c r="ED10" s="14">
        <f>DN10*'Useful Constants'!$B$11</f>
        <v>0</v>
      </c>
      <c r="EE10" s="14">
        <f>DO10*'Useful Constants'!$B$11</f>
        <v>0</v>
      </c>
      <c r="EF10" s="78">
        <f>(SUM(Data!DI10:DO10)*2+Data!DP10)/('Useful Constants'!$B$1*1000000)*$K10/100</f>
        <v>38.189259443654265</v>
      </c>
      <c r="EG10" s="78">
        <f>(SUM(Data!DJ10:DP10)*2+Data!DQ10)/('Useful Constants'!$B$1*1000000)*$K10/100</f>
        <v>36.145513565666285</v>
      </c>
      <c r="EH10" s="78">
        <f>(SUM(Data!DK10:DQ10)*2+Data!DR10)/('Useful Constants'!$B$1*1000000)*$K10/100</f>
        <v>34.046988934296877</v>
      </c>
      <c r="EI10" s="78">
        <f>(SUM(Data!DL10:DR10)*2+Data!DS10)/('Useful Constants'!$B$1*1000000)*$K10/100</f>
        <v>31.809579349265245</v>
      </c>
      <c r="EJ10" s="78">
        <f>(SUM(Data!DM10:DS10)*2+Data!DT10)/('Useful Constants'!$B$1*1000000)*$K10/100</f>
        <v>29.590514604050114</v>
      </c>
      <c r="EK10" s="78">
        <f>(SUM(Data!DN10:DT10)*2+Data!DU10)/('Useful Constants'!$B$1*1000000)*$K10/100</f>
        <v>27.382604909526989</v>
      </c>
      <c r="EL10" s="78">
        <f>(SUM(Data!DO10:DU10)*2+Data!DV10)/('Useful Constants'!$B$1*1000000)*$K10/100</f>
        <v>25.025313066532455</v>
      </c>
      <c r="EM10" s="78">
        <f>(SUM(Data!DP10:DV10)*2+Data!DW10)/('Useful Constants'!$B$1*1000000)*$K10/100</f>
        <v>22.773315333319761</v>
      </c>
      <c r="EN10" s="79">
        <f>EF10*'Useful Constants'!$B$3</f>
        <v>3207.8977932669582</v>
      </c>
      <c r="EO10" s="79">
        <f>EG10*'Useful Constants'!$B$3</f>
        <v>3036.2231395159679</v>
      </c>
      <c r="EP10" s="79">
        <f>EH10*'Useful Constants'!$B$3</f>
        <v>2859.9470704809378</v>
      </c>
      <c r="EQ10" s="79">
        <f>EI10*'Useful Constants'!$B$3</f>
        <v>2672.0046653382806</v>
      </c>
      <c r="ER10" s="79">
        <f>EJ10*'Useful Constants'!$B$3</f>
        <v>2485.6032267402097</v>
      </c>
      <c r="ES10" s="79">
        <f>EK10*'Useful Constants'!$B$3</f>
        <v>2300.1388124002669</v>
      </c>
      <c r="ET10" s="79">
        <f>EL10*'Useful Constants'!$B$3</f>
        <v>2102.1262975887262</v>
      </c>
      <c r="EU10" s="79">
        <f>EM10*'Useful Constants'!$B$3</f>
        <v>1912.9584879988599</v>
      </c>
      <c r="EV10" s="78">
        <f>EF10*'Useful Constants'!$B$4</f>
        <v>1069.2992644223195</v>
      </c>
      <c r="EW10" s="78">
        <f>EG10*'Useful Constants'!$B$4</f>
        <v>1012.074379838656</v>
      </c>
      <c r="EX10" s="78">
        <f>EH10*'Useful Constants'!$B$4</f>
        <v>953.31569016031256</v>
      </c>
      <c r="EY10" s="78">
        <f>EI10*'Useful Constants'!$B$4</f>
        <v>890.66822177942686</v>
      </c>
      <c r="EZ10" s="78">
        <f>EJ10*'Useful Constants'!$B$4</f>
        <v>828.53440891340324</v>
      </c>
      <c r="FA10" s="78">
        <f>EK10*'Useful Constants'!$B$4</f>
        <v>766.71293746675565</v>
      </c>
      <c r="FB10" s="78">
        <f>EL10*'Useful Constants'!$B$4</f>
        <v>700.70876586290876</v>
      </c>
      <c r="FC10" s="78">
        <f>EM10*'Useful Constants'!$B$4</f>
        <v>637.65282933295327</v>
      </c>
      <c r="FD10" s="40">
        <f t="shared" si="26"/>
        <v>0.80412444930452787</v>
      </c>
      <c r="FE10" s="40">
        <f t="shared" si="27"/>
        <v>0.80766293912927112</v>
      </c>
      <c r="FF10" s="40">
        <f t="shared" si="28"/>
        <v>0.82063982741006769</v>
      </c>
      <c r="FG10" s="40">
        <f t="shared" si="29"/>
        <v>0.82842298494926025</v>
      </c>
      <c r="FH10" s="40">
        <f t="shared" si="30"/>
        <v>0.84212590599877812</v>
      </c>
      <c r="FI10" s="40">
        <f t="shared" si="31"/>
        <v>0.86571906054551551</v>
      </c>
      <c r="FJ10" s="40">
        <f t="shared" si="32"/>
        <v>0.87409764131334511</v>
      </c>
      <c r="FK10" s="40">
        <f t="shared" si="33"/>
        <v>0.87545436411922395</v>
      </c>
      <c r="FL10" s="4">
        <f t="shared" si="34"/>
        <v>0.75968550588278339</v>
      </c>
      <c r="FM10" s="4">
        <f t="shared" si="35"/>
        <v>0.77195436539032558</v>
      </c>
      <c r="FN10" s="4">
        <f t="shared" si="36"/>
        <v>0.79152011609778195</v>
      </c>
      <c r="FO10" s="4">
        <f t="shared" si="37"/>
        <v>0.80452844797449152</v>
      </c>
      <c r="FP10" s="4">
        <f t="shared" si="38"/>
        <v>0.82128319117625226</v>
      </c>
      <c r="FQ10" s="4">
        <f t="shared" si="39"/>
        <v>0.84019808750923541</v>
      </c>
      <c r="FR10" s="4">
        <f t="shared" si="40"/>
        <v>0.8524108902912032</v>
      </c>
      <c r="FS10" s="4">
        <f t="shared" si="41"/>
        <v>0.86092367188017571</v>
      </c>
      <c r="FT10" s="38">
        <f t="shared" si="42"/>
        <v>0.7788699377456042</v>
      </c>
      <c r="FU10" s="38">
        <f t="shared" si="43"/>
        <v>0.78751796295832877</v>
      </c>
      <c r="FV10" s="38">
        <f t="shared" si="44"/>
        <v>0.80605148945304839</v>
      </c>
      <c r="FW10" s="38">
        <f t="shared" si="45"/>
        <v>0.81638613757174239</v>
      </c>
      <c r="FX10" s="38">
        <f t="shared" si="46"/>
        <v>0.83144249990809993</v>
      </c>
      <c r="FY10" s="38">
        <f t="shared" si="47"/>
        <v>0.85263700519366625</v>
      </c>
      <c r="FZ10" s="38">
        <f t="shared" si="48"/>
        <v>0.86298152574375053</v>
      </c>
      <c r="GA10" s="38">
        <f t="shared" si="49"/>
        <v>0.8680068960146673</v>
      </c>
    </row>
    <row r="11" spans="1:183" x14ac:dyDescent="0.25">
      <c r="A11" s="1" t="str">
        <f>Data!A11</f>
        <v>CA_CRESCENT-CITY-FAA-AP_725946_TY3A</v>
      </c>
      <c r="B11" s="1" t="str">
        <f>TY3A_REP_CITIES!B11</f>
        <v>Crescent City</v>
      </c>
      <c r="C11" s="1" t="str">
        <f>TY3A_REP_CITIES!C11</f>
        <v>Del Norte</v>
      </c>
      <c r="D11" s="2" t="str">
        <f>TY3A_REP_CITIES!A11</f>
        <v>CA</v>
      </c>
      <c r="E11" s="42">
        <f>TY3A_REP_CITIES!E11</f>
        <v>27812</v>
      </c>
      <c r="F11" s="2">
        <f>TY3A_REP_CITIES!G11</f>
        <v>4</v>
      </c>
      <c r="G11" s="2" t="str">
        <f>TY3A_REP_CITIES!H11</f>
        <v>Marine</v>
      </c>
      <c r="H11" s="2" t="str">
        <f>TY3A_REP_CITIES!I11</f>
        <v>Pacific</v>
      </c>
      <c r="I11" s="2">
        <f>Data!B11</f>
        <v>41.78</v>
      </c>
      <c r="J11" s="2">
        <f>Data!C11</f>
        <v>-124.23</v>
      </c>
      <c r="K11" s="2">
        <f>VLOOKUP(D11,Table1[],2,FALSE)</f>
        <v>2.8</v>
      </c>
      <c r="L11" s="2">
        <v>0.5</v>
      </c>
      <c r="M11" s="10">
        <f>Data!N11</f>
        <v>1679.3195000000001</v>
      </c>
      <c r="N11" s="10">
        <f>Data!Q11</f>
        <v>29308</v>
      </c>
      <c r="O11" s="10">
        <f>Data!O11</f>
        <v>17469160259.0313</v>
      </c>
      <c r="P11" s="10">
        <f>Data!P11</f>
        <v>18197041936.490917</v>
      </c>
      <c r="Q11" s="10">
        <f>Data!S11*15</f>
        <v>13729.922506703249</v>
      </c>
      <c r="R11" s="48">
        <f>SUM(Data!U11:AA11)*2+Data!AB11</f>
        <v>19.451351505862164</v>
      </c>
      <c r="S11" s="48">
        <f>SUM(Data!V11:AB11)*2+Data!AC11</f>
        <v>18.904498074612697</v>
      </c>
      <c r="T11" s="48">
        <f>SUM(Data!W11:AC11)*2+Data!AD11</f>
        <v>17.989193276994115</v>
      </c>
      <c r="U11" s="48">
        <f>SUM(Data!X11:AD11)*2+Data!AE11</f>
        <v>17.554426838877106</v>
      </c>
      <c r="V11" s="48">
        <f>SUM(Data!Y11:AE11)*2+Data!AF11</f>
        <v>16.363338053495514</v>
      </c>
      <c r="W11" s="48">
        <f>SUM(Data!Z11:AF11)*2+Data!AG11</f>
        <v>14.024528195517034</v>
      </c>
      <c r="X11" s="48">
        <f>SUM(Data!AA11:AG11)*2+Data!AH11</f>
        <v>13.413991185491717</v>
      </c>
      <c r="Y11" s="48">
        <f>SUM(Data!AB11:AH11)*2+Data!AI11</f>
        <v>13.35945259048885</v>
      </c>
      <c r="Z11" s="80">
        <f>(SUM(Data!CS11:CY11)*2+Data!CZ11)/('Useful Constants'!$B$1*1000000)*$K11/100</f>
        <v>0.34076958607270419</v>
      </c>
      <c r="AA11" s="80">
        <f>(SUM(Data!CT11:CZ11)*2+Data!DA11)/('Useful Constants'!$B$1*1000000)*$K11/100</f>
        <v>0.3170907011180587</v>
      </c>
      <c r="AB11" s="80">
        <f>(SUM(Data!CU11:DA11)*2+Data!DB11)/('Useful Constants'!$B$1*1000000)*$K11/100</f>
        <v>0.29344842375031821</v>
      </c>
      <c r="AC11" s="80">
        <f>(SUM(Data!CV11:DB11)*2+Data!DC11)/('Useful Constants'!$B$1*1000000)*$K11/100</f>
        <v>0.27088893054108482</v>
      </c>
      <c r="AD11" s="80">
        <f>(SUM(Data!CW11:DC11)*2+Data!DD11)/('Useful Constants'!$B$1*1000000)*$K11/100</f>
        <v>0.2502965917410449</v>
      </c>
      <c r="AE11" s="80">
        <f>(SUM(Data!CX11:DD11)*2+Data!DE11)/('Useful Constants'!$B$1*1000000)*$K11/100</f>
        <v>0.23047984940860164</v>
      </c>
      <c r="AF11" s="80">
        <f>(SUM(Data!CY11:DE11)*2+Data!DF11)/('Useful Constants'!$B$1*1000000)*$K11/100</f>
        <v>0.20974371387795951</v>
      </c>
      <c r="AG11" s="80">
        <f>(SUM(Data!CZ11:DF11)*2+Data!DG11)/('Useful Constants'!$B$1*1000000)*$K11/100</f>
        <v>0.19032681660913509</v>
      </c>
      <c r="AH11" s="48">
        <f>Z11*'Useful Constants'!$B$3</f>
        <v>28.624645230107152</v>
      </c>
      <c r="AI11" s="48">
        <f>AA11*'Useful Constants'!$B$3</f>
        <v>26.635618893916931</v>
      </c>
      <c r="AJ11" s="48">
        <f>AB11*'Useful Constants'!$B$3</f>
        <v>24.649667595026731</v>
      </c>
      <c r="AK11" s="48">
        <f>AC11*'Useful Constants'!$B$3</f>
        <v>22.754670165451124</v>
      </c>
      <c r="AL11" s="48">
        <f>AD11*'Useful Constants'!$B$3</f>
        <v>21.024913706247773</v>
      </c>
      <c r="AM11" s="48">
        <f>AE11*'Useful Constants'!$B$3</f>
        <v>19.360307350322536</v>
      </c>
      <c r="AN11" s="48">
        <f>AF11*'Useful Constants'!$B$3</f>
        <v>17.618471965748597</v>
      </c>
      <c r="AO11" s="48">
        <f>AG11*'Useful Constants'!$B$3</f>
        <v>15.987452595167348</v>
      </c>
      <c r="AP11" s="10">
        <f>Z11*'Useful Constants'!$B$4</f>
        <v>9.541548410035718</v>
      </c>
      <c r="AQ11" s="10">
        <f>AA11*'Useful Constants'!$B$4</f>
        <v>8.8785396313056442</v>
      </c>
      <c r="AR11" s="10">
        <f>AB11*'Useful Constants'!$B$4</f>
        <v>8.2165558650089103</v>
      </c>
      <c r="AS11" s="10">
        <f>AC11*'Useful Constants'!$B$4</f>
        <v>7.5848900551503746</v>
      </c>
      <c r="AT11" s="10">
        <f>AD11*'Useful Constants'!$B$4</f>
        <v>7.0083045687492573</v>
      </c>
      <c r="AU11" s="10">
        <f>AE11*'Useful Constants'!$B$4</f>
        <v>6.4534357834408462</v>
      </c>
      <c r="AV11" s="10">
        <f>AF11*'Useful Constants'!$B$4</f>
        <v>5.8728239885828666</v>
      </c>
      <c r="AW11" s="10">
        <f>AG11*'Useful Constants'!$B$4</f>
        <v>5.3291508650557819</v>
      </c>
      <c r="AX11" s="48">
        <f>P11/1000000/'Useful Constants'!$B$1*K11/100*'Useful Constants'!$B$3*15</f>
        <v>12839.832790387989</v>
      </c>
      <c r="AY11" s="48">
        <f>P11/1000000/'Useful Constants'!$B$1*L11/100*'Useful Constants'!$B$3*15</f>
        <v>2292.8272839978554</v>
      </c>
      <c r="AZ11" s="48">
        <f>P11/1000000/'Useful Constants'!$B$1*K11/100*'Useful Constants'!$B$4*15</f>
        <v>4279.944263462663</v>
      </c>
      <c r="BA11" s="48">
        <f>P11/1000000/'Useful Constants'!$B$1*L11/100*'Useful Constants'!$B$4*15</f>
        <v>764.27576133261846</v>
      </c>
      <c r="BB11" s="7">
        <f>Data!AN11</f>
        <v>1679.3195000000001</v>
      </c>
      <c r="BC11" s="7">
        <f>Data!AQ11</f>
        <v>1679.3195000000001</v>
      </c>
      <c r="BD11" s="7">
        <f>Data!AT11</f>
        <v>3454.16561</v>
      </c>
      <c r="BE11" s="6">
        <f>Data!AO11</f>
        <v>15273482994.1987</v>
      </c>
      <c r="BF11" s="6">
        <f>Data!AP11</f>
        <v>3615878752.9827499</v>
      </c>
      <c r="BG11" s="6">
        <f>Data!AR11</f>
        <v>1362454585.9551499</v>
      </c>
      <c r="BH11" s="6">
        <f>Data!AS11</f>
        <v>1362454585.9551499</v>
      </c>
      <c r="BI11" s="8">
        <f t="shared" si="0"/>
        <v>0.91810172529256684</v>
      </c>
      <c r="BJ11" s="8">
        <f t="shared" si="1"/>
        <v>0.72632315009950255</v>
      </c>
      <c r="BK11" s="13">
        <f>BB11*'Useful Constants'!$B$5/'Useful Constants'!$B$6*'Useful Constants'!$B$7</f>
        <v>0.42973786004999998</v>
      </c>
      <c r="BL11" s="52">
        <f>1-VLOOKUP($G11,'Useful Constants'!$A$17:$X$23,10,FALSE)</f>
        <v>0.32857738000000003</v>
      </c>
      <c r="BM11" s="52">
        <f>1-VLOOKUP($G11,'Useful Constants'!$A$17:$X$23,12,FALSE)</f>
        <v>0.29242681999999998</v>
      </c>
      <c r="BN11" s="52">
        <f>1-VLOOKUP($G11,'Useful Constants'!$A$17:$X$23,14,FALSE)</f>
        <v>0.25829049999999998</v>
      </c>
      <c r="BO11" s="52">
        <f>1-VLOOKUP($G11,'Useful Constants'!$A$17:$X$23,16,FALSE)</f>
        <v>0.22616842000000004</v>
      </c>
      <c r="BP11" s="52">
        <f>1-VLOOKUP($G11,'Useful Constants'!$A$17:$X$23,18,FALSE)</f>
        <v>0.19606057999999993</v>
      </c>
      <c r="BQ11" s="52">
        <f>1-VLOOKUP($G11,'Useful Constants'!$A$17:$X$23,20, FALSE)</f>
        <v>0.1679669800000001</v>
      </c>
      <c r="BR11" s="52">
        <f>1-VLOOKUP($G11,'Useful Constants'!$A$17:$X$23,22, FALSE)</f>
        <v>0.14188761999999999</v>
      </c>
      <c r="BS11" s="52">
        <f>1-VLOOKUP($G11,'Useful Constants'!$A$17:$X$23,24, FALSE)</f>
        <v>0.11782250000000005</v>
      </c>
      <c r="BT11" s="13">
        <f t="shared" si="2"/>
        <v>0.14120214014203566</v>
      </c>
      <c r="BU11" s="13">
        <f t="shared" si="3"/>
        <v>0.12566687584802652</v>
      </c>
      <c r="BV11" s="13">
        <f t="shared" si="4"/>
        <v>0.11099720674124451</v>
      </c>
      <c r="BW11" s="13">
        <f t="shared" si="5"/>
        <v>9.7193132821689635E-2</v>
      </c>
      <c r="BX11" s="13">
        <f t="shared" si="6"/>
        <v>8.4254654089361794E-2</v>
      </c>
      <c r="BY11" s="13">
        <f t="shared" si="7"/>
        <v>7.2181770544261184E-2</v>
      </c>
      <c r="BZ11" s="13">
        <f t="shared" si="8"/>
        <v>6.0974482186387575E-2</v>
      </c>
      <c r="CA11" s="13">
        <f t="shared" si="9"/>
        <v>5.0632789015741142E-2</v>
      </c>
      <c r="CB11" s="59">
        <f>+SUM(Data!BM11:BS11)*2+Data!BT11</f>
        <v>301.63055342374025</v>
      </c>
      <c r="CC11" s="59">
        <f>+SUM(Data!BN11:BT11)*2+Data!BU11</f>
        <v>293.24832222726764</v>
      </c>
      <c r="CD11" s="59">
        <f>+SUM(Data!BO11:BU11)*2+Data!BV11</f>
        <v>277.78606618231026</v>
      </c>
      <c r="CE11" s="59">
        <f>+SUM(Data!BP11:BV11)*2+Data!BW11</f>
        <v>269.92046227684801</v>
      </c>
      <c r="CF11" s="59">
        <f>+SUM(Data!BQ11:BW11)*2+Data!BX11</f>
        <v>250.53813535183122</v>
      </c>
      <c r="CG11" s="59">
        <f>+SUM(Data!BR11:BX11)*2+Data!BY11</f>
        <v>214.4766382093253</v>
      </c>
      <c r="CH11" s="59">
        <f>+SUM(Data!BS11:BY11)*2+Data!BZ11</f>
        <v>204.49952242656641</v>
      </c>
      <c r="CI11" s="59">
        <f>+SUM(Data!BT11:BZ11)*2+Data!CA11</f>
        <v>203.06754515726982</v>
      </c>
      <c r="CJ11" s="13">
        <f>+SUM(Data!AW11:BC11)*2+Data!BD11</f>
        <v>1195.2411231432202</v>
      </c>
      <c r="CK11" s="13">
        <f>+SUM(Data!AX11:BD11)*2+Data!BE11</f>
        <v>1162.8763633986246</v>
      </c>
      <c r="CL11" s="13">
        <f>+SUM(Data!AY11:BE11)*2+Data!BF11</f>
        <v>1103.161083322678</v>
      </c>
      <c r="CM11" s="13">
        <f>+SUM(Data!AZ11:BF11)*2+Data!BG11</f>
        <v>1073.534535397971</v>
      </c>
      <c r="CN11" s="13">
        <f>+SUM(Data!BA11:BG11)*2+Data!BH11</f>
        <v>998.57406696211979</v>
      </c>
      <c r="CO11" s="13">
        <f>+SUM(Data!BB11:BH11)*2+Data!BI11</f>
        <v>854.98020100898816</v>
      </c>
      <c r="CP11" s="13">
        <f>+SUM(Data!BC11:BI11)*2+Data!BJ11</f>
        <v>816.11784433056823</v>
      </c>
      <c r="CQ11" s="13">
        <f>+SUM(Data!BD11:BJ11)*2+Data!BK11</f>
        <v>811.7218019893661</v>
      </c>
      <c r="CR11" s="59">
        <f>+SUM(Data!CC11:CI11)*2+Data!CJ11</f>
        <v>392.29095359998649</v>
      </c>
      <c r="CS11" s="59">
        <f>+SUM(Data!CD11:CJ11)*2+Data!CK11</f>
        <v>382.98612610074906</v>
      </c>
      <c r="CT11" s="59">
        <f>+SUM(Data!CE11:CK11)*2+Data!CL11</f>
        <v>373.11730405181561</v>
      </c>
      <c r="CU11" s="59">
        <f>+SUM(Data!CF11:CL11)*2+Data!CM11</f>
        <v>371.72081990157591</v>
      </c>
      <c r="CV11" s="59">
        <f>+SUM(Data!CG11:CM11)*2+Data!CN11</f>
        <v>355.43072070325547</v>
      </c>
      <c r="CW11" s="59">
        <f>+SUM(Data!CH11:CN11)*2+Data!CO11</f>
        <v>303.07035360522087</v>
      </c>
      <c r="CX11" s="59">
        <f>+SUM(Data!CI11:CO11)*2+Data!CP11</f>
        <v>292.8945850362806</v>
      </c>
      <c r="CY11" s="59">
        <f>+SUM(Data!CJ11:CP11)*2+Data!CQ11</f>
        <v>296.94698996509601</v>
      </c>
      <c r="CZ11" s="60">
        <f t="shared" si="10"/>
        <v>1889.1626301669471</v>
      </c>
      <c r="DA11" s="60">
        <f t="shared" si="11"/>
        <v>1839.1108117266413</v>
      </c>
      <c r="DB11" s="60">
        <f t="shared" si="12"/>
        <v>1754.064453556804</v>
      </c>
      <c r="DC11" s="60">
        <f t="shared" si="13"/>
        <v>1715.1758175763948</v>
      </c>
      <c r="DD11" s="60">
        <f t="shared" si="14"/>
        <v>1604.5429230172065</v>
      </c>
      <c r="DE11" s="60">
        <f t="shared" si="15"/>
        <v>1372.5271928235343</v>
      </c>
      <c r="DF11" s="60">
        <f t="shared" si="16"/>
        <v>1313.5119517934152</v>
      </c>
      <c r="DG11" s="60">
        <f t="shared" si="17"/>
        <v>1311.7363371117319</v>
      </c>
      <c r="DH11" s="13">
        <f t="shared" si="18"/>
        <v>0.14518016921570032</v>
      </c>
      <c r="DI11" s="13">
        <f t="shared" si="19"/>
        <v>0.12920723639225906</v>
      </c>
      <c r="DJ11" s="13">
        <f t="shared" si="20"/>
        <v>0.1141242848086738</v>
      </c>
      <c r="DK11" s="13">
        <f t="shared" si="21"/>
        <v>9.9931314464944562E-2</v>
      </c>
      <c r="DL11" s="13">
        <f t="shared" si="22"/>
        <v>8.6628325361071234E-2</v>
      </c>
      <c r="DM11" s="13">
        <f t="shared" si="23"/>
        <v>7.4215317497054012E-2</v>
      </c>
      <c r="DN11" s="13">
        <f t="shared" si="24"/>
        <v>6.2692290872892659E-2</v>
      </c>
      <c r="DO11" s="13">
        <f t="shared" si="25"/>
        <v>5.2059245488587369E-2</v>
      </c>
      <c r="DP11" s="50">
        <f>DH11*'Useful Constants'!$B$8</f>
        <v>618.4675208588834</v>
      </c>
      <c r="DQ11" s="50">
        <f>DI11*'Useful Constants'!$B$8</f>
        <v>550.42282703102364</v>
      </c>
      <c r="DR11" s="50">
        <f>DJ11*'Useful Constants'!$B$10</f>
        <v>277.32201208507735</v>
      </c>
      <c r="DS11" s="50">
        <f>DK11*'Useful Constants'!$B$10</f>
        <v>242.83309414981528</v>
      </c>
      <c r="DT11" s="50">
        <f>DL11*'Useful Constants'!$B$10</f>
        <v>210.5068306274031</v>
      </c>
      <c r="DU11" s="50">
        <f>DM11*'Useful Constants'!$B$10</f>
        <v>180.34322151784124</v>
      </c>
      <c r="DV11" s="50">
        <f>DN11*'Useful Constants'!$B$10</f>
        <v>152.34226682112916</v>
      </c>
      <c r="DW11" s="50">
        <f>DO11*'Useful Constants'!$B$10</f>
        <v>126.5039665372673</v>
      </c>
      <c r="DX11" s="14">
        <f>DH11*'Useful Constants'!$B$9</f>
        <v>279.32664557100742</v>
      </c>
      <c r="DY11" s="14">
        <f>DI11*'Useful Constants'!$B$9</f>
        <v>248.59472281870643</v>
      </c>
      <c r="DZ11" s="14">
        <f>DJ11*'Useful Constants'!$B$11</f>
        <v>77.262140815472165</v>
      </c>
      <c r="EA11" s="14">
        <f>DK11*'Useful Constants'!$B$11</f>
        <v>67.653499892767471</v>
      </c>
      <c r="EB11" s="14">
        <f>DL11*'Useful Constants'!$B$11</f>
        <v>58.647376269445225</v>
      </c>
      <c r="EC11" s="14">
        <f>DM11*'Useful Constants'!$B$11</f>
        <v>50.243769945505569</v>
      </c>
      <c r="ED11" s="14">
        <f>DN11*'Useful Constants'!$B$11</f>
        <v>42.442680920948327</v>
      </c>
      <c r="EE11" s="14">
        <f>DO11*'Useful Constants'!$B$11</f>
        <v>35.244109195773646</v>
      </c>
      <c r="EF11" s="78">
        <f>(SUM(Data!DI11:DO11)*2+Data!DP11)/('Useful Constants'!$B$1*1000000)*$K11/100</f>
        <v>33.800388363350606</v>
      </c>
      <c r="EG11" s="78">
        <f>(SUM(Data!DJ11:DP11)*2+Data!DQ11)/('Useful Constants'!$B$1*1000000)*$K11/100</f>
        <v>31.522098840797025</v>
      </c>
      <c r="EH11" s="78">
        <f>(SUM(Data!DK11:DQ11)*2+Data!DR11)/('Useful Constants'!$B$1*1000000)*$K11/100</f>
        <v>29.254340892391227</v>
      </c>
      <c r="EI11" s="78">
        <f>(SUM(Data!DL11:DR11)*2+Data!DS11)/('Useful Constants'!$B$1*1000000)*$K11/100</f>
        <v>27.072759087235465</v>
      </c>
      <c r="EJ11" s="78">
        <f>(SUM(Data!DM11:DS11)*2+Data!DT11)/('Useful Constants'!$B$1*1000000)*$K11/100</f>
        <v>25.082917608247964</v>
      </c>
      <c r="EK11" s="78">
        <f>(SUM(Data!DN11:DT11)*2+Data!DU11)/('Useful Constants'!$B$1*1000000)*$K11/100</f>
        <v>23.166163248080228</v>
      </c>
      <c r="EL11" s="78">
        <f>(SUM(Data!DO11:DU11)*2+Data!DV11)/('Useful Constants'!$B$1*1000000)*$K11/100</f>
        <v>21.146516705012296</v>
      </c>
      <c r="EM11" s="78">
        <f>(SUM(Data!DP11:DV11)*2+Data!DW11)/('Useful Constants'!$B$1*1000000)*$K11/100</f>
        <v>19.253117404044168</v>
      </c>
      <c r="EN11" s="79">
        <f>EF11*'Useful Constants'!$B$3</f>
        <v>2839.232622521451</v>
      </c>
      <c r="EO11" s="79">
        <f>EG11*'Useful Constants'!$B$3</f>
        <v>2647.8563026269499</v>
      </c>
      <c r="EP11" s="79">
        <f>EH11*'Useful Constants'!$B$3</f>
        <v>2457.364634960863</v>
      </c>
      <c r="EQ11" s="79">
        <f>EI11*'Useful Constants'!$B$3</f>
        <v>2274.111763327779</v>
      </c>
      <c r="ER11" s="79">
        <f>EJ11*'Useful Constants'!$B$3</f>
        <v>2106.965079092829</v>
      </c>
      <c r="ES11" s="79">
        <f>EK11*'Useful Constants'!$B$3</f>
        <v>1945.9577128387391</v>
      </c>
      <c r="ET11" s="79">
        <f>EL11*'Useful Constants'!$B$3</f>
        <v>1776.3074032210329</v>
      </c>
      <c r="EU11" s="79">
        <f>EM11*'Useful Constants'!$B$3</f>
        <v>1617.2618619397101</v>
      </c>
      <c r="EV11" s="78">
        <f>EF11*'Useful Constants'!$B$4</f>
        <v>946.41087417381698</v>
      </c>
      <c r="EW11" s="78">
        <f>EG11*'Useful Constants'!$B$4</f>
        <v>882.61876754231673</v>
      </c>
      <c r="EX11" s="78">
        <f>EH11*'Useful Constants'!$B$4</f>
        <v>819.1215449869544</v>
      </c>
      <c r="EY11" s="78">
        <f>EI11*'Useful Constants'!$B$4</f>
        <v>758.03725444259305</v>
      </c>
      <c r="EZ11" s="78">
        <f>EJ11*'Useful Constants'!$B$4</f>
        <v>702.32169303094304</v>
      </c>
      <c r="FA11" s="78">
        <f>EK11*'Useful Constants'!$B$4</f>
        <v>648.65257094624633</v>
      </c>
      <c r="FB11" s="78">
        <f>EL11*'Useful Constants'!$B$4</f>
        <v>592.10246774034431</v>
      </c>
      <c r="FC11" s="78">
        <f>EM11*'Useful Constants'!$B$4</f>
        <v>539.08728731323674</v>
      </c>
      <c r="FD11" s="40">
        <f t="shared" si="26"/>
        <v>0.86260009730995735</v>
      </c>
      <c r="FE11" s="40">
        <f t="shared" si="27"/>
        <v>0.86623507510222286</v>
      </c>
      <c r="FF11" s="40">
        <f t="shared" si="28"/>
        <v>0.87241229854863522</v>
      </c>
      <c r="FG11" s="40">
        <f t="shared" si="29"/>
        <v>0.87523704706922767</v>
      </c>
      <c r="FH11" s="40">
        <f t="shared" si="30"/>
        <v>0.88327443928214044</v>
      </c>
      <c r="FI11" s="40">
        <f t="shared" si="31"/>
        <v>0.90013587877351398</v>
      </c>
      <c r="FJ11" s="40">
        <f t="shared" si="32"/>
        <v>0.90442554091612348</v>
      </c>
      <c r="FK11" s="40">
        <f t="shared" si="33"/>
        <v>0.90455436037789472</v>
      </c>
      <c r="FL11" s="4">
        <f t="shared" si="34"/>
        <v>0.81505565640595923</v>
      </c>
      <c r="FM11" s="4">
        <f t="shared" si="35"/>
        <v>0.82574482632443358</v>
      </c>
      <c r="FN11" s="4">
        <f t="shared" si="36"/>
        <v>0.84470794975171792</v>
      </c>
      <c r="FO11" s="4">
        <f t="shared" si="37"/>
        <v>0.85357448928677015</v>
      </c>
      <c r="FP11" s="4">
        <f t="shared" si="38"/>
        <v>0.86429000723144256</v>
      </c>
      <c r="FQ11" s="4">
        <f t="shared" si="39"/>
        <v>0.87891638730302912</v>
      </c>
      <c r="FR11" s="4">
        <f t="shared" si="40"/>
        <v>0.88778968582258211</v>
      </c>
      <c r="FS11" s="4">
        <f t="shared" si="41"/>
        <v>0.89424374834362508</v>
      </c>
      <c r="FT11" s="38">
        <f t="shared" si="42"/>
        <v>0.83434145005903093</v>
      </c>
      <c r="FU11" s="38">
        <f t="shared" si="43"/>
        <v>0.842020207390208</v>
      </c>
      <c r="FV11" s="38">
        <f t="shared" si="44"/>
        <v>0.85902132770122652</v>
      </c>
      <c r="FW11" s="38">
        <f t="shared" si="45"/>
        <v>0.86484235980913204</v>
      </c>
      <c r="FX11" s="38">
        <f t="shared" si="46"/>
        <v>0.87415825462846131</v>
      </c>
      <c r="FY11" s="38">
        <f t="shared" si="47"/>
        <v>0.88978636018674984</v>
      </c>
      <c r="FZ11" s="38">
        <f t="shared" si="48"/>
        <v>0.89634371329894535</v>
      </c>
      <c r="GA11" s="38">
        <f t="shared" si="49"/>
        <v>0.89963897828503792</v>
      </c>
    </row>
    <row r="12" spans="1:183" x14ac:dyDescent="0.25">
      <c r="A12" s="1" t="str">
        <f>Data!A12</f>
        <v>CA_IMPERIAL_747185_TY3A</v>
      </c>
      <c r="B12" s="1" t="str">
        <f>TY3A_REP_CITIES!B12</f>
        <v>Imperial</v>
      </c>
      <c r="C12" s="1" t="str">
        <f>TY3A_REP_CITIES!C12</f>
        <v>Imperial</v>
      </c>
      <c r="D12" s="2" t="str">
        <f>TY3A_REP_CITIES!A12</f>
        <v>CA</v>
      </c>
      <c r="E12" s="42">
        <f>TY3A_REP_CITIES!E12</f>
        <v>181215</v>
      </c>
      <c r="F12" s="2">
        <f>TY3A_REP_CITIES!G12</f>
        <v>2</v>
      </c>
      <c r="G12" s="2" t="str">
        <f>TY3A_REP_CITIES!H12</f>
        <v>Hot-Dry</v>
      </c>
      <c r="H12" s="2" t="str">
        <f>TY3A_REP_CITIES!I12</f>
        <v>Pacific</v>
      </c>
      <c r="I12" s="2">
        <f>Data!B12</f>
        <v>32.83</v>
      </c>
      <c r="J12" s="2">
        <f>Data!C12</f>
        <v>-115.58</v>
      </c>
      <c r="K12" s="2">
        <f>VLOOKUP(D12,Table1[],2,FALSE)</f>
        <v>2.8</v>
      </c>
      <c r="L12" s="2">
        <v>0.5</v>
      </c>
      <c r="M12" s="10">
        <f>Data!N12</f>
        <v>7579.0248899999997</v>
      </c>
      <c r="N12" s="10">
        <f>Data!Q12</f>
        <v>29308</v>
      </c>
      <c r="O12" s="10">
        <f>Data!O12</f>
        <v>558434216.64900601</v>
      </c>
      <c r="P12" s="10">
        <f>Data!P12</f>
        <v>581702309.00938082</v>
      </c>
      <c r="Q12" s="10">
        <f>Data!S12*15</f>
        <v>438.90252341800624</v>
      </c>
      <c r="R12" s="48">
        <f>SUM(Data!U12:AA12)*2+Data!AB12</f>
        <v>3.1410859562705289</v>
      </c>
      <c r="S12" s="48">
        <f>SUM(Data!V12:AB12)*2+Data!AC12</f>
        <v>3.1162473612859682</v>
      </c>
      <c r="T12" s="48">
        <f>SUM(Data!W12:AC12)*2+Data!AD12</f>
        <v>2.982301288263296</v>
      </c>
      <c r="U12" s="48">
        <f>SUM(Data!X12:AD12)*2+Data!AE12</f>
        <v>2.9188176666069912</v>
      </c>
      <c r="V12" s="48">
        <f>SUM(Data!Y12:AE12)*2+Data!AF12</f>
        <v>2.7911838382908112</v>
      </c>
      <c r="W12" s="48">
        <f>SUM(Data!Z12:AF12)*2+Data!AG12</f>
        <v>2.4137415897827275</v>
      </c>
      <c r="X12" s="48">
        <f>SUM(Data!AA12:AG12)*2+Data!AH12</f>
        <v>2.3257949770487363</v>
      </c>
      <c r="Y12" s="48">
        <f>SUM(Data!AB12:AH12)*2+Data!AI12</f>
        <v>2.3656643032480384</v>
      </c>
      <c r="Z12" s="80">
        <f>(SUM(Data!CS12:CY12)*2+Data!CZ12)/('Useful Constants'!$B$1*1000000)*$K12/100</f>
        <v>6.0831419911751616E-2</v>
      </c>
      <c r="AA12" s="80">
        <f>(SUM(Data!CT12:CZ12)*2+Data!DA12)/('Useful Constants'!$B$1*1000000)*$K12/100</f>
        <v>5.8826312431733828E-2</v>
      </c>
      <c r="AB12" s="80">
        <f>(SUM(Data!CU12:DA12)*2+Data!DB12)/('Useful Constants'!$B$1*1000000)*$K12/100</f>
        <v>5.6723654338453493E-2</v>
      </c>
      <c r="AC12" s="80">
        <f>(SUM(Data!CV12:DB12)*2+Data!DC12)/('Useful Constants'!$B$1*1000000)*$K12/100</f>
        <v>5.4264055356235526E-2</v>
      </c>
      <c r="AD12" s="80">
        <f>(SUM(Data!CW12:DC12)*2+Data!DD12)/('Useful Constants'!$B$1*1000000)*$K12/100</f>
        <v>5.1784892622110029E-2</v>
      </c>
      <c r="AE12" s="80">
        <f>(SUM(Data!CX12:DD12)*2+Data!DE12)/('Useful Constants'!$B$1*1000000)*$K12/100</f>
        <v>4.9258311910701486E-2</v>
      </c>
      <c r="AF12" s="80">
        <f>(SUM(Data!CY12:DE12)*2+Data!DF12)/('Useful Constants'!$B$1*1000000)*$K12/100</f>
        <v>4.6526835027824377E-2</v>
      </c>
      <c r="AG12" s="80">
        <f>(SUM(Data!CZ12:DF12)*2+Data!DG12)/('Useful Constants'!$B$1*1000000)*$K12/100</f>
        <v>4.3826952086415405E-2</v>
      </c>
      <c r="AH12" s="48">
        <f>Z12*'Useful Constants'!$B$3</f>
        <v>5.109839272587136</v>
      </c>
      <c r="AI12" s="48">
        <f>AA12*'Useful Constants'!$B$3</f>
        <v>4.9414102442656418</v>
      </c>
      <c r="AJ12" s="48">
        <f>AB12*'Useful Constants'!$B$3</f>
        <v>4.7647869644300931</v>
      </c>
      <c r="AK12" s="48">
        <f>AC12*'Useful Constants'!$B$3</f>
        <v>4.5581806499237842</v>
      </c>
      <c r="AL12" s="48">
        <f>AD12*'Useful Constants'!$B$3</f>
        <v>4.3499309802572421</v>
      </c>
      <c r="AM12" s="48">
        <f>AE12*'Useful Constants'!$B$3</f>
        <v>4.1376982004989245</v>
      </c>
      <c r="AN12" s="48">
        <f>AF12*'Useful Constants'!$B$3</f>
        <v>3.9082541423372477</v>
      </c>
      <c r="AO12" s="48">
        <f>AG12*'Useful Constants'!$B$3</f>
        <v>3.681463975258894</v>
      </c>
      <c r="AP12" s="10">
        <f>Z12*'Useful Constants'!$B$4</f>
        <v>1.7032797575290453</v>
      </c>
      <c r="AQ12" s="10">
        <f>AA12*'Useful Constants'!$B$4</f>
        <v>1.6471367480885473</v>
      </c>
      <c r="AR12" s="10">
        <f>AB12*'Useful Constants'!$B$4</f>
        <v>1.5882623214766978</v>
      </c>
      <c r="AS12" s="10">
        <f>AC12*'Useful Constants'!$B$4</f>
        <v>1.5193935499745947</v>
      </c>
      <c r="AT12" s="10">
        <f>AD12*'Useful Constants'!$B$4</f>
        <v>1.4499769934190807</v>
      </c>
      <c r="AU12" s="10">
        <f>AE12*'Useful Constants'!$B$4</f>
        <v>1.3792327334996415</v>
      </c>
      <c r="AV12" s="10">
        <f>AF12*'Useful Constants'!$B$4</f>
        <v>1.3027513807790825</v>
      </c>
      <c r="AW12" s="10">
        <f>AG12*'Useful Constants'!$B$4</f>
        <v>1.2271546584196313</v>
      </c>
      <c r="AX12" s="48">
        <f>P12/1000000/'Useful Constants'!$B$1*K12/100*'Useful Constants'!$B$3*15</f>
        <v>410.44914923701901</v>
      </c>
      <c r="AY12" s="48">
        <f>P12/1000000/'Useful Constants'!$B$1*L12/100*'Useful Constants'!$B$3*15</f>
        <v>73.294490935181969</v>
      </c>
      <c r="AZ12" s="48">
        <f>P12/1000000/'Useful Constants'!$B$1*K12/100*'Useful Constants'!$B$4*15</f>
        <v>136.81638307900636</v>
      </c>
      <c r="BA12" s="48">
        <f>P12/1000000/'Useful Constants'!$B$1*L12/100*'Useful Constants'!$B$4*15</f>
        <v>24.431496978393991</v>
      </c>
      <c r="BB12" s="7">
        <f>Data!AN12</f>
        <v>7579.0248899999997</v>
      </c>
      <c r="BC12" s="7">
        <f>Data!AQ12</f>
        <v>7579.0248899999997</v>
      </c>
      <c r="BD12" s="7">
        <f>Data!AT12</f>
        <v>3164.3407699999998</v>
      </c>
      <c r="BE12" s="6">
        <f>Data!AO12</f>
        <v>499004996.12361902</v>
      </c>
      <c r="BF12" s="6">
        <f>Data!AP12</f>
        <v>132521699.92696799</v>
      </c>
      <c r="BG12" s="6">
        <f>Data!AR12</f>
        <v>19374036.230874401</v>
      </c>
      <c r="BH12" s="6">
        <f>Data!AS12</f>
        <v>19374036.230874401</v>
      </c>
      <c r="BI12" s="8">
        <f t="shared" si="0"/>
        <v>0.96262573325376033</v>
      </c>
      <c r="BJ12" s="8">
        <f t="shared" si="1"/>
        <v>0.87245174406514026</v>
      </c>
      <c r="BK12" s="13">
        <f>BB12*'Useful Constants'!$B$5/'Useful Constants'!$B$6*'Useful Constants'!$B$7</f>
        <v>1.9394724693509997</v>
      </c>
      <c r="BL12" s="52">
        <f>1-VLOOKUP($G12,'Useful Constants'!$A$17:$X$23,10,FALSE)</f>
        <v>0.10654528000000008</v>
      </c>
      <c r="BM12" s="52">
        <f>1-VLOOKUP($G12,'Useful Constants'!$A$17:$X$23,12,FALSE)</f>
        <v>8.5501519999999998E-2</v>
      </c>
      <c r="BN12" s="52">
        <f>1-VLOOKUP($G12,'Useful Constants'!$A$17:$X$23,14,FALSE)</f>
        <v>6.6471999999999865E-2</v>
      </c>
      <c r="BO12" s="52">
        <f>1-VLOOKUP($G12,'Useful Constants'!$A$17:$X$23,16,FALSE)</f>
        <v>4.945672000000001E-2</v>
      </c>
      <c r="BP12" s="52">
        <f>1-VLOOKUP($G12,'Useful Constants'!$A$17:$X$23,18,FALSE)</f>
        <v>3.4455679999999989E-2</v>
      </c>
      <c r="BQ12" s="52">
        <f>1-VLOOKUP($G12,'Useful Constants'!$A$17:$X$23,20, FALSE)</f>
        <v>2.1468880000000024E-2</v>
      </c>
      <c r="BR12" s="52">
        <f>1-VLOOKUP($G12,'Useful Constants'!$A$17:$X$23,22, FALSE)</f>
        <v>0</v>
      </c>
      <c r="BS12" s="52">
        <f>1-VLOOKUP($G12,'Useful Constants'!$A$17:$X$23,24, FALSE)</f>
        <v>0</v>
      </c>
      <c r="BT12" s="13">
        <f t="shared" si="2"/>
        <v>0.20664163729929383</v>
      </c>
      <c r="BU12" s="13">
        <f t="shared" si="3"/>
        <v>0.16582784412766388</v>
      </c>
      <c r="BV12" s="13">
        <f t="shared" si="4"/>
        <v>0.12892061398269938</v>
      </c>
      <c r="BW12" s="13">
        <f t="shared" si="5"/>
        <v>9.5919946864400987E-2</v>
      </c>
      <c r="BX12" s="13">
        <f t="shared" si="6"/>
        <v>6.6825842772767832E-2</v>
      </c>
      <c r="BY12" s="13">
        <f t="shared" si="7"/>
        <v>4.1638301707800335E-2</v>
      </c>
      <c r="BZ12" s="13">
        <f t="shared" si="8"/>
        <v>0</v>
      </c>
      <c r="CA12" s="13">
        <f t="shared" si="9"/>
        <v>0</v>
      </c>
      <c r="CB12" s="59">
        <f>+SUM(Data!BM12:BS12)*2+Data!BT12</f>
        <v>12.241071569272382</v>
      </c>
      <c r="CC12" s="59">
        <f>+SUM(Data!BN12:BT12)*2+Data!BU12</f>
        <v>12.141618093640576</v>
      </c>
      <c r="CD12" s="59">
        <f>+SUM(Data!BO12:BU12)*2+Data!BV12</f>
        <v>11.599586903011872</v>
      </c>
      <c r="CE12" s="59">
        <f>+SUM(Data!BP12:BV12)*2+Data!BW12</f>
        <v>11.328497354243009</v>
      </c>
      <c r="CF12" s="59">
        <f>+SUM(Data!BQ12:BW12)*2+Data!BX12</f>
        <v>10.808415455249055</v>
      </c>
      <c r="CG12" s="59">
        <f>+SUM(Data!BR12:BX12)*2+Data!BY12</f>
        <v>9.3334200083650014</v>
      </c>
      <c r="CH12" s="59">
        <f>+SUM(Data!BS12:BY12)*2+Data!BZ12</f>
        <v>8.9885725424448992</v>
      </c>
      <c r="CI12" s="59">
        <f>+SUM(Data!BT12:BZ12)*2+Data!CA12</f>
        <v>9.1325901628960242</v>
      </c>
      <c r="CJ12" s="13">
        <f>+SUM(Data!AW12:BC12)*2+Data!BD12</f>
        <v>57.178934613256644</v>
      </c>
      <c r="CK12" s="13">
        <f>+SUM(Data!AX12:BD12)*2+Data!BE12</f>
        <v>56.717767425502274</v>
      </c>
      <c r="CL12" s="13">
        <f>+SUM(Data!AY12:BE12)*2+Data!BF12</f>
        <v>54.042750196015675</v>
      </c>
      <c r="CM12" s="13">
        <f>+SUM(Data!AZ12:BF12)*2+Data!BG12</f>
        <v>52.647003984667244</v>
      </c>
      <c r="CN12" s="13">
        <f>+SUM(Data!BA12:BG12)*2+Data!BH12</f>
        <v>50.135945906095429</v>
      </c>
      <c r="CO12" s="13">
        <f>+SUM(Data!BB12:BH12)*2+Data!BI12</f>
        <v>43.245814366752775</v>
      </c>
      <c r="CP12" s="13">
        <f>+SUM(Data!BC12:BI12)*2+Data!BJ12</f>
        <v>41.585341923593575</v>
      </c>
      <c r="CQ12" s="13">
        <f>+SUM(Data!BD12:BJ12)*2+Data!BK12</f>
        <v>42.171855105612771</v>
      </c>
      <c r="CR12" s="59">
        <f>+SUM(Data!CC12:CI12)*2+Data!CJ12</f>
        <v>7.748529012644287</v>
      </c>
      <c r="CS12" s="59">
        <f>+SUM(Data!CD12:CJ12)*2+Data!CK12</f>
        <v>7.7138115559642468</v>
      </c>
      <c r="CT12" s="59">
        <f>+SUM(Data!CE12:CK12)*2+Data!CL12</f>
        <v>7.4493671860424362</v>
      </c>
      <c r="CU12" s="59">
        <f>+SUM(Data!CF12:CL12)*2+Data!CM12</f>
        <v>7.38450433127585</v>
      </c>
      <c r="CV12" s="59">
        <f>+SUM(Data!CG12:CM12)*2+Data!CN12</f>
        <v>7.1828490878713449</v>
      </c>
      <c r="CW12" s="59">
        <f>+SUM(Data!CH12:CN12)*2+Data!CO12</f>
        <v>6.2766808217873749</v>
      </c>
      <c r="CX12" s="59">
        <f>+SUM(Data!CI12:CO12)*2+Data!CP12</f>
        <v>6.0388939495244847</v>
      </c>
      <c r="CY12" s="59">
        <f>+SUM(Data!CJ12:CP12)*2+Data!CQ12</f>
        <v>6.1997549176494822</v>
      </c>
      <c r="CZ12" s="60">
        <f t="shared" si="10"/>
        <v>77.168535195173305</v>
      </c>
      <c r="DA12" s="60">
        <f t="shared" si="11"/>
        <v>76.573197075107089</v>
      </c>
      <c r="DB12" s="60">
        <f t="shared" si="12"/>
        <v>73.09170428506998</v>
      </c>
      <c r="DC12" s="60">
        <f t="shared" si="13"/>
        <v>71.360005670186098</v>
      </c>
      <c r="DD12" s="60">
        <f t="shared" si="14"/>
        <v>68.127210449215823</v>
      </c>
      <c r="DE12" s="60">
        <f t="shared" si="15"/>
        <v>58.855915196905151</v>
      </c>
      <c r="DF12" s="60">
        <f t="shared" si="16"/>
        <v>56.612808415562959</v>
      </c>
      <c r="DG12" s="60">
        <f t="shared" si="17"/>
        <v>57.504200186158272</v>
      </c>
      <c r="DH12" s="13">
        <f t="shared" si="18"/>
        <v>0.21246326606624721</v>
      </c>
      <c r="DI12" s="13">
        <f t="shared" si="19"/>
        <v>0.17049964290138939</v>
      </c>
      <c r="DJ12" s="13">
        <f t="shared" si="20"/>
        <v>0.1325526407359908</v>
      </c>
      <c r="DK12" s="13">
        <f t="shared" si="21"/>
        <v>9.862225957005212E-2</v>
      </c>
      <c r="DL12" s="13">
        <f t="shared" si="22"/>
        <v>6.8708499403572501E-2</v>
      </c>
      <c r="DM12" s="13">
        <f t="shared" si="23"/>
        <v>4.281136023655234E-2</v>
      </c>
      <c r="DN12" s="13">
        <f t="shared" si="24"/>
        <v>0</v>
      </c>
      <c r="DO12" s="13">
        <f t="shared" si="25"/>
        <v>0</v>
      </c>
      <c r="DP12" s="50">
        <f>DH12*'Useful Constants'!$B$8</f>
        <v>905.09351344221318</v>
      </c>
      <c r="DQ12" s="50">
        <f>DI12*'Useful Constants'!$B$8</f>
        <v>726.32847875991877</v>
      </c>
      <c r="DR12" s="50">
        <f>DJ12*'Useful Constants'!$B$10</f>
        <v>322.10291698845765</v>
      </c>
      <c r="DS12" s="50">
        <f>DK12*'Useful Constants'!$B$10</f>
        <v>239.65209075522665</v>
      </c>
      <c r="DT12" s="50">
        <f>DL12*'Useful Constants'!$B$10</f>
        <v>166.96165355068118</v>
      </c>
      <c r="DU12" s="50">
        <f>DM12*'Useful Constants'!$B$10</f>
        <v>104.03160537482219</v>
      </c>
      <c r="DV12" s="50">
        <f>DN12*'Useful Constants'!$B$10</f>
        <v>0</v>
      </c>
      <c r="DW12" s="50">
        <f>DO12*'Useful Constants'!$B$10</f>
        <v>0</v>
      </c>
      <c r="DX12" s="14">
        <f>DH12*'Useful Constants'!$B$9</f>
        <v>408.77932391145964</v>
      </c>
      <c r="DY12" s="14">
        <f>DI12*'Useful Constants'!$B$9</f>
        <v>328.04131294227318</v>
      </c>
      <c r="DZ12" s="14">
        <f>DJ12*'Useful Constants'!$B$11</f>
        <v>89.738137778265767</v>
      </c>
      <c r="EA12" s="14">
        <f>DK12*'Useful Constants'!$B$11</f>
        <v>66.767269728925285</v>
      </c>
      <c r="EB12" s="14">
        <f>DL12*'Useful Constants'!$B$11</f>
        <v>46.515654096218583</v>
      </c>
      <c r="EC12" s="14">
        <f>DM12*'Useful Constants'!$B$11</f>
        <v>28.983290880145933</v>
      </c>
      <c r="ED12" s="14">
        <f>DN12*'Useful Constants'!$B$11</f>
        <v>0</v>
      </c>
      <c r="EE12" s="14">
        <f>DO12*'Useful Constants'!$B$11</f>
        <v>0</v>
      </c>
      <c r="EF12" s="78">
        <f>(SUM(Data!DI12:DO12)*2+Data!DP12)/('Useful Constants'!$B$1*1000000)*$K12/100</f>
        <v>1.4852107396507979</v>
      </c>
      <c r="EG12" s="78">
        <f>(SUM(Data!DJ12:DP12)*2+Data!DQ12)/('Useful Constants'!$B$1*1000000)*$K12/100</f>
        <v>1.4386655810772584</v>
      </c>
      <c r="EH12" s="78">
        <f>(SUM(Data!DK12:DQ12)*2+Data!DR12)/('Useful Constants'!$B$1*1000000)*$K12/100</f>
        <v>1.389710051729758</v>
      </c>
      <c r="EI12" s="78">
        <f>(SUM(Data!DL12:DR12)*2+Data!DS12)/('Useful Constants'!$B$1*1000000)*$K12/100</f>
        <v>1.3312803869346062</v>
      </c>
      <c r="EJ12" s="78">
        <f>(SUM(Data!DM12:DS12)*2+Data!DT12)/('Useful Constants'!$B$1*1000000)*$K12/100</f>
        <v>1.2721493956203929</v>
      </c>
      <c r="EK12" s="78">
        <f>(SUM(Data!DN12:DT12)*2+Data!DU12)/('Useful Constants'!$B$1*1000000)*$K12/100</f>
        <v>1.2115228891776177</v>
      </c>
      <c r="EL12" s="78">
        <f>(SUM(Data!DO12:DU12)*2+Data!DV12)/('Useful Constants'!$B$1*1000000)*$K12/100</f>
        <v>1.1458982483590301</v>
      </c>
      <c r="EM12" s="78">
        <f>(SUM(Data!DP12:DV12)*2+Data!DW12)/('Useful Constants'!$B$1*1000000)*$K12/100</f>
        <v>1.0808992379711024</v>
      </c>
      <c r="EN12" s="79">
        <f>EF12*'Useful Constants'!$B$3</f>
        <v>124.75770213066701</v>
      </c>
      <c r="EO12" s="79">
        <f>EG12*'Useful Constants'!$B$3</f>
        <v>120.8479088104897</v>
      </c>
      <c r="EP12" s="79">
        <f>EH12*'Useful Constants'!$B$3</f>
        <v>116.73564434529968</v>
      </c>
      <c r="EQ12" s="79">
        <f>EI12*'Useful Constants'!$B$3</f>
        <v>111.82755250250692</v>
      </c>
      <c r="ER12" s="79">
        <f>EJ12*'Useful Constants'!$B$3</f>
        <v>106.860549232113</v>
      </c>
      <c r="ES12" s="79">
        <f>EK12*'Useful Constants'!$B$3</f>
        <v>101.76792269091989</v>
      </c>
      <c r="ET12" s="79">
        <f>EL12*'Useful Constants'!$B$3</f>
        <v>96.255452862158535</v>
      </c>
      <c r="EU12" s="79">
        <f>EM12*'Useful Constants'!$B$3</f>
        <v>90.795535989572599</v>
      </c>
      <c r="EV12" s="78">
        <f>EF12*'Useful Constants'!$B$4</f>
        <v>41.58590071022234</v>
      </c>
      <c r="EW12" s="78">
        <f>EG12*'Useful Constants'!$B$4</f>
        <v>40.282636270163238</v>
      </c>
      <c r="EX12" s="78">
        <f>EH12*'Useful Constants'!$B$4</f>
        <v>38.911881448433228</v>
      </c>
      <c r="EY12" s="78">
        <f>EI12*'Useful Constants'!$B$4</f>
        <v>37.27585083416897</v>
      </c>
      <c r="EZ12" s="78">
        <f>EJ12*'Useful Constants'!$B$4</f>
        <v>35.620183077371003</v>
      </c>
      <c r="FA12" s="78">
        <f>EK12*'Useful Constants'!$B$4</f>
        <v>33.922640896973299</v>
      </c>
      <c r="FB12" s="78">
        <f>EL12*'Useful Constants'!$B$4</f>
        <v>32.085150954052843</v>
      </c>
      <c r="FC12" s="78">
        <f>EM12*'Useful Constants'!$B$4</f>
        <v>30.265178663190866</v>
      </c>
      <c r="FD12" s="40">
        <f t="shared" si="26"/>
        <v>0.82542777780588839</v>
      </c>
      <c r="FE12" s="40">
        <f t="shared" si="27"/>
        <v>0.82676482960190523</v>
      </c>
      <c r="FF12" s="40">
        <f t="shared" si="28"/>
        <v>0.83459105133638478</v>
      </c>
      <c r="FG12" s="40">
        <f t="shared" si="29"/>
        <v>0.83848673879128011</v>
      </c>
      <c r="FH12" s="40">
        <f t="shared" si="30"/>
        <v>0.84575915542830138</v>
      </c>
      <c r="FI12" s="40">
        <f t="shared" si="31"/>
        <v>0.86663551773722558</v>
      </c>
      <c r="FJ12" s="40">
        <f t="shared" si="32"/>
        <v>0.87169271314794783</v>
      </c>
      <c r="FK12" s="40">
        <f t="shared" si="33"/>
        <v>0.86968423787104454</v>
      </c>
      <c r="FL12" s="4">
        <f t="shared" si="34"/>
        <v>-0.18919670505406511</v>
      </c>
      <c r="FM12" s="4">
        <f t="shared" si="35"/>
        <v>7.4720189085595206E-3</v>
      </c>
      <c r="FN12" s="4">
        <f t="shared" si="36"/>
        <v>0.44977001434091646</v>
      </c>
      <c r="FO12" s="4">
        <f t="shared" si="37"/>
        <v>0.54539391529493253</v>
      </c>
      <c r="FP12" s="4">
        <f t="shared" si="38"/>
        <v>0.63222833741366657</v>
      </c>
      <c r="FQ12" s="4">
        <f t="shared" si="39"/>
        <v>0.71517851283751555</v>
      </c>
      <c r="FR12" s="4">
        <f t="shared" si="40"/>
        <v>0.8354273681513823</v>
      </c>
      <c r="FS12" s="4">
        <f t="shared" si="41"/>
        <v>0.84031354864497576</v>
      </c>
      <c r="FT12" s="38">
        <f t="shared" si="42"/>
        <v>0.12803583322904005</v>
      </c>
      <c r="FU12" s="38">
        <f t="shared" si="43"/>
        <v>0.26452801139833604</v>
      </c>
      <c r="FV12" s="38">
        <f t="shared" si="44"/>
        <v>0.66638874043974872</v>
      </c>
      <c r="FW12" s="38">
        <f t="shared" si="45"/>
        <v>0.70988020288367371</v>
      </c>
      <c r="FX12" s="38">
        <f t="shared" si="46"/>
        <v>0.75138129567531409</v>
      </c>
      <c r="FY12" s="38">
        <f t="shared" si="47"/>
        <v>0.79838863799147253</v>
      </c>
      <c r="FZ12" s="38">
        <f t="shared" si="48"/>
        <v>0.85309531013939055</v>
      </c>
      <c r="GA12" s="38">
        <f t="shared" si="49"/>
        <v>0.85462465566891399</v>
      </c>
    </row>
    <row r="13" spans="1:183" x14ac:dyDescent="0.25">
      <c r="A13" s="1" t="str">
        <f>Data!A13</f>
        <v>CA_LOS-ANGELES-IAP_722950_TY3A</v>
      </c>
      <c r="B13" s="1" t="str">
        <f>TY3A_REP_CITIES!B13</f>
        <v>Los-Angeles</v>
      </c>
      <c r="C13" s="1" t="str">
        <f>TY3A_REP_CITIES!C13</f>
        <v>Los Angeles</v>
      </c>
      <c r="D13" s="2" t="str">
        <f>TY3A_REP_CITIES!A13</f>
        <v>CA</v>
      </c>
      <c r="E13" s="42">
        <f>TY3A_REP_CITIES!E13</f>
        <v>10039107</v>
      </c>
      <c r="F13" s="2">
        <f>TY3A_REP_CITIES!G13</f>
        <v>3</v>
      </c>
      <c r="G13" s="2" t="str">
        <f>TY3A_REP_CITIES!H13</f>
        <v>Marine</v>
      </c>
      <c r="H13" s="2" t="str">
        <f>TY3A_REP_CITIES!I13</f>
        <v>Pacific</v>
      </c>
      <c r="I13" s="2">
        <f>Data!B13</f>
        <v>33.93</v>
      </c>
      <c r="J13" s="2">
        <f>Data!C13</f>
        <v>-118.4</v>
      </c>
      <c r="K13" s="2">
        <f>VLOOKUP(D13,Table1[],2,FALSE)</f>
        <v>2.8</v>
      </c>
      <c r="L13" s="2">
        <v>0.5</v>
      </c>
      <c r="M13" s="10">
        <f>Data!N13</f>
        <v>3089.9308900000001</v>
      </c>
      <c r="N13" s="10">
        <f>Data!Q13</f>
        <v>29308</v>
      </c>
      <c r="O13" s="10">
        <f>Data!O13</f>
        <v>1576761920.9147999</v>
      </c>
      <c r="P13" s="10">
        <f>Data!P13</f>
        <v>1642460334.2862418</v>
      </c>
      <c r="Q13" s="10">
        <f>Data!S13*15</f>
        <v>1239.2592811946213</v>
      </c>
      <c r="R13" s="48">
        <f>SUM(Data!U13:AA13)*2+Data!AB13</f>
        <v>3.5590888101669833</v>
      </c>
      <c r="S13" s="48">
        <f>SUM(Data!V13:AB13)*2+Data!AC13</f>
        <v>3.5155936703668633</v>
      </c>
      <c r="T13" s="48">
        <f>SUM(Data!W13:AC13)*2+Data!AD13</f>
        <v>3.4298939309645271</v>
      </c>
      <c r="U13" s="48">
        <f>SUM(Data!X13:AD13)*2+Data!AE13</f>
        <v>3.3815407348629529</v>
      </c>
      <c r="V13" s="48">
        <f>SUM(Data!Y13:AE13)*2+Data!AF13</f>
        <v>3.2734924177335483</v>
      </c>
      <c r="W13" s="48">
        <f>SUM(Data!Z13:AF13)*2+Data!AG13</f>
        <v>2.8588406308638392</v>
      </c>
      <c r="X13" s="48">
        <f>SUM(Data!AA13:AG13)*2+Data!AH13</f>
        <v>2.7772105131770197</v>
      </c>
      <c r="Y13" s="48">
        <f>SUM(Data!AB13:AH13)*2+Data!AI13</f>
        <v>2.8368743608455578</v>
      </c>
      <c r="Z13" s="80">
        <f>(SUM(Data!CS13:CY13)*2+Data!CZ13)/('Useful Constants'!$B$1*1000000)*$K13/100</f>
        <v>6.8358745810292373E-2</v>
      </c>
      <c r="AA13" s="80">
        <f>(SUM(Data!CT13:CZ13)*2+Data!DA13)/('Useful Constants'!$B$1*1000000)*$K13/100</f>
        <v>6.5035745466149611E-2</v>
      </c>
      <c r="AB13" s="80">
        <f>(SUM(Data!CU13:DA13)*2+Data!DB13)/('Useful Constants'!$B$1*1000000)*$K13/100</f>
        <v>6.1751400813200436E-2</v>
      </c>
      <c r="AC13" s="80">
        <f>(SUM(Data!CV13:DB13)*2+Data!DC13)/('Useful Constants'!$B$1*1000000)*$K13/100</f>
        <v>5.8286500687478329E-2</v>
      </c>
      <c r="AD13" s="80">
        <f>(SUM(Data!CW13:DC13)*2+Data!DD13)/('Useful Constants'!$B$1*1000000)*$K13/100</f>
        <v>5.5005149798892795E-2</v>
      </c>
      <c r="AE13" s="80">
        <f>(SUM(Data!CX13:DD13)*2+Data!DE13)/('Useful Constants'!$B$1*1000000)*$K13/100</f>
        <v>5.188020513183865E-2</v>
      </c>
      <c r="AF13" s="80">
        <f>(SUM(Data!CY13:DE13)*2+Data!DF13)/('Useful Constants'!$B$1*1000000)*$K13/100</f>
        <v>4.8507802631490973E-2</v>
      </c>
      <c r="AG13" s="80">
        <f>(SUM(Data!CZ13:DF13)*2+Data!DG13)/('Useful Constants'!$B$1*1000000)*$K13/100</f>
        <v>4.5245629478998871E-2</v>
      </c>
      <c r="AH13" s="48">
        <f>Z13*'Useful Constants'!$B$3</f>
        <v>5.7421346480645594</v>
      </c>
      <c r="AI13" s="48">
        <f>AA13*'Useful Constants'!$B$3</f>
        <v>5.4630026191565673</v>
      </c>
      <c r="AJ13" s="48">
        <f>AB13*'Useful Constants'!$B$3</f>
        <v>5.1871176683088365</v>
      </c>
      <c r="AK13" s="48">
        <f>AC13*'Useful Constants'!$B$3</f>
        <v>4.8960660577481798</v>
      </c>
      <c r="AL13" s="48">
        <f>AD13*'Useful Constants'!$B$3</f>
        <v>4.6204325831069948</v>
      </c>
      <c r="AM13" s="48">
        <f>AE13*'Useful Constants'!$B$3</f>
        <v>4.3579372310744464</v>
      </c>
      <c r="AN13" s="48">
        <f>AF13*'Useful Constants'!$B$3</f>
        <v>4.0746554210452421</v>
      </c>
      <c r="AO13" s="48">
        <f>AG13*'Useful Constants'!$B$3</f>
        <v>3.800632876235905</v>
      </c>
      <c r="AP13" s="10">
        <f>Z13*'Useful Constants'!$B$4</f>
        <v>1.9140448826881864</v>
      </c>
      <c r="AQ13" s="10">
        <f>AA13*'Useful Constants'!$B$4</f>
        <v>1.8210008730521892</v>
      </c>
      <c r="AR13" s="10">
        <f>AB13*'Useful Constants'!$B$4</f>
        <v>1.7290392227696123</v>
      </c>
      <c r="AS13" s="10">
        <f>AC13*'Useful Constants'!$B$4</f>
        <v>1.6320220192493933</v>
      </c>
      <c r="AT13" s="10">
        <f>AD13*'Useful Constants'!$B$4</f>
        <v>1.5401441943689982</v>
      </c>
      <c r="AU13" s="10">
        <f>AE13*'Useful Constants'!$B$4</f>
        <v>1.4526457436914821</v>
      </c>
      <c r="AV13" s="10">
        <f>AF13*'Useful Constants'!$B$4</f>
        <v>1.3582184736817473</v>
      </c>
      <c r="AW13" s="10">
        <f>AG13*'Useful Constants'!$B$4</f>
        <v>1.2668776254119685</v>
      </c>
      <c r="AX13" s="48">
        <f>P13/1000000/'Useful Constants'!$B$1*K13/100*'Useful Constants'!$B$3*15</f>
        <v>1158.9200118723722</v>
      </c>
      <c r="AY13" s="48">
        <f>P13/1000000/'Useful Constants'!$B$1*L13/100*'Useful Constants'!$B$3*15</f>
        <v>206.95000212006647</v>
      </c>
      <c r="AZ13" s="48">
        <f>P13/1000000/'Useful Constants'!$B$1*K13/100*'Useful Constants'!$B$4*15</f>
        <v>386.30667062412408</v>
      </c>
      <c r="BA13" s="48">
        <f>P13/1000000/'Useful Constants'!$B$1*L13/100*'Useful Constants'!$B$4*15</f>
        <v>68.983334040022157</v>
      </c>
      <c r="BB13" s="7">
        <f>Data!AN13</f>
        <v>3089.9308900000001</v>
      </c>
      <c r="BC13" s="7">
        <f>Data!AQ13</f>
        <v>3089.9308900000001</v>
      </c>
      <c r="BD13" s="7">
        <f>Data!AT13</f>
        <v>2126.1419999999998</v>
      </c>
      <c r="BE13" s="6">
        <f>Data!AO13</f>
        <v>1420899584.6575201</v>
      </c>
      <c r="BF13" s="6">
        <f>Data!AP13</f>
        <v>291039195.37774301</v>
      </c>
      <c r="BG13" s="6">
        <f>Data!AR13</f>
        <v>59187559.231788203</v>
      </c>
      <c r="BH13" s="6">
        <f>Data!AS13</f>
        <v>59187559.231788203</v>
      </c>
      <c r="BI13" s="8">
        <f t="shared" si="0"/>
        <v>0.9600107605311281</v>
      </c>
      <c r="BJ13" s="8">
        <f t="shared" si="1"/>
        <v>0.83100217658192166</v>
      </c>
      <c r="BK13" s="13">
        <f>BB13*'Useful Constants'!$B$5/'Useful Constants'!$B$6*'Useful Constants'!$B$7</f>
        <v>0.79071331475100004</v>
      </c>
      <c r="BL13" s="52">
        <f>1-VLOOKUP($G13,'Useful Constants'!$A$17:$X$23,10,FALSE)</f>
        <v>0.32857738000000003</v>
      </c>
      <c r="BM13" s="52">
        <f>1-VLOOKUP($G13,'Useful Constants'!$A$17:$X$23,12,FALSE)</f>
        <v>0.29242681999999998</v>
      </c>
      <c r="BN13" s="52">
        <f>1-VLOOKUP($G13,'Useful Constants'!$A$17:$X$23,14,FALSE)</f>
        <v>0.25829049999999998</v>
      </c>
      <c r="BO13" s="52">
        <f>1-VLOOKUP($G13,'Useful Constants'!$A$17:$X$23,16,FALSE)</f>
        <v>0.22616842000000004</v>
      </c>
      <c r="BP13" s="52">
        <f>1-VLOOKUP($G13,'Useful Constants'!$A$17:$X$23,18,FALSE)</f>
        <v>0.19606057999999993</v>
      </c>
      <c r="BQ13" s="52">
        <f>1-VLOOKUP($G13,'Useful Constants'!$A$17:$X$23,20, FALSE)</f>
        <v>0.1679669800000001</v>
      </c>
      <c r="BR13" s="52">
        <f>1-VLOOKUP($G13,'Useful Constants'!$A$17:$X$23,22, FALSE)</f>
        <v>0.14188761999999999</v>
      </c>
      <c r="BS13" s="52">
        <f>1-VLOOKUP($G13,'Useful Constants'!$A$17:$X$23,24, FALSE)</f>
        <v>0.11782250000000005</v>
      </c>
      <c r="BT13" s="13">
        <f t="shared" si="2"/>
        <v>0.25981050929199895</v>
      </c>
      <c r="BU13" s="13">
        <f t="shared" si="3"/>
        <v>0.23122578016429401</v>
      </c>
      <c r="BV13" s="13">
        <f t="shared" si="4"/>
        <v>0.20423373742369316</v>
      </c>
      <c r="BW13" s="13">
        <f t="shared" si="5"/>
        <v>0.17883438107019639</v>
      </c>
      <c r="BX13" s="13">
        <f t="shared" si="6"/>
        <v>0.15502771110380356</v>
      </c>
      <c r="BY13" s="13">
        <f t="shared" si="7"/>
        <v>0.13281372752451501</v>
      </c>
      <c r="BZ13" s="13">
        <f t="shared" si="8"/>
        <v>0.11219243033233028</v>
      </c>
      <c r="CA13" s="13">
        <f t="shared" si="9"/>
        <v>9.3163819527249739E-2</v>
      </c>
      <c r="CB13" s="59">
        <f>+SUM(Data!BM13:BS13)*2+Data!BT13</f>
        <v>31.36398687415933</v>
      </c>
      <c r="CC13" s="59">
        <f>+SUM(Data!BN13:BT13)*2+Data!BU13</f>
        <v>30.97074914849826</v>
      </c>
      <c r="CD13" s="59">
        <f>+SUM(Data!BO13:BU13)*2+Data!BV13</f>
        <v>30.135429117701992</v>
      </c>
      <c r="CE13" s="59">
        <f>+SUM(Data!BP13:BV13)*2+Data!BW13</f>
        <v>29.636234995787913</v>
      </c>
      <c r="CF13" s="59">
        <f>+SUM(Data!BQ13:BW13)*2+Data!BX13</f>
        <v>28.601452487802483</v>
      </c>
      <c r="CG13" s="59">
        <f>+SUM(Data!BR13:BX13)*2+Data!BY13</f>
        <v>24.97627853739867</v>
      </c>
      <c r="CH13" s="59">
        <f>+SUM(Data!BS13:BY13)*2+Data!BZ13</f>
        <v>24.248581322266151</v>
      </c>
      <c r="CI13" s="59">
        <f>+SUM(Data!BT13:BZ13)*2+Data!CA13</f>
        <v>24.749314081390871</v>
      </c>
      <c r="CJ13" s="13">
        <f>+SUM(Data!AW13:BC13)*2+Data!BD13</f>
        <v>105.62617394946173</v>
      </c>
      <c r="CK13" s="13">
        <f>+SUM(Data!AX13:BD13)*2+Data!BE13</f>
        <v>104.35476769885216</v>
      </c>
      <c r="CL13" s="13">
        <f>+SUM(Data!AY13:BE13)*2+Data!BF13</f>
        <v>101.47203517449401</v>
      </c>
      <c r="CM13" s="13">
        <f>+SUM(Data!AZ13:BF13)*2+Data!BG13</f>
        <v>99.738573899794943</v>
      </c>
      <c r="CN13" s="13">
        <f>+SUM(Data!BA13:BG13)*2+Data!BH13</f>
        <v>96.200070620918495</v>
      </c>
      <c r="CO13" s="13">
        <f>+SUM(Data!BB13:BH13)*2+Data!BI13</f>
        <v>83.980494267600648</v>
      </c>
      <c r="CP13" s="13">
        <f>+SUM(Data!BC13:BI13)*2+Data!BJ13</f>
        <v>81.45551443087507</v>
      </c>
      <c r="CQ13" s="13">
        <f>+SUM(Data!BD13:BJ13)*2+Data!BK13</f>
        <v>83.120128764548795</v>
      </c>
      <c r="CR13" s="59">
        <f>+SUM(Data!CC13:CI13)*2+Data!CJ13</f>
        <v>21.381547190340314</v>
      </c>
      <c r="CS13" s="59">
        <f>+SUM(Data!CD13:CJ13)*2+Data!CK13</f>
        <v>21.257530952041069</v>
      </c>
      <c r="CT13" s="59">
        <f>+SUM(Data!CE13:CK13)*2+Data!CL13</f>
        <v>20.959911664150098</v>
      </c>
      <c r="CU13" s="59">
        <f>+SUM(Data!CF13:CL13)*2+Data!CM13</f>
        <v>20.894901206444583</v>
      </c>
      <c r="CV13" s="59">
        <f>+SUM(Data!CG13:CM13)*2+Data!CN13</f>
        <v>20.630762073285403</v>
      </c>
      <c r="CW13" s="59">
        <f>+SUM(Data!CH13:CN13)*2+Data!CO13</f>
        <v>17.881899303100393</v>
      </c>
      <c r="CX13" s="59">
        <f>+SUM(Data!CI13:CO13)*2+Data!CP13</f>
        <v>17.271333702741373</v>
      </c>
      <c r="CY13" s="59">
        <f>+SUM(Data!CJ13:CP13)*2+Data!CQ13</f>
        <v>17.621241752377909</v>
      </c>
      <c r="CZ13" s="60">
        <f t="shared" si="10"/>
        <v>158.37170801396138</v>
      </c>
      <c r="DA13" s="60">
        <f t="shared" si="11"/>
        <v>156.58304779939149</v>
      </c>
      <c r="DB13" s="60">
        <f t="shared" si="12"/>
        <v>152.5673759563461</v>
      </c>
      <c r="DC13" s="60">
        <f t="shared" si="13"/>
        <v>150.26971010202743</v>
      </c>
      <c r="DD13" s="60">
        <f t="shared" si="14"/>
        <v>145.43228518200638</v>
      </c>
      <c r="DE13" s="60">
        <f t="shared" si="15"/>
        <v>126.83867210809971</v>
      </c>
      <c r="DF13" s="60">
        <f t="shared" si="16"/>
        <v>122.97542945588259</v>
      </c>
      <c r="DG13" s="60">
        <f t="shared" si="17"/>
        <v>125.49068459831757</v>
      </c>
      <c r="DH13" s="13">
        <f t="shared" si="18"/>
        <v>0.26713004254105283</v>
      </c>
      <c r="DI13" s="13">
        <f t="shared" si="19"/>
        <v>0.23774000774716988</v>
      </c>
      <c r="DJ13" s="13">
        <f t="shared" si="20"/>
        <v>0.20998752943050977</v>
      </c>
      <c r="DK13" s="13">
        <f t="shared" si="21"/>
        <v>0.18387260759107246</v>
      </c>
      <c r="DL13" s="13">
        <f t="shared" si="22"/>
        <v>0.15939524222885781</v>
      </c>
      <c r="DM13" s="13">
        <f t="shared" si="23"/>
        <v>0.13655543334386619</v>
      </c>
      <c r="DN13" s="13">
        <f t="shared" si="24"/>
        <v>0.1153531809360971</v>
      </c>
      <c r="DO13" s="13">
        <f t="shared" si="25"/>
        <v>9.5788485005550913E-2</v>
      </c>
      <c r="DP13" s="50">
        <f>DH13*'Useful Constants'!$B$8</f>
        <v>1137.9739812248849</v>
      </c>
      <c r="DQ13" s="50">
        <f>DI13*'Useful Constants'!$B$8</f>
        <v>1012.7724330029437</v>
      </c>
      <c r="DR13" s="50">
        <f>DJ13*'Useful Constants'!$B$10</f>
        <v>510.26969651613877</v>
      </c>
      <c r="DS13" s="50">
        <f>DK13*'Useful Constants'!$B$10</f>
        <v>446.81043644630608</v>
      </c>
      <c r="DT13" s="50">
        <f>DL13*'Useful Constants'!$B$10</f>
        <v>387.33043861612447</v>
      </c>
      <c r="DU13" s="50">
        <f>DM13*'Useful Constants'!$B$10</f>
        <v>331.82970302559482</v>
      </c>
      <c r="DV13" s="50">
        <f>DN13*'Useful Constants'!$B$10</f>
        <v>280.30822967471596</v>
      </c>
      <c r="DW13" s="50">
        <f>DO13*'Useful Constants'!$B$10</f>
        <v>232.76601856348873</v>
      </c>
      <c r="DX13" s="14">
        <f>DH13*'Useful Constants'!$B$9</f>
        <v>513.9582018489856</v>
      </c>
      <c r="DY13" s="14">
        <f>DI13*'Useful Constants'!$B$9</f>
        <v>457.41177490555486</v>
      </c>
      <c r="DZ13" s="14">
        <f>DJ13*'Useful Constants'!$B$11</f>
        <v>142.16155742445511</v>
      </c>
      <c r="EA13" s="14">
        <f>DK13*'Useful Constants'!$B$11</f>
        <v>124.48175533915605</v>
      </c>
      <c r="EB13" s="14">
        <f>DL13*'Useful Constants'!$B$11</f>
        <v>107.91057898893673</v>
      </c>
      <c r="EC13" s="14">
        <f>DM13*'Useful Constants'!$B$11</f>
        <v>92.448028373797413</v>
      </c>
      <c r="ED13" s="14">
        <f>DN13*'Useful Constants'!$B$11</f>
        <v>78.094103493737734</v>
      </c>
      <c r="EE13" s="14">
        <f>DO13*'Useful Constants'!$B$11</f>
        <v>64.848804348757966</v>
      </c>
      <c r="EF13" s="78">
        <f>(SUM(Data!DI13:DO13)*2+Data!DP13)/('Useful Constants'!$B$1*1000000)*$K13/100</f>
        <v>3.0389153847616228</v>
      </c>
      <c r="EG13" s="78">
        <f>(SUM(Data!DJ13:DP13)*2+Data!DQ13)/('Useful Constants'!$B$1*1000000)*$K13/100</f>
        <v>2.8947358571015878</v>
      </c>
      <c r="EH13" s="78">
        <f>(SUM(Data!DK13:DQ13)*2+Data!DR13)/('Useful Constants'!$B$1*1000000)*$K13/100</f>
        <v>2.7516466436549627</v>
      </c>
      <c r="EI13" s="78">
        <f>(SUM(Data!DL13:DR13)*2+Data!DS13)/('Useful Constants'!$B$1*1000000)*$K13/100</f>
        <v>2.5989094712560039</v>
      </c>
      <c r="EJ13" s="78">
        <f>(SUM(Data!DM13:DS13)*2+Data!DT13)/('Useful Constants'!$B$1*1000000)*$K13/100</f>
        <v>2.4530335578101186</v>
      </c>
      <c r="EK13" s="78">
        <f>(SUM(Data!DN13:DT13)*2+Data!DU13)/('Useful Constants'!$B$1*1000000)*$K13/100</f>
        <v>2.3137795213722083</v>
      </c>
      <c r="EL13" s="78">
        <f>(SUM(Data!DO13:DU13)*2+Data!DV13)/('Useful Constants'!$B$1*1000000)*$K13/100</f>
        <v>2.1629756882689057</v>
      </c>
      <c r="EM13" s="78">
        <f>(SUM(Data!DP13:DV13)*2+Data!DW13)/('Useful Constants'!$B$1*1000000)*$K13/100</f>
        <v>2.0165062876077653</v>
      </c>
      <c r="EN13" s="79">
        <f>EF13*'Useful Constants'!$B$3</f>
        <v>255.26889231997632</v>
      </c>
      <c r="EO13" s="79">
        <f>EG13*'Useful Constants'!$B$3</f>
        <v>243.15781199653338</v>
      </c>
      <c r="EP13" s="79">
        <f>EH13*'Useful Constants'!$B$3</f>
        <v>231.13831806701685</v>
      </c>
      <c r="EQ13" s="79">
        <f>EI13*'Useful Constants'!$B$3</f>
        <v>218.30839558550434</v>
      </c>
      <c r="ER13" s="79">
        <f>EJ13*'Useful Constants'!$B$3</f>
        <v>206.05481885604996</v>
      </c>
      <c r="ES13" s="79">
        <f>EK13*'Useful Constants'!$B$3</f>
        <v>194.3574797952655</v>
      </c>
      <c r="ET13" s="79">
        <f>EL13*'Useful Constants'!$B$3</f>
        <v>181.68995781458807</v>
      </c>
      <c r="EU13" s="79">
        <f>EM13*'Useful Constants'!$B$3</f>
        <v>169.38652815905229</v>
      </c>
      <c r="EV13" s="78">
        <f>EF13*'Useful Constants'!$B$4</f>
        <v>85.089630773325439</v>
      </c>
      <c r="EW13" s="78">
        <f>EG13*'Useful Constants'!$B$4</f>
        <v>81.052603998844461</v>
      </c>
      <c r="EX13" s="78">
        <f>EH13*'Useful Constants'!$B$4</f>
        <v>77.046106022338961</v>
      </c>
      <c r="EY13" s="78">
        <f>EI13*'Useful Constants'!$B$4</f>
        <v>72.76946519516811</v>
      </c>
      <c r="EZ13" s="78">
        <f>EJ13*'Useful Constants'!$B$4</f>
        <v>68.684939618683316</v>
      </c>
      <c r="FA13" s="78">
        <f>EK13*'Useful Constants'!$B$4</f>
        <v>64.785826598421835</v>
      </c>
      <c r="FB13" s="78">
        <f>EL13*'Useful Constants'!$B$4</f>
        <v>60.563319271529359</v>
      </c>
      <c r="FC13" s="78">
        <f>EM13*'Useful Constants'!$B$4</f>
        <v>56.46217605301743</v>
      </c>
      <c r="FD13" s="40">
        <f t="shared" si="26"/>
        <v>0.87257051244474992</v>
      </c>
      <c r="FE13" s="40">
        <f t="shared" si="27"/>
        <v>0.8740052997801373</v>
      </c>
      <c r="FF13" s="40">
        <f t="shared" si="28"/>
        <v>0.87722804784154684</v>
      </c>
      <c r="FG13" s="40">
        <f t="shared" si="29"/>
        <v>0.87907228907167301</v>
      </c>
      <c r="FH13" s="40">
        <f t="shared" si="30"/>
        <v>0.88295497046794336</v>
      </c>
      <c r="FI13" s="40">
        <f t="shared" si="31"/>
        <v>0.89788517703800141</v>
      </c>
      <c r="FJ13" s="40">
        <f t="shared" si="32"/>
        <v>0.90098887570783714</v>
      </c>
      <c r="FK13" s="40">
        <f t="shared" si="33"/>
        <v>0.89896862329293825</v>
      </c>
      <c r="FL13" s="4">
        <f t="shared" si="34"/>
        <v>0.40651909833013422</v>
      </c>
      <c r="FM13" s="4">
        <f t="shared" si="35"/>
        <v>0.45965761497280511</v>
      </c>
      <c r="FN13" s="4">
        <f t="shared" si="36"/>
        <v>0.65797162937413511</v>
      </c>
      <c r="FO13" s="4">
        <f t="shared" si="37"/>
        <v>0.68799786152084619</v>
      </c>
      <c r="FP13" s="4">
        <f t="shared" si="38"/>
        <v>0.71725565354866871</v>
      </c>
      <c r="FQ13" s="4">
        <f t="shared" si="39"/>
        <v>0.75002322178286995</v>
      </c>
      <c r="FR13" s="4">
        <f t="shared" si="40"/>
        <v>0.77604217608749271</v>
      </c>
      <c r="FS13" s="4">
        <f t="shared" si="41"/>
        <v>0.79797460063007131</v>
      </c>
      <c r="FT13" s="38">
        <f t="shared" si="42"/>
        <v>0.55446496944667334</v>
      </c>
      <c r="FU13" s="38">
        <f t="shared" si="43"/>
        <v>0.59112112482554102</v>
      </c>
      <c r="FV13" s="38">
        <f t="shared" si="44"/>
        <v>0.78127125865218527</v>
      </c>
      <c r="FW13" s="38">
        <f t="shared" si="45"/>
        <v>0.7955233424171485</v>
      </c>
      <c r="FX13" s="38">
        <f t="shared" si="46"/>
        <v>0.81050086504100094</v>
      </c>
      <c r="FY13" s="38">
        <f t="shared" si="47"/>
        <v>0.83278645800569207</v>
      </c>
      <c r="FZ13" s="38">
        <f t="shared" si="48"/>
        <v>0.84597915673543544</v>
      </c>
      <c r="GA13" s="38">
        <f t="shared" si="49"/>
        <v>0.85470743023943563</v>
      </c>
    </row>
    <row r="14" spans="1:183" x14ac:dyDescent="0.25">
      <c r="A14" s="1" t="str">
        <f>Data!A14</f>
        <v>CA_SACRAMENTO-METRO-AP_724839_TY3A</v>
      </c>
      <c r="B14" s="1" t="str">
        <f>TY3A_REP_CITIES!B14</f>
        <v>Sacramento</v>
      </c>
      <c r="C14" s="1" t="str">
        <f>TY3A_REP_CITIES!C14</f>
        <v>Sacramento</v>
      </c>
      <c r="D14" s="2" t="str">
        <f>TY3A_REP_CITIES!A14</f>
        <v>CA</v>
      </c>
      <c r="E14" s="42">
        <f>TY3A_REP_CITIES!E14</f>
        <v>1552058</v>
      </c>
      <c r="F14" s="2">
        <f>TY3A_REP_CITIES!G14</f>
        <v>3</v>
      </c>
      <c r="G14" s="2" t="str">
        <f>TY3A_REP_CITIES!H14</f>
        <v>Hot-Dry</v>
      </c>
      <c r="H14" s="2" t="str">
        <f>TY3A_REP_CITIES!I14</f>
        <v>Pacific</v>
      </c>
      <c r="I14" s="2">
        <f>Data!B14</f>
        <v>38.700000000000003</v>
      </c>
      <c r="J14" s="2">
        <f>Data!C14</f>
        <v>-121.58</v>
      </c>
      <c r="K14" s="2">
        <f>VLOOKUP(D14,Table1[],2,FALSE)</f>
        <v>2.8</v>
      </c>
      <c r="L14" s="2">
        <v>0.5</v>
      </c>
      <c r="M14" s="10">
        <f>Data!N14</f>
        <v>5077.7157900000002</v>
      </c>
      <c r="N14" s="10">
        <f>Data!Q14</f>
        <v>29308</v>
      </c>
      <c r="O14" s="10">
        <f>Data!O14</f>
        <v>9934932919.7145596</v>
      </c>
      <c r="P14" s="10">
        <f>Data!P14</f>
        <v>10348888458.035917</v>
      </c>
      <c r="Q14" s="10">
        <f>Data!S14*15</f>
        <v>7808.381002541676</v>
      </c>
      <c r="R14" s="48">
        <f>SUM(Data!U14:AA14)*2+Data!AB14</f>
        <v>33.064066689638864</v>
      </c>
      <c r="S14" s="48">
        <f>SUM(Data!V14:AB14)*2+Data!AC14</f>
        <v>32.334413261990449</v>
      </c>
      <c r="T14" s="48">
        <f>SUM(Data!W14:AC14)*2+Data!AD14</f>
        <v>30.851549539597109</v>
      </c>
      <c r="U14" s="48">
        <f>SUM(Data!X14:AD14)*2+Data!AE14</f>
        <v>30.162881785914632</v>
      </c>
      <c r="V14" s="48">
        <f>SUM(Data!Y14:AE14)*2+Data!AF14</f>
        <v>28.413776375566425</v>
      </c>
      <c r="W14" s="48">
        <f>SUM(Data!Z14:AF14)*2+Data!AG14</f>
        <v>24.839447948387207</v>
      </c>
      <c r="X14" s="48">
        <f>SUM(Data!AA14:AG14)*2+Data!AH14</f>
        <v>23.91846492415333</v>
      </c>
      <c r="Y14" s="48">
        <f>SUM(Data!AB14:AH14)*2+Data!AI14</f>
        <v>24.099215658410429</v>
      </c>
      <c r="Z14" s="80">
        <f>(SUM(Data!CS14:CY14)*2+Data!CZ14)/('Useful Constants'!$B$1*1000000)*$K14/100</f>
        <v>0.61432789790860942</v>
      </c>
      <c r="AA14" s="80">
        <f>(SUM(Data!CT14:CZ14)*2+Data!DA14)/('Useful Constants'!$B$1*1000000)*$K14/100</f>
        <v>0.58000922877413819</v>
      </c>
      <c r="AB14" s="80">
        <f>(SUM(Data!CU14:DA14)*2+Data!DB14)/('Useful Constants'!$B$1*1000000)*$K14/100</f>
        <v>0.54555421219911648</v>
      </c>
      <c r="AC14" s="80">
        <f>(SUM(Data!CV14:DB14)*2+Data!DC14)/('Useful Constants'!$B$1*1000000)*$K14/100</f>
        <v>0.51096740282632946</v>
      </c>
      <c r="AD14" s="80">
        <f>(SUM(Data!CW14:DC14)*2+Data!DD14)/('Useful Constants'!$B$1*1000000)*$K14/100</f>
        <v>0.4782438807257085</v>
      </c>
      <c r="AE14" s="80">
        <f>(SUM(Data!CX14:DD14)*2+Data!DE14)/('Useful Constants'!$B$1*1000000)*$K14/100</f>
        <v>0.4461267517450635</v>
      </c>
      <c r="AF14" s="80">
        <f>(SUM(Data!CY14:DE14)*2+Data!DF14)/('Useful Constants'!$B$1*1000000)*$K14/100</f>
        <v>0.41247047796663799</v>
      </c>
      <c r="AG14" s="80">
        <f>(SUM(Data!CZ14:DF14)*2+Data!DG14)/('Useful Constants'!$B$1*1000000)*$K14/100</f>
        <v>0.38001690376941288</v>
      </c>
      <c r="AH14" s="48">
        <f>Z14*'Useful Constants'!$B$3</f>
        <v>51.603543424323192</v>
      </c>
      <c r="AI14" s="48">
        <f>AA14*'Useful Constants'!$B$3</f>
        <v>48.720775217027608</v>
      </c>
      <c r="AJ14" s="48">
        <f>AB14*'Useful Constants'!$B$3</f>
        <v>45.826553824725785</v>
      </c>
      <c r="AK14" s="48">
        <f>AC14*'Useful Constants'!$B$3</f>
        <v>42.921261837411677</v>
      </c>
      <c r="AL14" s="48">
        <f>AD14*'Useful Constants'!$B$3</f>
        <v>40.172485980959515</v>
      </c>
      <c r="AM14" s="48">
        <f>AE14*'Useful Constants'!$B$3</f>
        <v>37.474647146585333</v>
      </c>
      <c r="AN14" s="48">
        <f>AF14*'Useful Constants'!$B$3</f>
        <v>34.647520149197589</v>
      </c>
      <c r="AO14" s="48">
        <f>AG14*'Useful Constants'!$B$3</f>
        <v>31.921419916630683</v>
      </c>
      <c r="AP14" s="10">
        <f>Z14*'Useful Constants'!$B$4</f>
        <v>17.201181141441065</v>
      </c>
      <c r="AQ14" s="10">
        <f>AA14*'Useful Constants'!$B$4</f>
        <v>16.240258405675871</v>
      </c>
      <c r="AR14" s="10">
        <f>AB14*'Useful Constants'!$B$4</f>
        <v>15.275517941575261</v>
      </c>
      <c r="AS14" s="10">
        <f>AC14*'Useful Constants'!$B$4</f>
        <v>14.307087279137225</v>
      </c>
      <c r="AT14" s="10">
        <f>AD14*'Useful Constants'!$B$4</f>
        <v>13.390828660319839</v>
      </c>
      <c r="AU14" s="10">
        <f>AE14*'Useful Constants'!$B$4</f>
        <v>12.491549048861778</v>
      </c>
      <c r="AV14" s="10">
        <f>AF14*'Useful Constants'!$B$4</f>
        <v>11.549173383065863</v>
      </c>
      <c r="AW14" s="10">
        <f>AG14*'Useful Constants'!$B$4</f>
        <v>10.64047330554356</v>
      </c>
      <c r="AX14" s="48">
        <f>P14/1000000/'Useful Constants'!$B$1*K14/100*'Useful Constants'!$B$3*15</f>
        <v>7302.1756959901422</v>
      </c>
      <c r="AY14" s="48">
        <f>P14/1000000/'Useful Constants'!$B$1*L14/100*'Useful Constants'!$B$3*15</f>
        <v>1303.9599457125255</v>
      </c>
      <c r="AZ14" s="48">
        <f>P14/1000000/'Useful Constants'!$B$1*K14/100*'Useful Constants'!$B$4*15</f>
        <v>2434.0585653300477</v>
      </c>
      <c r="BA14" s="48">
        <f>P14/1000000/'Useful Constants'!$B$1*L14/100*'Useful Constants'!$B$4*15</f>
        <v>434.65331523750854</v>
      </c>
      <c r="BB14" s="7">
        <f>Data!AN14</f>
        <v>5077.7157900000002</v>
      </c>
      <c r="BC14" s="7">
        <f>Data!AQ14</f>
        <v>5077.7157900000002</v>
      </c>
      <c r="BD14" s="7">
        <f>Data!AT14</f>
        <v>3764.5523600000001</v>
      </c>
      <c r="BE14" s="6">
        <f>Data!AO14</f>
        <v>9339276969.3894196</v>
      </c>
      <c r="BF14" s="6">
        <f>Data!AP14</f>
        <v>2389049057.1908598</v>
      </c>
      <c r="BG14" s="6">
        <f>Data!AR14</f>
        <v>159430720.734552</v>
      </c>
      <c r="BH14" s="6">
        <f>Data!AS14</f>
        <v>159430720.734552</v>
      </c>
      <c r="BI14" s="8">
        <f t="shared" si="0"/>
        <v>0.98321553563540898</v>
      </c>
      <c r="BJ14" s="8">
        <f t="shared" si="1"/>
        <v>0.9374408531252556</v>
      </c>
      <c r="BK14" s="13">
        <f>BB14*'Useful Constants'!$B$5/'Useful Constants'!$B$6*'Useful Constants'!$B$7</f>
        <v>1.2993874706610002</v>
      </c>
      <c r="BL14" s="52">
        <f>1-VLOOKUP($G14,'Useful Constants'!$A$17:$X$23,10,FALSE)</f>
        <v>0.10654528000000008</v>
      </c>
      <c r="BM14" s="52">
        <f>1-VLOOKUP($G14,'Useful Constants'!$A$17:$X$23,12,FALSE)</f>
        <v>8.5501519999999998E-2</v>
      </c>
      <c r="BN14" s="52">
        <f>1-VLOOKUP($G14,'Useful Constants'!$A$17:$X$23,14,FALSE)</f>
        <v>6.6471999999999865E-2</v>
      </c>
      <c r="BO14" s="52">
        <f>1-VLOOKUP($G14,'Useful Constants'!$A$17:$X$23,16,FALSE)</f>
        <v>4.945672000000001E-2</v>
      </c>
      <c r="BP14" s="52">
        <f>1-VLOOKUP($G14,'Useful Constants'!$A$17:$X$23,18,FALSE)</f>
        <v>3.4455679999999989E-2</v>
      </c>
      <c r="BQ14" s="52">
        <f>1-VLOOKUP($G14,'Useful Constants'!$A$17:$X$23,20, FALSE)</f>
        <v>2.1468880000000024E-2</v>
      </c>
      <c r="BR14" s="52">
        <f>1-VLOOKUP($G14,'Useful Constants'!$A$17:$X$23,22, FALSE)</f>
        <v>0</v>
      </c>
      <c r="BS14" s="52">
        <f>1-VLOOKUP($G14,'Useful Constants'!$A$17:$X$23,24, FALSE)</f>
        <v>0</v>
      </c>
      <c r="BT14" s="13">
        <f t="shared" si="2"/>
        <v>0.13844360189006816</v>
      </c>
      <c r="BU14" s="13">
        <f t="shared" si="3"/>
        <v>0.11109960381047092</v>
      </c>
      <c r="BV14" s="13">
        <f t="shared" si="4"/>
        <v>8.6372883949777837E-2</v>
      </c>
      <c r="BW14" s="13">
        <f t="shared" si="5"/>
        <v>6.4263442307989319E-2</v>
      </c>
      <c r="BX14" s="13">
        <f t="shared" si="6"/>
        <v>4.47712788851048E-2</v>
      </c>
      <c r="BY14" s="13">
        <f t="shared" si="7"/>
        <v>2.7896393681124565E-2</v>
      </c>
      <c r="BZ14" s="13">
        <f t="shared" si="8"/>
        <v>0</v>
      </c>
      <c r="CA14" s="13">
        <f t="shared" si="9"/>
        <v>0</v>
      </c>
      <c r="CB14" s="59">
        <f>+SUM(Data!BM14:BS14)*2+Data!BT14</f>
        <v>205.4534529207892</v>
      </c>
      <c r="CC14" s="59">
        <f>+SUM(Data!BN14:BT14)*2+Data!BU14</f>
        <v>201.03665958544781</v>
      </c>
      <c r="CD14" s="59">
        <f>+SUM(Data!BO14:BU14)*2+Data!BV14</f>
        <v>191.3825046752381</v>
      </c>
      <c r="CE14" s="59">
        <f>+SUM(Data!BP14:BV14)*2+Data!BW14</f>
        <v>186.75426940444959</v>
      </c>
      <c r="CF14" s="59">
        <f>+SUM(Data!BQ14:BW14)*2+Data!BX14</f>
        <v>175.60373740304831</v>
      </c>
      <c r="CG14" s="59">
        <f>+SUM(Data!BR14:BX14)*2+Data!BY14</f>
        <v>153.4011429149871</v>
      </c>
      <c r="CH14" s="59">
        <f>+SUM(Data!BS14:BY14)*2+Data!BZ14</f>
        <v>147.56122516145251</v>
      </c>
      <c r="CI14" s="59">
        <f>+SUM(Data!BT14:BZ14)*2+Data!CA14</f>
        <v>148.63698828108184</v>
      </c>
      <c r="CJ14" s="13">
        <f>+SUM(Data!AW14:BC14)*2+Data!BD14</f>
        <v>872.10308548860462</v>
      </c>
      <c r="CK14" s="13">
        <f>+SUM(Data!AX14:BD14)*2+Data!BE14</f>
        <v>854.07932861681729</v>
      </c>
      <c r="CL14" s="13">
        <f>+SUM(Data!AY14:BE14)*2+Data!BF14</f>
        <v>811.19078199067985</v>
      </c>
      <c r="CM14" s="13">
        <f>+SUM(Data!AZ14:BF14)*2+Data!BG14</f>
        <v>789.75338380206529</v>
      </c>
      <c r="CN14" s="13">
        <f>+SUM(Data!BA14:BG14)*2+Data!BH14</f>
        <v>741.22784909814368</v>
      </c>
      <c r="CO14" s="13">
        <f>+SUM(Data!BB14:BH14)*2+Data!BI14</f>
        <v>647.0921440618929</v>
      </c>
      <c r="CP14" s="13">
        <f>+SUM(Data!BC14:BI14)*2+Data!BJ14</f>
        <v>621.91810178276944</v>
      </c>
      <c r="CQ14" s="13">
        <f>+SUM(Data!BD14:BJ14)*2+Data!BK14</f>
        <v>626.58479380689084</v>
      </c>
      <c r="CR14" s="59">
        <f>+SUM(Data!CC14:CI14)*2+Data!CJ14</f>
        <v>51.800811280788025</v>
      </c>
      <c r="CS14" s="59">
        <f>+SUM(Data!CD14:CJ14)*2+Data!CK14</f>
        <v>50.966860216551275</v>
      </c>
      <c r="CT14" s="59">
        <f>+SUM(Data!CE14:CK14)*2+Data!CL14</f>
        <v>50.219159796029558</v>
      </c>
      <c r="CU14" s="59">
        <f>+SUM(Data!CF14:CL14)*2+Data!CM14</f>
        <v>50.787420689473088</v>
      </c>
      <c r="CV14" s="59">
        <f>+SUM(Data!CG14:CM14)*2+Data!CN14</f>
        <v>49.077842814967369</v>
      </c>
      <c r="CW14" s="59">
        <f>+SUM(Data!CH14:CN14)*2+Data!CO14</f>
        <v>42.775734372286706</v>
      </c>
      <c r="CX14" s="59">
        <f>+SUM(Data!CI14:CO14)*2+Data!CP14</f>
        <v>41.785385000337932</v>
      </c>
      <c r="CY14" s="59">
        <f>+SUM(Data!CJ14:CP14)*2+Data!CQ14</f>
        <v>42.305569932568915</v>
      </c>
      <c r="CZ14" s="60">
        <f t="shared" si="10"/>
        <v>1129.3573496901818</v>
      </c>
      <c r="DA14" s="60">
        <f t="shared" si="11"/>
        <v>1106.0828484188164</v>
      </c>
      <c r="DB14" s="60">
        <f t="shared" si="12"/>
        <v>1052.7924464619475</v>
      </c>
      <c r="DC14" s="60">
        <f t="shared" si="13"/>
        <v>1027.295073895988</v>
      </c>
      <c r="DD14" s="60">
        <f t="shared" si="14"/>
        <v>965.90942931615928</v>
      </c>
      <c r="DE14" s="60">
        <f t="shared" si="15"/>
        <v>843.26902134916668</v>
      </c>
      <c r="DF14" s="60">
        <f t="shared" si="16"/>
        <v>811.26471194455985</v>
      </c>
      <c r="DG14" s="60">
        <f t="shared" si="17"/>
        <v>817.52735202054157</v>
      </c>
      <c r="DH14" s="13">
        <f t="shared" si="18"/>
        <v>0.14234391581468406</v>
      </c>
      <c r="DI14" s="13">
        <f t="shared" si="19"/>
        <v>0.11422956666787598</v>
      </c>
      <c r="DJ14" s="13">
        <f t="shared" si="20"/>
        <v>8.880623122895405E-2</v>
      </c>
      <c r="DK14" s="13">
        <f t="shared" si="21"/>
        <v>6.6073909497918609E-2</v>
      </c>
      <c r="DL14" s="13">
        <f t="shared" si="22"/>
        <v>4.6032601474769112E-2</v>
      </c>
      <c r="DM14" s="13">
        <f t="shared" si="23"/>
        <v>2.8682307159505847E-2</v>
      </c>
      <c r="DN14" s="13">
        <f t="shared" si="24"/>
        <v>0</v>
      </c>
      <c r="DO14" s="13">
        <f t="shared" si="25"/>
        <v>0</v>
      </c>
      <c r="DP14" s="50">
        <f>DH14*'Useful Constants'!$B$8</f>
        <v>606.38508137055408</v>
      </c>
      <c r="DQ14" s="50">
        <f>DI14*'Useful Constants'!$B$8</f>
        <v>486.61795400515166</v>
      </c>
      <c r="DR14" s="50">
        <f>DJ14*'Useful Constants'!$B$10</f>
        <v>215.79914188635834</v>
      </c>
      <c r="DS14" s="50">
        <f>DK14*'Useful Constants'!$B$10</f>
        <v>160.55960007994221</v>
      </c>
      <c r="DT14" s="50">
        <f>DL14*'Useful Constants'!$B$10</f>
        <v>111.85922158368895</v>
      </c>
      <c r="DU14" s="50">
        <f>DM14*'Useful Constants'!$B$10</f>
        <v>69.698006397599201</v>
      </c>
      <c r="DV14" s="50">
        <f>DN14*'Useful Constants'!$B$10</f>
        <v>0</v>
      </c>
      <c r="DW14" s="50">
        <f>DO14*'Useful Constants'!$B$10</f>
        <v>0</v>
      </c>
      <c r="DX14" s="14">
        <f>DH14*'Useful Constants'!$B$9</f>
        <v>273.86969402745211</v>
      </c>
      <c r="DY14" s="14">
        <f>DI14*'Useful Constants'!$B$9</f>
        <v>219.77768626899339</v>
      </c>
      <c r="DZ14" s="14">
        <f>DJ14*'Useful Constants'!$B$11</f>
        <v>60.12181854200189</v>
      </c>
      <c r="EA14" s="14">
        <f>DK14*'Useful Constants'!$B$11</f>
        <v>44.732036730090897</v>
      </c>
      <c r="EB14" s="14">
        <f>DL14*'Useful Constants'!$B$11</f>
        <v>31.164071198418689</v>
      </c>
      <c r="EC14" s="14">
        <f>DM14*'Useful Constants'!$B$11</f>
        <v>19.417921946985459</v>
      </c>
      <c r="ED14" s="14">
        <f>DN14*'Useful Constants'!$B$11</f>
        <v>0</v>
      </c>
      <c r="EE14" s="14">
        <f>DO14*'Useful Constants'!$B$11</f>
        <v>0</v>
      </c>
      <c r="EF14" s="78">
        <f>(SUM(Data!DI14:DO14)*2+Data!DP14)/('Useful Constants'!$B$1*1000000)*$K14/100</f>
        <v>20.924416222607569</v>
      </c>
      <c r="EG14" s="78">
        <f>(SUM(Data!DJ14:DP14)*2+Data!DQ14)/('Useful Constants'!$B$1*1000000)*$K14/100</f>
        <v>19.819264436962939</v>
      </c>
      <c r="EH14" s="78">
        <f>(SUM(Data!DK14:DQ14)*2+Data!DR14)/('Useful Constants'!$B$1*1000000)*$K14/100</f>
        <v>18.701004232114883</v>
      </c>
      <c r="EI14" s="78">
        <f>(SUM(Data!DL14:DR14)*2+Data!DS14)/('Useful Constants'!$B$1*1000000)*$K14/100</f>
        <v>17.556863401229144</v>
      </c>
      <c r="EJ14" s="78">
        <f>(SUM(Data!DM14:DS14)*2+Data!DT14)/('Useful Constants'!$B$1*1000000)*$K14/100</f>
        <v>16.462995772055351</v>
      </c>
      <c r="EK14" s="78">
        <f>(SUM(Data!DN14:DT14)*2+Data!DU14)/('Useful Constants'!$B$1*1000000)*$K14/100</f>
        <v>15.382375828847719</v>
      </c>
      <c r="EL14" s="78">
        <f>(SUM(Data!DO14:DU14)*2+Data!DV14)/('Useful Constants'!$B$1*1000000)*$K14/100</f>
        <v>14.247283296571736</v>
      </c>
      <c r="EM14" s="78">
        <f>(SUM(Data!DP14:DV14)*2+Data!DW14)/('Useful Constants'!$B$1*1000000)*$K14/100</f>
        <v>13.145213022236174</v>
      </c>
      <c r="EN14" s="79">
        <f>EF14*'Useful Constants'!$B$3</f>
        <v>1757.6509626990357</v>
      </c>
      <c r="EO14" s="79">
        <f>EG14*'Useful Constants'!$B$3</f>
        <v>1664.8182127048869</v>
      </c>
      <c r="EP14" s="79">
        <f>EH14*'Useful Constants'!$B$3</f>
        <v>1570.8843554976502</v>
      </c>
      <c r="EQ14" s="79">
        <f>EI14*'Useful Constants'!$B$3</f>
        <v>1474.7765257032481</v>
      </c>
      <c r="ER14" s="79">
        <f>EJ14*'Useful Constants'!$B$3</f>
        <v>1382.8916448526495</v>
      </c>
      <c r="ES14" s="79">
        <f>EK14*'Useful Constants'!$B$3</f>
        <v>1292.1195696232085</v>
      </c>
      <c r="ET14" s="79">
        <f>EL14*'Useful Constants'!$B$3</f>
        <v>1196.7717969120258</v>
      </c>
      <c r="EU14" s="79">
        <f>EM14*'Useful Constants'!$B$3</f>
        <v>1104.1978938678385</v>
      </c>
      <c r="EV14" s="78">
        <f>EF14*'Useful Constants'!$B$4</f>
        <v>585.88365423301195</v>
      </c>
      <c r="EW14" s="78">
        <f>EG14*'Useful Constants'!$B$4</f>
        <v>554.93940423496224</v>
      </c>
      <c r="EX14" s="78">
        <f>EH14*'Useful Constants'!$B$4</f>
        <v>523.62811849921673</v>
      </c>
      <c r="EY14" s="78">
        <f>EI14*'Useful Constants'!$B$4</f>
        <v>491.592175234416</v>
      </c>
      <c r="EZ14" s="78">
        <f>EJ14*'Useful Constants'!$B$4</f>
        <v>460.96388161754982</v>
      </c>
      <c r="FA14" s="78">
        <f>EK14*'Useful Constants'!$B$4</f>
        <v>430.70652320773615</v>
      </c>
      <c r="FB14" s="78">
        <f>EL14*'Useful Constants'!$B$4</f>
        <v>398.92393230400859</v>
      </c>
      <c r="FC14" s="78">
        <f>EM14*'Useful Constants'!$B$4</f>
        <v>368.06596462261285</v>
      </c>
      <c r="FD14" s="40">
        <f t="shared" si="26"/>
        <v>0.8559758641781966</v>
      </c>
      <c r="FE14" s="40">
        <f t="shared" si="27"/>
        <v>0.8589308768700612</v>
      </c>
      <c r="FF14" s="40">
        <f t="shared" si="28"/>
        <v>0.86570210292046545</v>
      </c>
      <c r="FG14" s="40">
        <f t="shared" si="29"/>
        <v>0.86894312399654161</v>
      </c>
      <c r="FH14" s="40">
        <f t="shared" si="30"/>
        <v>0.87674687719082878</v>
      </c>
      <c r="FI14" s="40">
        <f t="shared" si="31"/>
        <v>0.89234708423195086</v>
      </c>
      <c r="FJ14" s="40">
        <f t="shared" si="32"/>
        <v>0.89642062138782752</v>
      </c>
      <c r="FK14" s="40">
        <f t="shared" si="33"/>
        <v>0.89562343864962735</v>
      </c>
      <c r="FL14" s="4">
        <f t="shared" si="34"/>
        <v>0.7882687204467711</v>
      </c>
      <c r="FM14" s="4">
        <f t="shared" si="35"/>
        <v>0.80252160712205811</v>
      </c>
      <c r="FN14" s="4">
        <f t="shared" si="36"/>
        <v>0.82781866400203064</v>
      </c>
      <c r="FO14" s="4">
        <f t="shared" si="37"/>
        <v>0.83850705545718551</v>
      </c>
      <c r="FP14" s="4">
        <f t="shared" si="38"/>
        <v>0.85071619647735774</v>
      </c>
      <c r="FQ14" s="4">
        <f t="shared" si="39"/>
        <v>0.86617046492410632</v>
      </c>
      <c r="FR14" s="4">
        <f t="shared" si="40"/>
        <v>0.87810195856828788</v>
      </c>
      <c r="FS14" s="4">
        <f t="shared" si="41"/>
        <v>0.88332346339162937</v>
      </c>
      <c r="FT14" s="38">
        <f t="shared" si="42"/>
        <v>0.81457590269000468</v>
      </c>
      <c r="FU14" s="38">
        <f t="shared" si="43"/>
        <v>0.82464495293021478</v>
      </c>
      <c r="FV14" s="38">
        <f t="shared" si="44"/>
        <v>0.84738330547690932</v>
      </c>
      <c r="FW14" s="38">
        <f t="shared" si="45"/>
        <v>0.8541612535952815</v>
      </c>
      <c r="FX14" s="38">
        <f t="shared" si="46"/>
        <v>0.86397506051861328</v>
      </c>
      <c r="FY14" s="38">
        <f t="shared" si="47"/>
        <v>0.8792848331392471</v>
      </c>
      <c r="FZ14" s="38">
        <f t="shared" si="48"/>
        <v>0.8870308698066004</v>
      </c>
      <c r="GA14" s="38">
        <f t="shared" si="49"/>
        <v>0.88931928232951341</v>
      </c>
    </row>
    <row r="15" spans="1:183" x14ac:dyDescent="0.25">
      <c r="A15" s="1" t="str">
        <f>Data!A15</f>
        <v>CA_SAN-JOSE-IAP_724945_TY3A</v>
      </c>
      <c r="B15" s="1" t="str">
        <f>TY3A_REP_CITIES!B15</f>
        <v>San-Jose</v>
      </c>
      <c r="C15" s="1" t="str">
        <f>TY3A_REP_CITIES!C15</f>
        <v>Santa Clara</v>
      </c>
      <c r="D15" s="2" t="str">
        <f>TY3A_REP_CITIES!A15</f>
        <v>CA</v>
      </c>
      <c r="E15" s="42">
        <f>TY3A_REP_CITIES!E15</f>
        <v>1927852</v>
      </c>
      <c r="F15" s="2">
        <f>TY3A_REP_CITIES!G15</f>
        <v>3</v>
      </c>
      <c r="G15" s="2" t="str">
        <f>TY3A_REP_CITIES!H15</f>
        <v>Marine</v>
      </c>
      <c r="H15" s="2" t="str">
        <f>TY3A_REP_CITIES!I15</f>
        <v>Pacific</v>
      </c>
      <c r="I15" s="2">
        <f>Data!B15</f>
        <v>37.369999999999997</v>
      </c>
      <c r="J15" s="2">
        <f>Data!C15</f>
        <v>-121.93</v>
      </c>
      <c r="K15" s="2">
        <f>VLOOKUP(D15,Table1[],2,FALSE)</f>
        <v>2.8</v>
      </c>
      <c r="L15" s="2">
        <v>0.5</v>
      </c>
      <c r="M15" s="10">
        <f>Data!N15</f>
        <v>3908.6552900000002</v>
      </c>
      <c r="N15" s="10">
        <f>Data!Q15</f>
        <v>29308</v>
      </c>
      <c r="O15" s="10">
        <f>Data!O15</f>
        <v>6223451269.5298204</v>
      </c>
      <c r="P15" s="10">
        <f>Data!P15</f>
        <v>6482761739.0935841</v>
      </c>
      <c r="Q15" s="10">
        <f>Data!S15*15</f>
        <v>4891.3343508148</v>
      </c>
      <c r="R15" s="48">
        <f>SUM(Data!U15:AA15)*2+Data!AB15</f>
        <v>17.007514789143503</v>
      </c>
      <c r="S15" s="48">
        <f>SUM(Data!V15:AB15)*2+Data!AC15</f>
        <v>16.670100725169124</v>
      </c>
      <c r="T15" s="48">
        <f>SUM(Data!W15:AC15)*2+Data!AD15</f>
        <v>15.902966419673831</v>
      </c>
      <c r="U15" s="48">
        <f>SUM(Data!X15:AD15)*2+Data!AE15</f>
        <v>15.595514712163878</v>
      </c>
      <c r="V15" s="48">
        <f>SUM(Data!Y15:AE15)*2+Data!AF15</f>
        <v>14.699203627455773</v>
      </c>
      <c r="W15" s="48">
        <f>SUM(Data!Z15:AF15)*2+Data!AG15</f>
        <v>12.822526485866556</v>
      </c>
      <c r="X15" s="48">
        <f>SUM(Data!AA15:AG15)*2+Data!AH15</f>
        <v>12.370435739537941</v>
      </c>
      <c r="Y15" s="48">
        <f>SUM(Data!AB15:AH15)*2+Data!AI15</f>
        <v>12.511492929101172</v>
      </c>
      <c r="Z15" s="80">
        <f>(SUM(Data!CS15:CY15)*2+Data!CZ15)/('Useful Constants'!$B$1*1000000)*$K15/100</f>
        <v>0.32198278713565698</v>
      </c>
      <c r="AA15" s="80">
        <f>(SUM(Data!CT15:CZ15)*2+Data!DA15)/('Useful Constants'!$B$1*1000000)*$K15/100</f>
        <v>0.30451468548164362</v>
      </c>
      <c r="AB15" s="80">
        <f>(SUM(Data!CU15:DA15)*2+Data!DB15)/('Useful Constants'!$B$1*1000000)*$K15/100</f>
        <v>0.28723028508776283</v>
      </c>
      <c r="AC15" s="80">
        <f>(SUM(Data!CV15:DB15)*2+Data!DC15)/('Useful Constants'!$B$1*1000000)*$K15/100</f>
        <v>0.26916536229383131</v>
      </c>
      <c r="AD15" s="80">
        <f>(SUM(Data!CW15:DC15)*2+Data!DD15)/('Useful Constants'!$B$1*1000000)*$K15/100</f>
        <v>0.25195102279818432</v>
      </c>
      <c r="AE15" s="80">
        <f>(SUM(Data!CX15:DD15)*2+Data!DE15)/('Useful Constants'!$B$1*1000000)*$K15/100</f>
        <v>0.2347978541392568</v>
      </c>
      <c r="AF15" s="80">
        <f>(SUM(Data!CY15:DE15)*2+Data!DF15)/('Useful Constants'!$B$1*1000000)*$K15/100</f>
        <v>0.21650687509273417</v>
      </c>
      <c r="AG15" s="80">
        <f>(SUM(Data!CZ15:DF15)*2+Data!DG15)/('Useful Constants'!$B$1*1000000)*$K15/100</f>
        <v>0.1987994741135922</v>
      </c>
      <c r="AH15" s="48">
        <f>Z15*'Useful Constants'!$B$3</f>
        <v>27.046554119395186</v>
      </c>
      <c r="AI15" s="48">
        <f>AA15*'Useful Constants'!$B$3</f>
        <v>25.579233580458066</v>
      </c>
      <c r="AJ15" s="48">
        <f>AB15*'Useful Constants'!$B$3</f>
        <v>24.127343947372076</v>
      </c>
      <c r="AK15" s="48">
        <f>AC15*'Useful Constants'!$B$3</f>
        <v>22.60989043268183</v>
      </c>
      <c r="AL15" s="48">
        <f>AD15*'Useful Constants'!$B$3</f>
        <v>21.163885915047484</v>
      </c>
      <c r="AM15" s="48">
        <f>AE15*'Useful Constants'!$B$3</f>
        <v>19.72301974769757</v>
      </c>
      <c r="AN15" s="48">
        <f>AF15*'Useful Constants'!$B$3</f>
        <v>18.186577507789671</v>
      </c>
      <c r="AO15" s="48">
        <f>AG15*'Useful Constants'!$B$3</f>
        <v>16.699155825541744</v>
      </c>
      <c r="AP15" s="10">
        <f>Z15*'Useful Constants'!$B$4</f>
        <v>9.0155180397983958</v>
      </c>
      <c r="AQ15" s="10">
        <f>AA15*'Useful Constants'!$B$4</f>
        <v>8.5264111934860214</v>
      </c>
      <c r="AR15" s="10">
        <f>AB15*'Useful Constants'!$B$4</f>
        <v>8.0424479824573591</v>
      </c>
      <c r="AS15" s="10">
        <f>AC15*'Useful Constants'!$B$4</f>
        <v>7.536630144227277</v>
      </c>
      <c r="AT15" s="10">
        <f>AD15*'Useful Constants'!$B$4</f>
        <v>7.0546286383491612</v>
      </c>
      <c r="AU15" s="10">
        <f>AE15*'Useful Constants'!$B$4</f>
        <v>6.5743399158991904</v>
      </c>
      <c r="AV15" s="10">
        <f>AF15*'Useful Constants'!$B$4</f>
        <v>6.0621925025965568</v>
      </c>
      <c r="AW15" s="10">
        <f>AG15*'Useful Constants'!$B$4</f>
        <v>5.5663852751805818</v>
      </c>
      <c r="AX15" s="48">
        <f>P15/1000000/'Useful Constants'!$B$1*K15/100*'Useful Constants'!$B$3*15</f>
        <v>4574.2366831044328</v>
      </c>
      <c r="AY15" s="48">
        <f>P15/1000000/'Useful Constants'!$B$1*L15/100*'Useful Constants'!$B$3*15</f>
        <v>816.82797912579156</v>
      </c>
      <c r="AZ15" s="48">
        <f>P15/1000000/'Useful Constants'!$B$1*K15/100*'Useful Constants'!$B$4*15</f>
        <v>1524.7455610348109</v>
      </c>
      <c r="BA15" s="48">
        <f>P15/1000000/'Useful Constants'!$B$1*L15/100*'Useful Constants'!$B$4*15</f>
        <v>272.27599304193058</v>
      </c>
      <c r="BB15" s="7">
        <f>Data!AN15</f>
        <v>3908.6552900000002</v>
      </c>
      <c r="BC15" s="7">
        <f>Data!AQ15</f>
        <v>3908.6552900000002</v>
      </c>
      <c r="BD15" s="7">
        <f>Data!AT15</f>
        <v>3279.0628999999999</v>
      </c>
      <c r="BE15" s="6">
        <f>Data!AO15</f>
        <v>5763728225.1888103</v>
      </c>
      <c r="BF15" s="6">
        <f>Data!AP15</f>
        <v>1385147777.4235699</v>
      </c>
      <c r="BG15" s="6">
        <f>Data!AR15</f>
        <v>149102801.00455499</v>
      </c>
      <c r="BH15" s="6">
        <f>Data!AS15</f>
        <v>149102801.00455499</v>
      </c>
      <c r="BI15" s="8">
        <f t="shared" si="0"/>
        <v>0.97478317909914192</v>
      </c>
      <c r="BJ15" s="8">
        <f t="shared" si="1"/>
        <v>0.90281717791019889</v>
      </c>
      <c r="BK15" s="13">
        <f>BB15*'Useful Constants'!$B$5/'Useful Constants'!$B$6*'Useful Constants'!$B$7</f>
        <v>1.0002248887110001</v>
      </c>
      <c r="BL15" s="52">
        <f>1-VLOOKUP($G15,'Useful Constants'!$A$17:$X$23,10,FALSE)</f>
        <v>0.32857738000000003</v>
      </c>
      <c r="BM15" s="52">
        <f>1-VLOOKUP($G15,'Useful Constants'!$A$17:$X$23,12,FALSE)</f>
        <v>0.29242681999999998</v>
      </c>
      <c r="BN15" s="52">
        <f>1-VLOOKUP($G15,'Useful Constants'!$A$17:$X$23,14,FALSE)</f>
        <v>0.25829049999999998</v>
      </c>
      <c r="BO15" s="52">
        <f>1-VLOOKUP($G15,'Useful Constants'!$A$17:$X$23,16,FALSE)</f>
        <v>0.22616842000000004</v>
      </c>
      <c r="BP15" s="52">
        <f>1-VLOOKUP($G15,'Useful Constants'!$A$17:$X$23,18,FALSE)</f>
        <v>0.19606057999999993</v>
      </c>
      <c r="BQ15" s="52">
        <f>1-VLOOKUP($G15,'Useful Constants'!$A$17:$X$23,20, FALSE)</f>
        <v>0.1679669800000001</v>
      </c>
      <c r="BR15" s="52">
        <f>1-VLOOKUP($G15,'Useful Constants'!$A$17:$X$23,22, FALSE)</f>
        <v>0.14188761999999999</v>
      </c>
      <c r="BS15" s="52">
        <f>1-VLOOKUP($G15,'Useful Constants'!$A$17:$X$23,24, FALSE)</f>
        <v>0.11782250000000005</v>
      </c>
      <c r="BT15" s="13">
        <f t="shared" si="2"/>
        <v>0.32865127334345201</v>
      </c>
      <c r="BU15" s="13">
        <f t="shared" si="3"/>
        <v>0.29249258349061164</v>
      </c>
      <c r="BV15" s="13">
        <f t="shared" si="4"/>
        <v>0.25834858661760857</v>
      </c>
      <c r="BW15" s="13">
        <f t="shared" si="5"/>
        <v>0.22621928272444278</v>
      </c>
      <c r="BX15" s="13">
        <f t="shared" si="6"/>
        <v>0.19610467181111407</v>
      </c>
      <c r="BY15" s="13">
        <f t="shared" si="7"/>
        <v>0.16800475387762287</v>
      </c>
      <c r="BZ15" s="13">
        <f t="shared" si="8"/>
        <v>0.14191952892396867</v>
      </c>
      <c r="CA15" s="13">
        <f t="shared" si="9"/>
        <v>0.11784899695015187</v>
      </c>
      <c r="CB15" s="59">
        <f>+SUM(Data!BM15:BS15)*2+Data!BT15</f>
        <v>132.16536546716651</v>
      </c>
      <c r="CC15" s="59">
        <f>+SUM(Data!BN15:BT15)*2+Data!BU15</f>
        <v>129.6018823508459</v>
      </c>
      <c r="CD15" s="59">
        <f>+SUM(Data!BO15:BU15)*2+Data!BV15</f>
        <v>123.24484438951025</v>
      </c>
      <c r="CE15" s="59">
        <f>+SUM(Data!BP15:BV15)*2+Data!BW15</f>
        <v>120.52743130248777</v>
      </c>
      <c r="CF15" s="59">
        <f>+SUM(Data!BQ15:BW15)*2+Data!BX15</f>
        <v>113.31770317026526</v>
      </c>
      <c r="CG15" s="59">
        <f>+SUM(Data!BR15:BX15)*2+Data!BY15</f>
        <v>98.782607041496732</v>
      </c>
      <c r="CH15" s="59">
        <f>+SUM(Data!BS15:BY15)*2+Data!BZ15</f>
        <v>95.17201219815891</v>
      </c>
      <c r="CI15" s="59">
        <f>+SUM(Data!BT15:BZ15)*2+Data!CA15</f>
        <v>96.224891138481453</v>
      </c>
      <c r="CJ15" s="13">
        <f>+SUM(Data!AW15:BC15)*2+Data!BD15</f>
        <v>508.80342841826734</v>
      </c>
      <c r="CK15" s="13">
        <f>+SUM(Data!AX15:BD15)*2+Data!BE15</f>
        <v>499.47322650123823</v>
      </c>
      <c r="CL15" s="13">
        <f>+SUM(Data!AY15:BE15)*2+Data!BF15</f>
        <v>474.09217592695842</v>
      </c>
      <c r="CM15" s="13">
        <f>+SUM(Data!AZ15:BF15)*2+Data!BG15</f>
        <v>462.91877826972234</v>
      </c>
      <c r="CN15" s="13">
        <f>+SUM(Data!BA15:BG15)*2+Data!BH15</f>
        <v>434.52852453118084</v>
      </c>
      <c r="CO15" s="13">
        <f>+SUM(Data!BB15:BH15)*2+Data!BI15</f>
        <v>378.10853604189344</v>
      </c>
      <c r="CP15" s="13">
        <f>+SUM(Data!BC15:BI15)*2+Data!BJ15</f>
        <v>363.90703397910681</v>
      </c>
      <c r="CQ15" s="13">
        <f>+SUM(Data!BD15:BJ15)*2+Data!BK15</f>
        <v>367.83229904659186</v>
      </c>
      <c r="CR15" s="59">
        <f>+SUM(Data!CC15:CI15)*2+Data!CJ15</f>
        <v>49.185640615869715</v>
      </c>
      <c r="CS15" s="59">
        <f>+SUM(Data!CD15:CJ15)*2+Data!CK15</f>
        <v>48.459878055261512</v>
      </c>
      <c r="CT15" s="59">
        <f>+SUM(Data!CE15:CK15)*2+Data!CL15</f>
        <v>47.541541224433288</v>
      </c>
      <c r="CU15" s="59">
        <f>+SUM(Data!CF15:CL15)*2+Data!CM15</f>
        <v>47.969615386355194</v>
      </c>
      <c r="CV15" s="59">
        <f>+SUM(Data!CG15:CM15)*2+Data!CN15</f>
        <v>46.423977086186454</v>
      </c>
      <c r="CW15" s="59">
        <f>+SUM(Data!CH15:CN15)*2+Data!CO15</f>
        <v>40.278515064179125</v>
      </c>
      <c r="CX15" s="59">
        <f>+SUM(Data!CI15:CO15)*2+Data!CP15</f>
        <v>39.279366726955246</v>
      </c>
      <c r="CY15" s="59">
        <f>+SUM(Data!CJ15:CP15)*2+Data!CQ15</f>
        <v>39.829901290477551</v>
      </c>
      <c r="CZ15" s="60">
        <f t="shared" si="10"/>
        <v>690.15443450130351</v>
      </c>
      <c r="DA15" s="60">
        <f t="shared" si="11"/>
        <v>677.53498690734557</v>
      </c>
      <c r="DB15" s="60">
        <f t="shared" si="12"/>
        <v>644.87856154090196</v>
      </c>
      <c r="DC15" s="60">
        <f t="shared" si="13"/>
        <v>631.41582495856528</v>
      </c>
      <c r="DD15" s="60">
        <f t="shared" si="14"/>
        <v>594.27020478763257</v>
      </c>
      <c r="DE15" s="60">
        <f t="shared" si="15"/>
        <v>517.16965814756929</v>
      </c>
      <c r="DF15" s="60">
        <f t="shared" si="16"/>
        <v>498.35841290422093</v>
      </c>
      <c r="DG15" s="60">
        <f t="shared" si="17"/>
        <v>503.88709147555085</v>
      </c>
      <c r="DH15" s="13">
        <f t="shared" si="18"/>
        <v>0.33791022876113946</v>
      </c>
      <c r="DI15" s="13">
        <f t="shared" si="19"/>
        <v>0.30073285520169568</v>
      </c>
      <c r="DJ15" s="13">
        <f t="shared" si="20"/>
        <v>0.26562693372814977</v>
      </c>
      <c r="DK15" s="13">
        <f t="shared" si="21"/>
        <v>0.23259246434050171</v>
      </c>
      <c r="DL15" s="13">
        <f t="shared" si="22"/>
        <v>0.2016294470387513</v>
      </c>
      <c r="DM15" s="13">
        <f t="shared" si="23"/>
        <v>0.17273788182289895</v>
      </c>
      <c r="DN15" s="13">
        <f t="shared" si="24"/>
        <v>0.14591776869294418</v>
      </c>
      <c r="DO15" s="13">
        <f t="shared" si="25"/>
        <v>0.12116910764888736</v>
      </c>
      <c r="DP15" s="50">
        <f>DH15*'Useful Constants'!$B$8</f>
        <v>1439.4975745224542</v>
      </c>
      <c r="DQ15" s="50">
        <f>DI15*'Useful Constants'!$B$8</f>
        <v>1281.1219631592237</v>
      </c>
      <c r="DR15" s="50">
        <f>DJ15*'Useful Constants'!$B$10</f>
        <v>645.47344895940398</v>
      </c>
      <c r="DS15" s="50">
        <f>DK15*'Useful Constants'!$B$10</f>
        <v>565.19968834741917</v>
      </c>
      <c r="DT15" s="50">
        <f>DL15*'Useful Constants'!$B$10</f>
        <v>489.95955630416563</v>
      </c>
      <c r="DU15" s="50">
        <f>DM15*'Useful Constants'!$B$10</f>
        <v>419.75305282964445</v>
      </c>
      <c r="DV15" s="50">
        <f>DN15*'Useful Constants'!$B$10</f>
        <v>354.58017792385436</v>
      </c>
      <c r="DW15" s="50">
        <f>DO15*'Useful Constants'!$B$10</f>
        <v>294.4409315867963</v>
      </c>
      <c r="DX15" s="14">
        <f>DH15*'Useful Constants'!$B$9</f>
        <v>650.13928013643238</v>
      </c>
      <c r="DY15" s="14">
        <f>DI15*'Useful Constants'!$B$9</f>
        <v>578.61001340806251</v>
      </c>
      <c r="DZ15" s="14">
        <f>DJ15*'Useful Constants'!$B$11</f>
        <v>179.82943413395739</v>
      </c>
      <c r="EA15" s="14">
        <f>DK15*'Useful Constants'!$B$11</f>
        <v>157.46509835851967</v>
      </c>
      <c r="EB15" s="14">
        <f>DL15*'Useful Constants'!$B$11</f>
        <v>136.50313564523464</v>
      </c>
      <c r="EC15" s="14">
        <f>DM15*'Useful Constants'!$B$11</f>
        <v>116.94354599410259</v>
      </c>
      <c r="ED15" s="14">
        <f>DN15*'Useful Constants'!$B$11</f>
        <v>98.786329405123212</v>
      </c>
      <c r="EE15" s="14">
        <f>DO15*'Useful Constants'!$B$11</f>
        <v>82.031485878296735</v>
      </c>
      <c r="EF15" s="78">
        <f>(SUM(Data!DI15:DO15)*2+Data!DP15)/('Useful Constants'!$B$1*1000000)*$K15/100</f>
        <v>12.991656321651625</v>
      </c>
      <c r="EG15" s="78">
        <f>(SUM(Data!DJ15:DP15)*2+Data!DQ15)/('Useful Constants'!$B$1*1000000)*$K15/100</f>
        <v>12.311652769752845</v>
      </c>
      <c r="EH15" s="78">
        <f>(SUM(Data!DK15:DQ15)*2+Data!DR15)/('Useful Constants'!$B$1*1000000)*$K15/100</f>
        <v>11.639433255398503</v>
      </c>
      <c r="EI15" s="78">
        <f>(SUM(Data!DL15:DR15)*2+Data!DS15)/('Useful Constants'!$B$1*1000000)*$K15/100</f>
        <v>10.920913612369857</v>
      </c>
      <c r="EJ15" s="78">
        <f>(SUM(Data!DM15:DS15)*2+Data!DT15)/('Useful Constants'!$B$1*1000000)*$K15/100</f>
        <v>10.225856532040906</v>
      </c>
      <c r="EK15" s="78">
        <f>(SUM(Data!DN15:DT15)*2+Data!DU15)/('Useful Constants'!$B$1*1000000)*$K15/100</f>
        <v>9.5317049725469918</v>
      </c>
      <c r="EL15" s="78">
        <f>(SUM(Data!DO15:DU15)*2+Data!DV15)/('Useful Constants'!$B$1*1000000)*$K15/100</f>
        <v>8.7871906002538367</v>
      </c>
      <c r="EM15" s="78">
        <f>(SUM(Data!DP15:DV15)*2+Data!DW15)/('Useful Constants'!$B$1*1000000)*$K15/100</f>
        <v>8.0646222990637018</v>
      </c>
      <c r="EN15" s="79">
        <f>EF15*'Useful Constants'!$B$3</f>
        <v>1091.2991310187365</v>
      </c>
      <c r="EO15" s="79">
        <f>EG15*'Useful Constants'!$B$3</f>
        <v>1034.1788326592389</v>
      </c>
      <c r="EP15" s="79">
        <f>EH15*'Useful Constants'!$B$3</f>
        <v>977.71239345347419</v>
      </c>
      <c r="EQ15" s="79">
        <f>EI15*'Useful Constants'!$B$3</f>
        <v>917.35674343906794</v>
      </c>
      <c r="ER15" s="79">
        <f>EJ15*'Useful Constants'!$B$3</f>
        <v>858.97194869143607</v>
      </c>
      <c r="ES15" s="79">
        <f>EK15*'Useful Constants'!$B$3</f>
        <v>800.66321769394733</v>
      </c>
      <c r="ET15" s="79">
        <f>EL15*'Useful Constants'!$B$3</f>
        <v>738.12401042132228</v>
      </c>
      <c r="EU15" s="79">
        <f>EM15*'Useful Constants'!$B$3</f>
        <v>677.42827312135091</v>
      </c>
      <c r="EV15" s="78">
        <f>EF15*'Useful Constants'!$B$4</f>
        <v>363.76637700624553</v>
      </c>
      <c r="EW15" s="78">
        <f>EG15*'Useful Constants'!$B$4</f>
        <v>344.72627755307968</v>
      </c>
      <c r="EX15" s="78">
        <f>EH15*'Useful Constants'!$B$4</f>
        <v>325.90413115115808</v>
      </c>
      <c r="EY15" s="78">
        <f>EI15*'Useful Constants'!$B$4</f>
        <v>305.78558114635598</v>
      </c>
      <c r="EZ15" s="78">
        <f>EJ15*'Useful Constants'!$B$4</f>
        <v>286.32398289714536</v>
      </c>
      <c r="FA15" s="78">
        <f>EK15*'Useful Constants'!$B$4</f>
        <v>266.88773923131578</v>
      </c>
      <c r="FB15" s="78">
        <f>EL15*'Useful Constants'!$B$4</f>
        <v>246.04133680710743</v>
      </c>
      <c r="FC15" s="78">
        <f>EM15*'Useful Constants'!$B$4</f>
        <v>225.80942437378366</v>
      </c>
      <c r="FD15" s="40">
        <f t="shared" si="26"/>
        <v>0.85939153111202782</v>
      </c>
      <c r="FE15" s="40">
        <f t="shared" si="27"/>
        <v>0.86195306186106713</v>
      </c>
      <c r="FF15" s="40">
        <f t="shared" si="28"/>
        <v>0.86858622889990378</v>
      </c>
      <c r="FG15" s="40">
        <f t="shared" si="29"/>
        <v>0.87132161203393188</v>
      </c>
      <c r="FH15" s="40">
        <f t="shared" si="30"/>
        <v>0.87886951889076659</v>
      </c>
      <c r="FI15" s="40">
        <f t="shared" si="31"/>
        <v>0.89454463405497175</v>
      </c>
      <c r="FJ15" s="40">
        <f t="shared" si="32"/>
        <v>0.89837104095852394</v>
      </c>
      <c r="FK15" s="40">
        <f t="shared" si="33"/>
        <v>0.89724654739740928</v>
      </c>
      <c r="FL15" s="4">
        <f t="shared" si="34"/>
        <v>0.68808736993427055</v>
      </c>
      <c r="FM15" s="4">
        <f t="shared" si="35"/>
        <v>0.71012709759807147</v>
      </c>
      <c r="FN15" s="4">
        <f t="shared" si="36"/>
        <v>0.78027803989806599</v>
      </c>
      <c r="FO15" s="4">
        <f t="shared" si="37"/>
        <v>0.79516972348836323</v>
      </c>
      <c r="FP15" s="4">
        <f t="shared" si="38"/>
        <v>0.81167354633335642</v>
      </c>
      <c r="FQ15" s="4">
        <f t="shared" si="39"/>
        <v>0.8315467505728712</v>
      </c>
      <c r="FR15" s="4">
        <f t="shared" si="40"/>
        <v>0.84572196398461652</v>
      </c>
      <c r="FS15" s="4">
        <f t="shared" si="41"/>
        <v>0.85688400312021351</v>
      </c>
      <c r="FT15" s="38">
        <f t="shared" si="42"/>
        <v>0.74620733988205534</v>
      </c>
      <c r="FU15" s="38">
        <f t="shared" si="43"/>
        <v>0.76154632026704161</v>
      </c>
      <c r="FV15" s="38">
        <f t="shared" si="44"/>
        <v>0.82858157402458577</v>
      </c>
      <c r="FW15" s="38">
        <f t="shared" si="45"/>
        <v>0.83689660231093554</v>
      </c>
      <c r="FX15" s="38">
        <f t="shared" si="46"/>
        <v>0.84842314609285463</v>
      </c>
      <c r="FY15" s="38">
        <f t="shared" si="47"/>
        <v>0.86567767565481291</v>
      </c>
      <c r="FZ15" s="38">
        <f t="shared" si="48"/>
        <v>0.87427871402969637</v>
      </c>
      <c r="GA15" s="38">
        <f t="shared" si="49"/>
        <v>0.87896279483536155</v>
      </c>
    </row>
    <row r="16" spans="1:183" x14ac:dyDescent="0.25">
      <c r="A16" s="1" t="str">
        <f>Data!A16</f>
        <v>CO_ALAMOSA-SAN-LUIS-VAL-RGNL_724620_TY3A</v>
      </c>
      <c r="B16" s="1" t="str">
        <f>TY3A_REP_CITIES!B16</f>
        <v>Alamosa</v>
      </c>
      <c r="C16" s="1" t="str">
        <f>TY3A_REP_CITIES!C16</f>
        <v>Alamosa</v>
      </c>
      <c r="D16" s="2" t="str">
        <f>TY3A_REP_CITIES!A16</f>
        <v>CO</v>
      </c>
      <c r="E16" s="42">
        <f>TY3A_REP_CITIES!E16</f>
        <v>16233</v>
      </c>
      <c r="F16" s="2">
        <f>TY3A_REP_CITIES!G16</f>
        <v>6</v>
      </c>
      <c r="G16" s="2" t="str">
        <f>TY3A_REP_CITIES!H16</f>
        <v>Cold</v>
      </c>
      <c r="H16" s="2" t="str">
        <f>TY3A_REP_CITIES!I16</f>
        <v>Rocky Mountains</v>
      </c>
      <c r="I16" s="2">
        <f>Data!B16</f>
        <v>37.43</v>
      </c>
      <c r="J16" s="2">
        <f>Data!C16</f>
        <v>-105.87</v>
      </c>
      <c r="K16" s="2">
        <f>VLOOKUP(D16,Table1[],2,FALSE)</f>
        <v>3.1</v>
      </c>
      <c r="L16" s="2">
        <v>0.5</v>
      </c>
      <c r="M16" s="10">
        <f>Data!N16</f>
        <v>5891.3159900000001</v>
      </c>
      <c r="N16" s="10">
        <f>Data!Q16</f>
        <v>29308</v>
      </c>
      <c r="O16" s="10">
        <f>Data!O16</f>
        <v>58965576479.5933</v>
      </c>
      <c r="P16" s="10">
        <f>Data!P16</f>
        <v>61422475499.576416</v>
      </c>
      <c r="Q16" s="10">
        <f>Data!S16*15</f>
        <v>46344.116352665245</v>
      </c>
      <c r="R16" s="48">
        <f>SUM(Data!U16:AA16)*2+Data!AB16</f>
        <v>1070.685450360503</v>
      </c>
      <c r="S16" s="48">
        <f>SUM(Data!V16:AB16)*2+Data!AC16</f>
        <v>1090.6228442347317</v>
      </c>
      <c r="T16" s="48">
        <f>SUM(Data!W16:AC16)*2+Data!AD16</f>
        <v>1002.1106757149391</v>
      </c>
      <c r="U16" s="48">
        <f>SUM(Data!X16:AD16)*2+Data!AE16</f>
        <v>934.77536718935198</v>
      </c>
      <c r="V16" s="48">
        <f>SUM(Data!Y16:AE16)*2+Data!AF16</f>
        <v>990.29214059784294</v>
      </c>
      <c r="W16" s="48">
        <f>SUM(Data!Z16:AF16)*2+Data!AG16</f>
        <v>908.68345710291135</v>
      </c>
      <c r="X16" s="48">
        <f>SUM(Data!AA16:AG16)*2+Data!AH16</f>
        <v>992.25642067520585</v>
      </c>
      <c r="Y16" s="48">
        <f>SUM(Data!AB16:AH16)*2+Data!AI16</f>
        <v>1156.2576983581973</v>
      </c>
      <c r="Z16" s="80">
        <f>(SUM(Data!CS16:CY16)*2+Data!CZ16)/('Useful Constants'!$B$1*1000000)*$K16/100</f>
        <v>0.93093092049578585</v>
      </c>
      <c r="AA16" s="80">
        <f>(SUM(Data!CT16:CZ16)*2+Data!DA16)/('Useful Constants'!$B$1*1000000)*$K16/100</f>
        <v>0.66084587267237638</v>
      </c>
      <c r="AB16" s="80">
        <f>(SUM(Data!CU16:DA16)*2+Data!DB16)/('Useful Constants'!$B$1*1000000)*$K16/100</f>
        <v>0.48663016279383098</v>
      </c>
      <c r="AC16" s="80">
        <f>(SUM(Data!CV16:DB16)*2+Data!DC16)/('Useful Constants'!$B$1*1000000)*$K16/100</f>
        <v>0.35940095067478461</v>
      </c>
      <c r="AD16" s="80">
        <f>(SUM(Data!CW16:DC16)*2+Data!DD16)/('Useful Constants'!$B$1*1000000)*$K16/100</f>
        <v>0.28455972538222307</v>
      </c>
      <c r="AE16" s="80">
        <f>(SUM(Data!CX16:DD16)*2+Data!DE16)/('Useful Constants'!$B$1*1000000)*$K16/100</f>
        <v>0.25356884420854042</v>
      </c>
      <c r="AF16" s="80">
        <f>(SUM(Data!CY16:DE16)*2+Data!DF16)/('Useful Constants'!$B$1*1000000)*$K16/100</f>
        <v>0.20801065448458964</v>
      </c>
      <c r="AG16" s="80">
        <f>(SUM(Data!CZ16:DF16)*2+Data!DG16)/('Useful Constants'!$B$1*1000000)*$K16/100</f>
        <v>0.19608653048843852</v>
      </c>
      <c r="AH16" s="48">
        <f>Z16*'Useful Constants'!$B$3</f>
        <v>78.198197321646006</v>
      </c>
      <c r="AI16" s="48">
        <f>AA16*'Useful Constants'!$B$3</f>
        <v>55.511053304479617</v>
      </c>
      <c r="AJ16" s="48">
        <f>AB16*'Useful Constants'!$B$3</f>
        <v>40.876933674681801</v>
      </c>
      <c r="AK16" s="48">
        <f>AC16*'Useful Constants'!$B$3</f>
        <v>30.189679856681906</v>
      </c>
      <c r="AL16" s="48">
        <f>AD16*'Useful Constants'!$B$3</f>
        <v>23.903016932106738</v>
      </c>
      <c r="AM16" s="48">
        <f>AE16*'Useful Constants'!$B$3</f>
        <v>21.299782913517397</v>
      </c>
      <c r="AN16" s="48">
        <f>AF16*'Useful Constants'!$B$3</f>
        <v>17.472894976705529</v>
      </c>
      <c r="AO16" s="48">
        <f>AG16*'Useful Constants'!$B$3</f>
        <v>16.471268561028836</v>
      </c>
      <c r="AP16" s="10">
        <f>Z16*'Useful Constants'!$B$4</f>
        <v>26.066065773882002</v>
      </c>
      <c r="AQ16" s="10">
        <f>AA16*'Useful Constants'!$B$4</f>
        <v>18.503684434826539</v>
      </c>
      <c r="AR16" s="10">
        <f>AB16*'Useful Constants'!$B$4</f>
        <v>13.625644558227268</v>
      </c>
      <c r="AS16" s="10">
        <f>AC16*'Useful Constants'!$B$4</f>
        <v>10.063226618893969</v>
      </c>
      <c r="AT16" s="10">
        <f>AD16*'Useful Constants'!$B$4</f>
        <v>7.9676723107022465</v>
      </c>
      <c r="AU16" s="10">
        <f>AE16*'Useful Constants'!$B$4</f>
        <v>7.0999276378391318</v>
      </c>
      <c r="AV16" s="10">
        <f>AF16*'Useful Constants'!$B$4</f>
        <v>5.8242983255685097</v>
      </c>
      <c r="AW16" s="10">
        <f>AG16*'Useful Constants'!$B$4</f>
        <v>5.4904228536762787</v>
      </c>
      <c r="AX16" s="48">
        <f>P16/1000000/'Useful Constants'!$B$1*K16/100*'Useful Constants'!$B$3*15</f>
        <v>47983.237860269102</v>
      </c>
      <c r="AY16" s="48">
        <f>P16/1000000/'Useful Constants'!$B$1*L16/100*'Useful Constants'!$B$3*15</f>
        <v>7739.2319129466305</v>
      </c>
      <c r="AZ16" s="48">
        <f>P16/1000000/'Useful Constants'!$B$1*K16/100*'Useful Constants'!$B$4*15</f>
        <v>15994.412620089701</v>
      </c>
      <c r="BA16" s="48">
        <f>P16/1000000/'Useful Constants'!$B$1*L16/100*'Useful Constants'!$B$4*15</f>
        <v>2579.7439709822097</v>
      </c>
      <c r="BB16" s="7">
        <f>Data!AN16</f>
        <v>5891.3159900000001</v>
      </c>
      <c r="BC16" s="7">
        <f>Data!AQ16</f>
        <v>5891.3159900000001</v>
      </c>
      <c r="BD16" s="7">
        <f>Data!AT16</f>
        <v>9771.7191000000003</v>
      </c>
      <c r="BE16" s="6">
        <f>Data!AO16</f>
        <v>42923495400.841797</v>
      </c>
      <c r="BF16" s="6">
        <f>Data!AP16</f>
        <v>17531955286.6119</v>
      </c>
      <c r="BG16" s="6">
        <f>Data!AR16</f>
        <v>13141394666.523399</v>
      </c>
      <c r="BH16" s="6">
        <f>Data!AS16</f>
        <v>13141394666.523399</v>
      </c>
      <c r="BI16" s="8">
        <f t="shared" si="0"/>
        <v>0.7656038449244571</v>
      </c>
      <c r="BJ16" s="8">
        <f t="shared" si="1"/>
        <v>0.57156963009903838</v>
      </c>
      <c r="BK16" s="13">
        <f>BB16*'Useful Constants'!$B$5/'Useful Constants'!$B$6*'Useful Constants'!$B$7</f>
        <v>1.5075877618409999</v>
      </c>
      <c r="BL16" s="52">
        <f>1-VLOOKUP($G16,'Useful Constants'!$A$17:$X$23,10,FALSE)</f>
        <v>6.6471999999999865E-2</v>
      </c>
      <c r="BM16" s="52">
        <f>1-VLOOKUP($G16,'Useful Constants'!$A$17:$X$23,12,FALSE)</f>
        <v>4.945672000000001E-2</v>
      </c>
      <c r="BN16" s="52">
        <f>1-VLOOKUP($G16,'Useful Constants'!$A$17:$X$23,14,FALSE)</f>
        <v>3.4455679999999989E-2</v>
      </c>
      <c r="BO16" s="52">
        <f>1-VLOOKUP($G16,'Useful Constants'!$A$17:$X$23,16,FALSE)</f>
        <v>2.1468880000000024E-2</v>
      </c>
      <c r="BP16" s="52">
        <f>1-VLOOKUP($G16,'Useful Constants'!$A$17:$X$23,18,FALSE)</f>
        <v>0</v>
      </c>
      <c r="BQ16" s="52">
        <f>1-VLOOKUP($G16,'Useful Constants'!$A$17:$X$23,20, FALSE)</f>
        <v>0</v>
      </c>
      <c r="BR16" s="52">
        <f>1-VLOOKUP($G16,'Useful Constants'!$A$17:$X$23,22, FALSE)</f>
        <v>0</v>
      </c>
      <c r="BS16" s="52">
        <f>1-VLOOKUP($G16,'Useful Constants'!$A$17:$X$23,24, FALSE)</f>
        <v>0</v>
      </c>
      <c r="BT16" s="13">
        <f t="shared" si="2"/>
        <v>0.10021237370509474</v>
      </c>
      <c r="BU16" s="13">
        <f t="shared" si="3"/>
        <v>7.4560345812797024E-2</v>
      </c>
      <c r="BV16" s="13">
        <f t="shared" si="4"/>
        <v>5.1944961493909682E-2</v>
      </c>
      <c r="BW16" s="13">
        <f t="shared" si="5"/>
        <v>3.2366220748433039E-2</v>
      </c>
      <c r="BX16" s="13">
        <f t="shared" si="6"/>
        <v>0</v>
      </c>
      <c r="BY16" s="13">
        <f t="shared" si="7"/>
        <v>0</v>
      </c>
      <c r="BZ16" s="13">
        <f t="shared" si="8"/>
        <v>0</v>
      </c>
      <c r="CA16" s="13">
        <f t="shared" si="9"/>
        <v>0</v>
      </c>
      <c r="CB16" s="59">
        <f>+SUM(Data!BM16:BS16)*2+Data!BT16</f>
        <v>5341.7881868284812</v>
      </c>
      <c r="CC16" s="59">
        <f>+SUM(Data!BN16:BT16)*2+Data!BU16</f>
        <v>5442.6674019738239</v>
      </c>
      <c r="CD16" s="59">
        <f>+SUM(Data!BO16:BU16)*2+Data!BV16</f>
        <v>5002.8410618571625</v>
      </c>
      <c r="CE16" s="59">
        <f>+SUM(Data!BP16:BV16)*2+Data!BW16</f>
        <v>4669.6920706777091</v>
      </c>
      <c r="CF16" s="59">
        <f>+SUM(Data!BQ16:BW16)*2+Data!BX16</f>
        <v>4946.5750219936754</v>
      </c>
      <c r="CG16" s="59">
        <f>+SUM(Data!BR16:BX16)*2+Data!BY16</f>
        <v>4540.4504732115875</v>
      </c>
      <c r="CH16" s="59">
        <f>+SUM(Data!BS16:BY16)*2+Data!BZ16</f>
        <v>4957.2431998843767</v>
      </c>
      <c r="CI16" s="59">
        <f>+SUM(Data!BT16:BZ16)*2+Data!CA16</f>
        <v>5774.7177654597581</v>
      </c>
      <c r="CJ16" s="13">
        <f>+SUM(Data!AW16:BC16)*2+Data!BD16</f>
        <v>24776.063242314132</v>
      </c>
      <c r="CK16" s="13">
        <f>+SUM(Data!AX16:BD16)*2+Data!BE16</f>
        <v>25171.93042615585</v>
      </c>
      <c r="CL16" s="13">
        <f>+SUM(Data!AY16:BE16)*2+Data!BF16</f>
        <v>23134.391655151532</v>
      </c>
      <c r="CM16" s="13">
        <f>+SUM(Data!AZ16:BF16)*2+Data!BG16</f>
        <v>21610.170695787561</v>
      </c>
      <c r="CN16" s="13">
        <f>+SUM(Data!BA16:BG16)*2+Data!BH16</f>
        <v>22870.690004807115</v>
      </c>
      <c r="CO16" s="13">
        <f>+SUM(Data!BB16:BH16)*2+Data!BI16</f>
        <v>21018.897194193989</v>
      </c>
      <c r="CP16" s="13">
        <f>+SUM(Data!BC16:BI16)*2+Data!BJ16</f>
        <v>22941.484226932549</v>
      </c>
      <c r="CQ16" s="13">
        <f>+SUM(Data!BD16:BJ16)*2+Data!BK16</f>
        <v>26684.636169561894</v>
      </c>
      <c r="CR16" s="59">
        <f>+SUM(Data!CC16:CI16)*2+Data!CJ16</f>
        <v>20264.054458805371</v>
      </c>
      <c r="CS16" s="59">
        <f>+SUM(Data!CD16:CJ16)*2+Data!CK16</f>
        <v>21085.734834499406</v>
      </c>
      <c r="CT16" s="59">
        <f>+SUM(Data!CE16:CK16)*2+Data!CL16</f>
        <v>19459.331787001622</v>
      </c>
      <c r="CU16" s="59">
        <f>+SUM(Data!CF16:CL16)*2+Data!CM16</f>
        <v>17754.197155186073</v>
      </c>
      <c r="CV16" s="59">
        <f>+SUM(Data!CG16:CM16)*2+Data!CN16</f>
        <v>18984.657328598281</v>
      </c>
      <c r="CW16" s="59">
        <f>+SUM(Data!CH16:CN16)*2+Data!CO16</f>
        <v>17196.476405905509</v>
      </c>
      <c r="CX16" s="59">
        <f>+SUM(Data!CI16:CO16)*2+Data!CP16</f>
        <v>18819.568096419374</v>
      </c>
      <c r="CY16" s="59">
        <f>+SUM(Data!CJ16:CP16)*2+Data!CQ16</f>
        <v>22225.957405890014</v>
      </c>
      <c r="CZ16" s="60">
        <f t="shared" si="10"/>
        <v>50381.905887947985</v>
      </c>
      <c r="DA16" s="60">
        <f t="shared" si="11"/>
        <v>51700.33266262908</v>
      </c>
      <c r="DB16" s="60">
        <f t="shared" si="12"/>
        <v>47596.564504010312</v>
      </c>
      <c r="DC16" s="60">
        <f t="shared" si="13"/>
        <v>44034.059921651344</v>
      </c>
      <c r="DD16" s="60">
        <f t="shared" si="14"/>
        <v>46801.922355399074</v>
      </c>
      <c r="DE16" s="60">
        <f t="shared" si="15"/>
        <v>42755.824073311087</v>
      </c>
      <c r="DF16" s="60">
        <f t="shared" si="16"/>
        <v>46718.295523236302</v>
      </c>
      <c r="DG16" s="60">
        <f t="shared" si="17"/>
        <v>54685.311340911663</v>
      </c>
      <c r="DH16" s="13">
        <f t="shared" si="18"/>
        <v>0.10303561516403306</v>
      </c>
      <c r="DI16" s="13">
        <f t="shared" si="19"/>
        <v>7.6660903375787529E-2</v>
      </c>
      <c r="DJ16" s="13">
        <f t="shared" si="20"/>
        <v>5.3408385255371831E-2</v>
      </c>
      <c r="DK16" s="13">
        <f t="shared" si="21"/>
        <v>3.3278060802786329E-2</v>
      </c>
      <c r="DL16" s="13">
        <f t="shared" si="22"/>
        <v>0</v>
      </c>
      <c r="DM16" s="13">
        <f t="shared" si="23"/>
        <v>0</v>
      </c>
      <c r="DN16" s="13">
        <f t="shared" si="24"/>
        <v>0</v>
      </c>
      <c r="DO16" s="13">
        <f t="shared" si="25"/>
        <v>0</v>
      </c>
      <c r="DP16" s="50">
        <f>DH16*'Useful Constants'!$B$8</f>
        <v>438.93172059878083</v>
      </c>
      <c r="DQ16" s="50">
        <f>DI16*'Useful Constants'!$B$8</f>
        <v>326.57544838085488</v>
      </c>
      <c r="DR16" s="50">
        <f>DJ16*'Useful Constants'!$B$10</f>
        <v>129.78237617055356</v>
      </c>
      <c r="DS16" s="50">
        <f>DK16*'Useful Constants'!$B$10</f>
        <v>80.865687750770775</v>
      </c>
      <c r="DT16" s="50">
        <f>DL16*'Useful Constants'!$B$10</f>
        <v>0</v>
      </c>
      <c r="DU16" s="50">
        <f>DM16*'Useful Constants'!$B$10</f>
        <v>0</v>
      </c>
      <c r="DV16" s="50">
        <f>DN16*'Useful Constants'!$B$10</f>
        <v>0</v>
      </c>
      <c r="DW16" s="50">
        <f>DO16*'Useful Constants'!$B$10</f>
        <v>0</v>
      </c>
      <c r="DX16" s="14">
        <f>DH16*'Useful Constants'!$B$9</f>
        <v>198.24052357559961</v>
      </c>
      <c r="DY16" s="14">
        <f>DI16*'Useful Constants'!$B$9</f>
        <v>147.49557809501522</v>
      </c>
      <c r="DZ16" s="14">
        <f>DJ16*'Useful Constants'!$B$11</f>
        <v>36.157476817886732</v>
      </c>
      <c r="EA16" s="14">
        <f>DK16*'Useful Constants'!$B$11</f>
        <v>22.529247163486346</v>
      </c>
      <c r="EB16" s="14">
        <f>DL16*'Useful Constants'!$B$11</f>
        <v>0</v>
      </c>
      <c r="EC16" s="14">
        <f>DM16*'Useful Constants'!$B$11</f>
        <v>0</v>
      </c>
      <c r="ED16" s="14">
        <f>DN16*'Useful Constants'!$B$11</f>
        <v>0</v>
      </c>
      <c r="EE16" s="14">
        <f>DO16*'Useful Constants'!$B$11</f>
        <v>0</v>
      </c>
      <c r="EF16" s="78">
        <f>(SUM(Data!DI16:DO16)*2+Data!DP16)/('Useful Constants'!$B$1*1000000)*$K16/100</f>
        <v>43.057551795399867</v>
      </c>
      <c r="EG16" s="78">
        <f>(SUM(Data!DJ16:DP16)*2+Data!DQ16)/('Useful Constants'!$B$1*1000000)*$K16/100</f>
        <v>31.059682470539364</v>
      </c>
      <c r="EH16" s="78">
        <f>(SUM(Data!DK16:DQ16)*2+Data!DR16)/('Useful Constants'!$B$1*1000000)*$K16/100</f>
        <v>23.193140472631853</v>
      </c>
      <c r="EI16" s="78">
        <f>(SUM(Data!DL16:DR16)*2+Data!DS16)/('Useful Constants'!$B$1*1000000)*$K16/100</f>
        <v>17.25697676768862</v>
      </c>
      <c r="EJ16" s="78">
        <f>(SUM(Data!DM16:DS16)*2+Data!DT16)/('Useful Constants'!$B$1*1000000)*$K16/100</f>
        <v>13.605541634765943</v>
      </c>
      <c r="EK16" s="78">
        <f>(SUM(Data!DN16:DT16)*2+Data!DU16)/('Useful Constants'!$B$1*1000000)*$K16/100</f>
        <v>12.131462643971952</v>
      </c>
      <c r="EL16" s="78">
        <f>(SUM(Data!DO16:DU16)*2+Data!DV16)/('Useful Constants'!$B$1*1000000)*$K16/100</f>
        <v>9.9429830195355127</v>
      </c>
      <c r="EM16" s="78">
        <f>(SUM(Data!DP16:DV16)*2+Data!DW16)/('Useful Constants'!$B$1*1000000)*$K16/100</f>
        <v>9.3892664971871902</v>
      </c>
      <c r="EN16" s="79">
        <f>EF16*'Useful Constants'!$B$3</f>
        <v>3616.834350813589</v>
      </c>
      <c r="EO16" s="79">
        <f>EG16*'Useful Constants'!$B$3</f>
        <v>2609.0133275253065</v>
      </c>
      <c r="EP16" s="79">
        <f>EH16*'Useful Constants'!$B$3</f>
        <v>1948.2237997010757</v>
      </c>
      <c r="EQ16" s="79">
        <f>EI16*'Useful Constants'!$B$3</f>
        <v>1449.586048485844</v>
      </c>
      <c r="ER16" s="79">
        <f>EJ16*'Useful Constants'!$B$3</f>
        <v>1142.8654973203393</v>
      </c>
      <c r="ES16" s="79">
        <f>EK16*'Useful Constants'!$B$3</f>
        <v>1019.042862093644</v>
      </c>
      <c r="ET16" s="79">
        <f>EL16*'Useful Constants'!$B$3</f>
        <v>835.21057364098306</v>
      </c>
      <c r="EU16" s="79">
        <f>EM16*'Useful Constants'!$B$3</f>
        <v>788.69838576372399</v>
      </c>
      <c r="EV16" s="78">
        <f>EF16*'Useful Constants'!$B$4</f>
        <v>1205.6114502711962</v>
      </c>
      <c r="EW16" s="78">
        <f>EG16*'Useful Constants'!$B$4</f>
        <v>869.67110917510217</v>
      </c>
      <c r="EX16" s="78">
        <f>EH16*'Useful Constants'!$B$4</f>
        <v>649.40793323369189</v>
      </c>
      <c r="EY16" s="78">
        <f>EI16*'Useful Constants'!$B$4</f>
        <v>483.19534949528133</v>
      </c>
      <c r="EZ16" s="78">
        <f>EJ16*'Useful Constants'!$B$4</f>
        <v>380.95516577344642</v>
      </c>
      <c r="FA16" s="78">
        <f>EK16*'Useful Constants'!$B$4</f>
        <v>339.68095403121464</v>
      </c>
      <c r="FB16" s="78">
        <f>EL16*'Useful Constants'!$B$4</f>
        <v>278.40352454699433</v>
      </c>
      <c r="FC16" s="78">
        <f>EM16*'Useful Constants'!$B$4</f>
        <v>262.89946192124131</v>
      </c>
      <c r="FD16" s="40">
        <f t="shared" si="26"/>
        <v>-6.2577591218210882E-2</v>
      </c>
      <c r="FE16" s="40">
        <f t="shared" si="27"/>
        <v>-8.9925517415048228E-2</v>
      </c>
      <c r="FF16" s="40">
        <f t="shared" si="28"/>
        <v>-5.2873796148544313E-3</v>
      </c>
      <c r="FG16" s="40">
        <f t="shared" si="29"/>
        <v>6.8631722956411817E-2</v>
      </c>
      <c r="FH16" s="40">
        <f t="shared" si="30"/>
        <v>1.1249451610656529E-2</v>
      </c>
      <c r="FI16" s="40">
        <f t="shared" si="31"/>
        <v>9.5168450431744545E-2</v>
      </c>
      <c r="FJ16" s="40">
        <f t="shared" si="32"/>
        <v>1.3057131628223263E-2</v>
      </c>
      <c r="FK16" s="40">
        <f t="shared" si="33"/>
        <v>-0.15126064654081212</v>
      </c>
      <c r="FL16" s="4">
        <f t="shared" si="34"/>
        <v>0.47258223908889646</v>
      </c>
      <c r="FM16" s="4">
        <f t="shared" si="35"/>
        <v>0.47064740250874404</v>
      </c>
      <c r="FN16" s="4">
        <f t="shared" si="36"/>
        <v>0.51823512715299103</v>
      </c>
      <c r="FO16" s="4">
        <f t="shared" si="37"/>
        <v>0.55776156779962505</v>
      </c>
      <c r="FP16" s="4">
        <f t="shared" si="38"/>
        <v>0.53488140800078221</v>
      </c>
      <c r="FQ16" s="4">
        <f t="shared" si="39"/>
        <v>0.57498713593174522</v>
      </c>
      <c r="FR16" s="4">
        <f t="shared" si="40"/>
        <v>0.53865729587656186</v>
      </c>
      <c r="FS16" s="4">
        <f t="shared" si="41"/>
        <v>0.46266584898581831</v>
      </c>
      <c r="FT16" s="38">
        <f t="shared" si="42"/>
        <v>0.21554588087331969</v>
      </c>
      <c r="FU16" s="38">
        <f t="shared" si="43"/>
        <v>0.2015814681308146</v>
      </c>
      <c r="FV16" s="38">
        <f t="shared" si="44"/>
        <v>0.26772040024545585</v>
      </c>
      <c r="FW16" s="38">
        <f t="shared" si="45"/>
        <v>0.32375219635774233</v>
      </c>
      <c r="FX16" s="38">
        <f t="shared" si="46"/>
        <v>0.28420267954073253</v>
      </c>
      <c r="FY16" s="38">
        <f t="shared" si="47"/>
        <v>0.34539192280180925</v>
      </c>
      <c r="FZ16" s="38">
        <f t="shared" si="48"/>
        <v>0.28702520032824241</v>
      </c>
      <c r="GA16" s="38">
        <f t="shared" si="49"/>
        <v>0.16845954469619262</v>
      </c>
    </row>
    <row r="17" spans="1:183" x14ac:dyDescent="0.25">
      <c r="A17" s="1" t="str">
        <f>Data!A17</f>
        <v>CO_ASPEN-PITKIN-CO-SAR_724676_TY3A</v>
      </c>
      <c r="B17" s="1" t="str">
        <f>TY3A_REP_CITIES!B17</f>
        <v>Aspen</v>
      </c>
      <c r="C17" s="1" t="str">
        <f>TY3A_REP_CITIES!C17</f>
        <v>Pitkin</v>
      </c>
      <c r="D17" s="2" t="str">
        <f>TY3A_REP_CITIES!A17</f>
        <v>CO</v>
      </c>
      <c r="E17" s="42">
        <f>TY3A_REP_CITIES!E17</f>
        <v>17767</v>
      </c>
      <c r="F17" s="2">
        <f>TY3A_REP_CITIES!G17</f>
        <v>7</v>
      </c>
      <c r="G17" s="2" t="str">
        <f>TY3A_REP_CITIES!H17</f>
        <v>Very Cold</v>
      </c>
      <c r="H17" s="2" t="str">
        <f>TY3A_REP_CITIES!I17</f>
        <v>Rocky Mountains</v>
      </c>
      <c r="I17" s="2">
        <f>Data!B17</f>
        <v>39.22</v>
      </c>
      <c r="J17" s="2">
        <f>Data!C17</f>
        <v>-106.87</v>
      </c>
      <c r="K17" s="2">
        <f>VLOOKUP(D17,Table1[],2,FALSE)</f>
        <v>3.1</v>
      </c>
      <c r="L17" s="2">
        <v>0.5</v>
      </c>
      <c r="M17" s="10">
        <f>Data!N17</f>
        <v>4809.3618100000003</v>
      </c>
      <c r="N17" s="10">
        <f>Data!Q17</f>
        <v>29308</v>
      </c>
      <c r="O17" s="10">
        <f>Data!O17</f>
        <v>48490688304.900803</v>
      </c>
      <c r="P17" s="10">
        <f>Data!P17</f>
        <v>50511133650.938087</v>
      </c>
      <c r="Q17" s="10">
        <f>Data!S17*15</f>
        <v>38111.356404712751</v>
      </c>
      <c r="R17" s="48">
        <f>SUM(Data!U17:AA17)*2+Data!AB17</f>
        <v>706.25397668920436</v>
      </c>
      <c r="S17" s="48">
        <f>SUM(Data!V17:AB17)*2+Data!AC17</f>
        <v>714.98091388721605</v>
      </c>
      <c r="T17" s="48">
        <f>SUM(Data!W17:AC17)*2+Data!AD17</f>
        <v>656.73426892782595</v>
      </c>
      <c r="U17" s="48">
        <f>SUM(Data!X17:AD17)*2+Data!AE17</f>
        <v>615.15744091057854</v>
      </c>
      <c r="V17" s="48">
        <f>SUM(Data!Y17:AE17)*2+Data!AF17</f>
        <v>649.37986967905852</v>
      </c>
      <c r="W17" s="48">
        <f>SUM(Data!Z17:AF17)*2+Data!AG17</f>
        <v>596.79424691400857</v>
      </c>
      <c r="X17" s="48">
        <f>SUM(Data!AA17:AG17)*2+Data!AH17</f>
        <v>650.90878459307271</v>
      </c>
      <c r="Y17" s="48">
        <f>SUM(Data!AB17:AH17)*2+Data!AI17</f>
        <v>754.44978179258112</v>
      </c>
      <c r="Z17" s="80">
        <f>(SUM(Data!CS17:CY17)*2+Data!CZ17)/('Useful Constants'!$B$1*1000000)*$K17/100</f>
        <v>0.62889413149520668</v>
      </c>
      <c r="AA17" s="80">
        <f>(SUM(Data!CT17:CZ17)*2+Data!DA17)/('Useful Constants'!$B$1*1000000)*$K17/100</f>
        <v>0.44653200972857837</v>
      </c>
      <c r="AB17" s="80">
        <f>(SUM(Data!CU17:DA17)*2+Data!DB17)/('Useful Constants'!$B$1*1000000)*$K17/100</f>
        <v>0.33033830104028788</v>
      </c>
      <c r="AC17" s="80">
        <f>(SUM(Data!CV17:DB17)*2+Data!DC17)/('Useful Constants'!$B$1*1000000)*$K17/100</f>
        <v>0.24715755065671943</v>
      </c>
      <c r="AD17" s="80">
        <f>(SUM(Data!CW17:DC17)*2+Data!DD17)/('Useful Constants'!$B$1*1000000)*$K17/100</f>
        <v>0.19911656103463238</v>
      </c>
      <c r="AE17" s="80">
        <f>(SUM(Data!CX17:DD17)*2+Data!DE17)/('Useful Constants'!$B$1*1000000)*$K17/100</f>
        <v>0.17833835435394765</v>
      </c>
      <c r="AF17" s="80">
        <f>(SUM(Data!CY17:DE17)*2+Data!DF17)/('Useful Constants'!$B$1*1000000)*$K17/100</f>
        <v>0.14951455358059423</v>
      </c>
      <c r="AG17" s="80">
        <f>(SUM(Data!CZ17:DF17)*2+Data!DG17)/('Useful Constants'!$B$1*1000000)*$K17/100</f>
        <v>0.14275765431080445</v>
      </c>
      <c r="AH17" s="48">
        <f>Z17*'Useful Constants'!$B$3</f>
        <v>52.827107045597359</v>
      </c>
      <c r="AI17" s="48">
        <f>AA17*'Useful Constants'!$B$3</f>
        <v>37.508688817200586</v>
      </c>
      <c r="AJ17" s="48">
        <f>AB17*'Useful Constants'!$B$3</f>
        <v>27.748417287384182</v>
      </c>
      <c r="AK17" s="48">
        <f>AC17*'Useful Constants'!$B$3</f>
        <v>20.761234255164432</v>
      </c>
      <c r="AL17" s="48">
        <f>AD17*'Useful Constants'!$B$3</f>
        <v>16.725791126909119</v>
      </c>
      <c r="AM17" s="48">
        <f>AE17*'Useful Constants'!$B$3</f>
        <v>14.980421765731602</v>
      </c>
      <c r="AN17" s="48">
        <f>AF17*'Useful Constants'!$B$3</f>
        <v>12.559222500769916</v>
      </c>
      <c r="AO17" s="48">
        <f>AG17*'Useful Constants'!$B$3</f>
        <v>11.991642962107573</v>
      </c>
      <c r="AP17" s="10">
        <f>Z17*'Useful Constants'!$B$4</f>
        <v>17.609035681865787</v>
      </c>
      <c r="AQ17" s="10">
        <f>AA17*'Useful Constants'!$B$4</f>
        <v>12.502896272400195</v>
      </c>
      <c r="AR17" s="10">
        <f>AB17*'Useful Constants'!$B$4</f>
        <v>9.2494724291280601</v>
      </c>
      <c r="AS17" s="10">
        <f>AC17*'Useful Constants'!$B$4</f>
        <v>6.9204114183881442</v>
      </c>
      <c r="AT17" s="10">
        <f>AD17*'Useful Constants'!$B$4</f>
        <v>5.5752637089697066</v>
      </c>
      <c r="AU17" s="10">
        <f>AE17*'Useful Constants'!$B$4</f>
        <v>4.9934739219105344</v>
      </c>
      <c r="AV17" s="10">
        <f>AF17*'Useful Constants'!$B$4</f>
        <v>4.1864075002566388</v>
      </c>
      <c r="AW17" s="10">
        <f>AG17*'Useful Constants'!$B$4</f>
        <v>3.9972143207025246</v>
      </c>
      <c r="AX17" s="48">
        <f>P17/1000000/'Useful Constants'!$B$1*K17/100*'Useful Constants'!$B$3*15</f>
        <v>39459.297608112829</v>
      </c>
      <c r="AY17" s="48">
        <f>P17/1000000/'Useful Constants'!$B$1*L17/100*'Useful Constants'!$B$3*15</f>
        <v>6364.4028400181987</v>
      </c>
      <c r="AZ17" s="48">
        <f>P17/1000000/'Useful Constants'!$B$1*K17/100*'Useful Constants'!$B$4*15</f>
        <v>13153.099202704278</v>
      </c>
      <c r="BA17" s="48">
        <f>P17/1000000/'Useful Constants'!$B$1*L17/100*'Useful Constants'!$B$4*15</f>
        <v>2121.4676133393996</v>
      </c>
      <c r="BB17" s="7">
        <f>Data!AN17</f>
        <v>4809.3618100000003</v>
      </c>
      <c r="BC17" s="7">
        <f>Data!AQ17</f>
        <v>4809.3618100000003</v>
      </c>
      <c r="BD17" s="7">
        <f>Data!AT17</f>
        <v>7830.42821</v>
      </c>
      <c r="BE17" s="6">
        <f>Data!AO17</f>
        <v>39958326800.825203</v>
      </c>
      <c r="BF17" s="6">
        <f>Data!AP17</f>
        <v>15550744886.377501</v>
      </c>
      <c r="BG17" s="6">
        <f>Data!AR17</f>
        <v>6050377939.7766199</v>
      </c>
      <c r="BH17" s="6">
        <f>Data!AS17</f>
        <v>6050377939.7766199</v>
      </c>
      <c r="BI17" s="8">
        <f t="shared" si="0"/>
        <v>0.86849492995099964</v>
      </c>
      <c r="BJ17" s="8">
        <f t="shared" si="1"/>
        <v>0.71990447031526672</v>
      </c>
      <c r="BK17" s="13">
        <f>BB17*'Useful Constants'!$B$5/'Useful Constants'!$B$6*'Useful Constants'!$B$7</f>
        <v>1.2307156871790002</v>
      </c>
      <c r="BL17" s="52">
        <f>1-VLOOKUP($G17,'Useful Constants'!$A$17:$X$23,10,FALSE)</f>
        <v>6.6471999999999865E-2</v>
      </c>
      <c r="BM17" s="52">
        <f>1-VLOOKUP($G17,'Useful Constants'!$A$17:$X$23,12,FALSE)</f>
        <v>4.945672000000001E-2</v>
      </c>
      <c r="BN17" s="52">
        <f>1-VLOOKUP($G17,'Useful Constants'!$A$17:$X$23,14,FALSE)</f>
        <v>3.4455679999999989E-2</v>
      </c>
      <c r="BO17" s="52">
        <f>1-VLOOKUP($G17,'Useful Constants'!$A$17:$X$23,16,FALSE)</f>
        <v>2.1468880000000024E-2</v>
      </c>
      <c r="BP17" s="52">
        <f>1-VLOOKUP($G17,'Useful Constants'!$A$17:$X$23,18,FALSE)</f>
        <v>0</v>
      </c>
      <c r="BQ17" s="52">
        <f>1-VLOOKUP($G17,'Useful Constants'!$A$17:$X$23,20, FALSE)</f>
        <v>0</v>
      </c>
      <c r="BR17" s="52">
        <f>1-VLOOKUP($G17,'Useful Constants'!$A$17:$X$23,22, FALSE)</f>
        <v>0</v>
      </c>
      <c r="BS17" s="52">
        <f>1-VLOOKUP($G17,'Useful Constants'!$A$17:$X$23,24, FALSE)</f>
        <v>0</v>
      </c>
      <c r="BT17" s="13">
        <f t="shared" si="2"/>
        <v>8.1808133158162336E-2</v>
      </c>
      <c r="BU17" s="13">
        <f t="shared" si="3"/>
        <v>6.0867161140419415E-2</v>
      </c>
      <c r="BV17" s="13">
        <f t="shared" si="4"/>
        <v>4.2405145888419718E-2</v>
      </c>
      <c r="BW17" s="13">
        <f t="shared" si="5"/>
        <v>2.6422087402163522E-2</v>
      </c>
      <c r="BX17" s="13">
        <f t="shared" si="6"/>
        <v>0</v>
      </c>
      <c r="BY17" s="13">
        <f t="shared" si="7"/>
        <v>0</v>
      </c>
      <c r="BZ17" s="13">
        <f t="shared" si="8"/>
        <v>0</v>
      </c>
      <c r="CA17" s="13">
        <f t="shared" si="9"/>
        <v>0</v>
      </c>
      <c r="CB17" s="59">
        <f>+SUM(Data!BM17:BS17)*2+Data!BT17</f>
        <v>4334.2574676924642</v>
      </c>
      <c r="CC17" s="59">
        <f>+SUM(Data!BN17:BT17)*2+Data!BU17</f>
        <v>4386.7761945939865</v>
      </c>
      <c r="CD17" s="59">
        <f>+SUM(Data!BO17:BU17)*2+Data!BV17</f>
        <v>4026.7631441009053</v>
      </c>
      <c r="CE17" s="59">
        <f>+SUM(Data!BP17:BV17)*2+Data!BW17</f>
        <v>3773.7012125746783</v>
      </c>
      <c r="CF17" s="59">
        <f>+SUM(Data!BQ17:BW17)*2+Data!BX17</f>
        <v>3982.9484203652378</v>
      </c>
      <c r="CG17" s="59">
        <f>+SUM(Data!BR17:BX17)*2+Data!BY17</f>
        <v>3660.7346134611971</v>
      </c>
      <c r="CH17" s="59">
        <f>+SUM(Data!BS17:BY17)*2+Data!BZ17</f>
        <v>3992.0600200318763</v>
      </c>
      <c r="CI17" s="59">
        <f>+SUM(Data!BT17:BZ17)*2+Data!CA17</f>
        <v>4626.1117225412945</v>
      </c>
      <c r="CJ17" s="13">
        <f>+SUM(Data!AW17:BC17)*2+Data!BD17</f>
        <v>21774.156147329973</v>
      </c>
      <c r="CK17" s="13">
        <f>+SUM(Data!AX17:BD17)*2+Data!BE17</f>
        <v>22090.634072965295</v>
      </c>
      <c r="CL17" s="13">
        <f>+SUM(Data!AY17:BE17)*2+Data!BF17</f>
        <v>20294.461951740588</v>
      </c>
      <c r="CM17" s="13">
        <f>+SUM(Data!AZ17:BF17)*2+Data!BG17</f>
        <v>18983.011445925495</v>
      </c>
      <c r="CN17" s="13">
        <f>+SUM(Data!BA17:BG17)*2+Data!BH17</f>
        <v>20058.666700139849</v>
      </c>
      <c r="CO17" s="13">
        <f>+SUM(Data!BB17:BH17)*2+Data!BI17</f>
        <v>18429.160070171718</v>
      </c>
      <c r="CP17" s="13">
        <f>+SUM(Data!BC17:BI17)*2+Data!BJ17</f>
        <v>20108.33742105549</v>
      </c>
      <c r="CQ17" s="13">
        <f>+SUM(Data!BD17:BJ17)*2+Data!BK17</f>
        <v>23336.438854628603</v>
      </c>
      <c r="CR17" s="59">
        <f>+SUM(Data!CC17:CI17)*2+Data!CJ17</f>
        <v>8953.5332949013246</v>
      </c>
      <c r="CS17" s="59">
        <f>+SUM(Data!CD17:CJ17)*2+Data!CK17</f>
        <v>9195.6001966344793</v>
      </c>
      <c r="CT17" s="59">
        <f>+SUM(Data!CE17:CK17)*2+Data!CL17</f>
        <v>8568.1464122152702</v>
      </c>
      <c r="CU17" s="59">
        <f>+SUM(Data!CF17:CL17)*2+Data!CM17</f>
        <v>7867.2763223382772</v>
      </c>
      <c r="CV17" s="59">
        <f>+SUM(Data!CG17:CM17)*2+Data!CN17</f>
        <v>8364.4675625489708</v>
      </c>
      <c r="CW17" s="59">
        <f>+SUM(Data!CH17:CN17)*2+Data!CO17</f>
        <v>7622.9825865571192</v>
      </c>
      <c r="CX17" s="59">
        <f>+SUM(Data!CI17:CO17)*2+Data!CP17</f>
        <v>8334.2815657119972</v>
      </c>
      <c r="CY17" s="59">
        <f>+SUM(Data!CJ17:CP17)*2+Data!CQ17</f>
        <v>9755.3227666930834</v>
      </c>
      <c r="CZ17" s="60">
        <f t="shared" si="10"/>
        <v>35061.946909923761</v>
      </c>
      <c r="DA17" s="60">
        <f t="shared" si="11"/>
        <v>35673.010464193758</v>
      </c>
      <c r="DB17" s="60">
        <f t="shared" si="12"/>
        <v>32889.371508056764</v>
      </c>
      <c r="DC17" s="60">
        <f t="shared" si="13"/>
        <v>30623.988980838447</v>
      </c>
      <c r="DD17" s="60">
        <f t="shared" si="14"/>
        <v>32406.082683054061</v>
      </c>
      <c r="DE17" s="60">
        <f t="shared" si="15"/>
        <v>29712.877270190034</v>
      </c>
      <c r="DF17" s="60">
        <f t="shared" si="16"/>
        <v>32434.679006799364</v>
      </c>
      <c r="DG17" s="60">
        <f t="shared" si="17"/>
        <v>37717.873343862979</v>
      </c>
      <c r="DH17" s="13">
        <f t="shared" si="18"/>
        <v>8.4112879614823999E-2</v>
      </c>
      <c r="DI17" s="13">
        <f t="shared" si="19"/>
        <v>6.2581946315803147E-2</v>
      </c>
      <c r="DJ17" s="13">
        <f t="shared" si="20"/>
        <v>4.3599808398828134E-2</v>
      </c>
      <c r="DK17" s="13">
        <f t="shared" si="21"/>
        <v>2.7166465863899206E-2</v>
      </c>
      <c r="DL17" s="13">
        <f t="shared" si="22"/>
        <v>0</v>
      </c>
      <c r="DM17" s="13">
        <f t="shared" si="23"/>
        <v>0</v>
      </c>
      <c r="DN17" s="13">
        <f t="shared" si="24"/>
        <v>0</v>
      </c>
      <c r="DO17" s="13">
        <f t="shared" si="25"/>
        <v>0</v>
      </c>
      <c r="DP17" s="50">
        <f>DH17*'Useful Constants'!$B$8</f>
        <v>358.32086715915023</v>
      </c>
      <c r="DQ17" s="50">
        <f>DI17*'Useful Constants'!$B$8</f>
        <v>266.59909130532139</v>
      </c>
      <c r="DR17" s="50">
        <f>DJ17*'Useful Constants'!$B$10</f>
        <v>105.94753440915237</v>
      </c>
      <c r="DS17" s="50">
        <f>DK17*'Useful Constants'!$B$10</f>
        <v>66.014512049275069</v>
      </c>
      <c r="DT17" s="50">
        <f>DL17*'Useful Constants'!$B$10</f>
        <v>0</v>
      </c>
      <c r="DU17" s="50">
        <f>DM17*'Useful Constants'!$B$10</f>
        <v>0</v>
      </c>
      <c r="DV17" s="50">
        <f>DN17*'Useful Constants'!$B$10</f>
        <v>0</v>
      </c>
      <c r="DW17" s="50">
        <f>DO17*'Useful Constants'!$B$10</f>
        <v>0</v>
      </c>
      <c r="DX17" s="14">
        <f>DH17*'Useful Constants'!$B$9</f>
        <v>161.83318037892138</v>
      </c>
      <c r="DY17" s="14">
        <f>DI17*'Useful Constants'!$B$9</f>
        <v>120.40766471160525</v>
      </c>
      <c r="DZ17" s="14">
        <f>DJ17*'Useful Constants'!$B$11</f>
        <v>29.517070286006646</v>
      </c>
      <c r="EA17" s="14">
        <f>DK17*'Useful Constants'!$B$11</f>
        <v>18.391697389859761</v>
      </c>
      <c r="EB17" s="14">
        <f>DL17*'Useful Constants'!$B$11</f>
        <v>0</v>
      </c>
      <c r="EC17" s="14">
        <f>DM17*'Useful Constants'!$B$11</f>
        <v>0</v>
      </c>
      <c r="ED17" s="14">
        <f>DN17*'Useful Constants'!$B$11</f>
        <v>0</v>
      </c>
      <c r="EE17" s="14">
        <f>DO17*'Useful Constants'!$B$11</f>
        <v>0</v>
      </c>
      <c r="EF17" s="78">
        <f>(SUM(Data!DI17:DO17)*2+Data!DP17)/('Useful Constants'!$B$1*1000000)*$K17/100</f>
        <v>31.566543186061935</v>
      </c>
      <c r="EG17" s="78">
        <f>(SUM(Data!DJ17:DP17)*2+Data!DQ17)/('Useful Constants'!$B$1*1000000)*$K17/100</f>
        <v>22.767409858147971</v>
      </c>
      <c r="EH17" s="78">
        <f>(SUM(Data!DK17:DQ17)*2+Data!DR17)/('Useful Constants'!$B$1*1000000)*$K17/100</f>
        <v>17.196410584308428</v>
      </c>
      <c r="EI17" s="78">
        <f>(SUM(Data!DL17:DR17)*2+Data!DS17)/('Useful Constants'!$B$1*1000000)*$K17/100</f>
        <v>13.083552118980736</v>
      </c>
      <c r="EJ17" s="78">
        <f>(SUM(Data!DM17:DS17)*2+Data!DT17)/('Useful Constants'!$B$1*1000000)*$K17/100</f>
        <v>10.617410592286374</v>
      </c>
      <c r="EK17" s="78">
        <f>(SUM(Data!DN17:DT17)*2+Data!DU17)/('Useful Constants'!$B$1*1000000)*$K17/100</f>
        <v>9.4731513900790443</v>
      </c>
      <c r="EL17" s="78">
        <f>(SUM(Data!DO17:DU17)*2+Data!DV17)/('Useful Constants'!$B$1*1000000)*$K17/100</f>
        <v>7.9355051722315864</v>
      </c>
      <c r="EM17" s="78">
        <f>(SUM(Data!DP17:DV17)*2+Data!DW17)/('Useful Constants'!$B$1*1000000)*$K17/100</f>
        <v>7.6044965146368284</v>
      </c>
      <c r="EN17" s="79">
        <f>EF17*'Useful Constants'!$B$3</f>
        <v>2651.5896276292024</v>
      </c>
      <c r="EO17" s="79">
        <f>EG17*'Useful Constants'!$B$3</f>
        <v>1912.4624280844296</v>
      </c>
      <c r="EP17" s="79">
        <f>EH17*'Useful Constants'!$B$3</f>
        <v>1444.498489081908</v>
      </c>
      <c r="EQ17" s="79">
        <f>EI17*'Useful Constants'!$B$3</f>
        <v>1099.0183779943818</v>
      </c>
      <c r="ER17" s="79">
        <f>EJ17*'Useful Constants'!$B$3</f>
        <v>891.86248975205547</v>
      </c>
      <c r="ES17" s="79">
        <f>EK17*'Useful Constants'!$B$3</f>
        <v>795.74471676663973</v>
      </c>
      <c r="ET17" s="79">
        <f>EL17*'Useful Constants'!$B$3</f>
        <v>666.58243446745325</v>
      </c>
      <c r="EU17" s="79">
        <f>EM17*'Useful Constants'!$B$3</f>
        <v>638.77770722949356</v>
      </c>
      <c r="EV17" s="78">
        <f>EF17*'Useful Constants'!$B$4</f>
        <v>883.86320920973412</v>
      </c>
      <c r="EW17" s="78">
        <f>EG17*'Useful Constants'!$B$4</f>
        <v>637.48747602814319</v>
      </c>
      <c r="EX17" s="78">
        <f>EH17*'Useful Constants'!$B$4</f>
        <v>481.49949636063599</v>
      </c>
      <c r="EY17" s="78">
        <f>EI17*'Useful Constants'!$B$4</f>
        <v>366.3394593314606</v>
      </c>
      <c r="EZ17" s="78">
        <f>EJ17*'Useful Constants'!$B$4</f>
        <v>297.28749658401847</v>
      </c>
      <c r="FA17" s="78">
        <f>EK17*'Useful Constants'!$B$4</f>
        <v>265.24823892221326</v>
      </c>
      <c r="FB17" s="78">
        <f>EL17*'Useful Constants'!$B$4</f>
        <v>222.19414482248442</v>
      </c>
      <c r="FC17" s="78">
        <f>EM17*'Useful Constants'!$B$4</f>
        <v>212.9259024098312</v>
      </c>
      <c r="FD17" s="40">
        <f t="shared" si="26"/>
        <v>9.6751537113618585E-2</v>
      </c>
      <c r="FE17" s="40">
        <f t="shared" si="27"/>
        <v>8.1216181390758951E-2</v>
      </c>
      <c r="FF17" s="40">
        <f t="shared" si="28"/>
        <v>0.15163808852678173</v>
      </c>
      <c r="FG17" s="40">
        <f t="shared" si="29"/>
        <v>0.20922422547725891</v>
      </c>
      <c r="FH17" s="40">
        <f t="shared" si="30"/>
        <v>0.16394563679988974</v>
      </c>
      <c r="FI17" s="40">
        <f t="shared" si="31"/>
        <v>0.23238706138131374</v>
      </c>
      <c r="FJ17" s="40">
        <f t="shared" si="32"/>
        <v>0.16324087747720648</v>
      </c>
      <c r="FK17" s="40">
        <f t="shared" si="33"/>
        <v>2.9535804226825186E-2</v>
      </c>
      <c r="FL17" s="4">
        <f t="shared" si="34"/>
        <v>0.55047824640211318</v>
      </c>
      <c r="FM17" s="4">
        <f t="shared" si="35"/>
        <v>0.55303850958237688</v>
      </c>
      <c r="FN17" s="4">
        <f t="shared" si="36"/>
        <v>0.59300395961560415</v>
      </c>
      <c r="FO17" s="4">
        <f t="shared" si="37"/>
        <v>0.62411428185129858</v>
      </c>
      <c r="FP17" s="4">
        <f t="shared" si="38"/>
        <v>0.60641267586088143</v>
      </c>
      <c r="FQ17" s="4">
        <f t="shared" si="39"/>
        <v>0.63915120841412099</v>
      </c>
      <c r="FR17" s="4">
        <f t="shared" si="40"/>
        <v>0.60872531174663291</v>
      </c>
      <c r="FS17" s="4">
        <f t="shared" si="41"/>
        <v>0.54715498744327529</v>
      </c>
      <c r="FT17" s="38">
        <f t="shared" si="42"/>
        <v>0.3326966189822736</v>
      </c>
      <c r="FU17" s="38">
        <f t="shared" si="43"/>
        <v>0.32676747586564242</v>
      </c>
      <c r="FV17" s="38">
        <f t="shared" si="44"/>
        <v>0.38206827562781925</v>
      </c>
      <c r="FW17" s="38">
        <f t="shared" si="45"/>
        <v>0.42584951263799325</v>
      </c>
      <c r="FX17" s="38">
        <f t="shared" si="46"/>
        <v>0.39484014369041021</v>
      </c>
      <c r="FY17" s="38">
        <f t="shared" si="47"/>
        <v>0.44472316039580445</v>
      </c>
      <c r="FZ17" s="38">
        <f t="shared" si="48"/>
        <v>0.39570211460232652</v>
      </c>
      <c r="GA17" s="38">
        <f t="shared" si="49"/>
        <v>0.29945072600632566</v>
      </c>
    </row>
    <row r="18" spans="1:183" x14ac:dyDescent="0.25">
      <c r="A18" s="1" t="str">
        <f>Data!A18</f>
        <v>CO_DENVER-IAP_725650_TY3A</v>
      </c>
      <c r="B18" s="1" t="str">
        <f>TY3A_REP_CITIES!B18</f>
        <v>Denver</v>
      </c>
      <c r="C18" s="1" t="str">
        <f>TY3A_REP_CITIES!C18</f>
        <v>Denver</v>
      </c>
      <c r="D18" s="2" t="str">
        <f>TY3A_REP_CITIES!A18</f>
        <v>CO</v>
      </c>
      <c r="E18" s="42">
        <f>TY3A_REP_CITIES!E18</f>
        <v>727211</v>
      </c>
      <c r="F18" s="2">
        <f>TY3A_REP_CITIES!G18</f>
        <v>5</v>
      </c>
      <c r="G18" s="2" t="str">
        <f>TY3A_REP_CITIES!H18</f>
        <v>Cold</v>
      </c>
      <c r="H18" s="2" t="str">
        <f>TY3A_REP_CITIES!I18</f>
        <v>Rocky Mountains</v>
      </c>
      <c r="I18" s="2">
        <f>Data!B18</f>
        <v>39.83</v>
      </c>
      <c r="J18" s="2">
        <f>Data!C18</f>
        <v>-104.65</v>
      </c>
      <c r="K18" s="2">
        <f>VLOOKUP(D18,Table1[],2,FALSE)</f>
        <v>3.1</v>
      </c>
      <c r="L18" s="2">
        <v>0.5</v>
      </c>
      <c r="M18" s="10">
        <f>Data!N18</f>
        <v>4660.4536799999996</v>
      </c>
      <c r="N18" s="10">
        <f>Data!Q18</f>
        <v>29308</v>
      </c>
      <c r="O18" s="10">
        <f>Data!O18</f>
        <v>35291733190.253098</v>
      </c>
      <c r="P18" s="10">
        <f>Data!P18</f>
        <v>36762222073.180252</v>
      </c>
      <c r="Q18" s="10">
        <f>Data!S18*15</f>
        <v>27737.610431441</v>
      </c>
      <c r="R18" s="48">
        <f>SUM(Data!U18:AA18)*2+Data!AB18</f>
        <v>503.03836833640275</v>
      </c>
      <c r="S18" s="48">
        <f>SUM(Data!V18:AB18)*2+Data!AC18</f>
        <v>510.66940568474263</v>
      </c>
      <c r="T18" s="48">
        <f>SUM(Data!W18:AC18)*2+Data!AD18</f>
        <v>469.61177765174642</v>
      </c>
      <c r="U18" s="48">
        <f>SUM(Data!X18:AD18)*2+Data!AE18</f>
        <v>438.67978235586634</v>
      </c>
      <c r="V18" s="48">
        <f>SUM(Data!Y18:AE18)*2+Data!AF18</f>
        <v>463.5103676919228</v>
      </c>
      <c r="W18" s="48">
        <f>SUM(Data!Z18:AF18)*2+Data!AG18</f>
        <v>425.47866385761216</v>
      </c>
      <c r="X18" s="48">
        <f>SUM(Data!AA18:AG18)*2+Data!AH18</f>
        <v>464.40014746604038</v>
      </c>
      <c r="Y18" s="48">
        <f>SUM(Data!AB18:AH18)*2+Data!AI18</f>
        <v>540.12853476784551</v>
      </c>
      <c r="Z18" s="80">
        <f>(SUM(Data!CS18:CY18)*2+Data!CZ18)/('Useful Constants'!$B$1*1000000)*$K18/100</f>
        <v>0.45444084556725783</v>
      </c>
      <c r="AA18" s="80">
        <f>(SUM(Data!CT18:CZ18)*2+Data!DA18)/('Useful Constants'!$B$1*1000000)*$K18/100</f>
        <v>0.32020980821597644</v>
      </c>
      <c r="AB18" s="80">
        <f>(SUM(Data!CU18:DA18)*2+Data!DB18)/('Useful Constants'!$B$1*1000000)*$K18/100</f>
        <v>0.23769569039067814</v>
      </c>
      <c r="AC18" s="80">
        <f>(SUM(Data!CV18:DB18)*2+Data!DC18)/('Useful Constants'!$B$1*1000000)*$K18/100</f>
        <v>0.17638309854771461</v>
      </c>
      <c r="AD18" s="80">
        <f>(SUM(Data!CW18:DC18)*2+Data!DD18)/('Useful Constants'!$B$1*1000000)*$K18/100</f>
        <v>0.14143469960922911</v>
      </c>
      <c r="AE18" s="80">
        <f>(SUM(Data!CX18:DD18)*2+Data!DE18)/('Useful Constants'!$B$1*1000000)*$K18/100</f>
        <v>0.12621660555634534</v>
      </c>
      <c r="AF18" s="80">
        <f>(SUM(Data!CY18:DE18)*2+Data!DF18)/('Useful Constants'!$B$1*1000000)*$K18/100</f>
        <v>0.10637652941966991</v>
      </c>
      <c r="AG18" s="80">
        <f>(SUM(Data!CZ18:DF18)*2+Data!DG18)/('Useful Constants'!$B$1*1000000)*$K18/100</f>
        <v>0.1016616824908444</v>
      </c>
      <c r="AH18" s="48">
        <f>Z18*'Useful Constants'!$B$3</f>
        <v>38.173031027649657</v>
      </c>
      <c r="AI18" s="48">
        <f>AA18*'Useful Constants'!$B$3</f>
        <v>26.897623890142022</v>
      </c>
      <c r="AJ18" s="48">
        <f>AB18*'Useful Constants'!$B$3</f>
        <v>19.966437992816964</v>
      </c>
      <c r="AK18" s="48">
        <f>AC18*'Useful Constants'!$B$3</f>
        <v>14.816180278008027</v>
      </c>
      <c r="AL18" s="48">
        <f>AD18*'Useful Constants'!$B$3</f>
        <v>11.880514767175246</v>
      </c>
      <c r="AM18" s="48">
        <f>AE18*'Useful Constants'!$B$3</f>
        <v>10.602194866733008</v>
      </c>
      <c r="AN18" s="48">
        <f>AF18*'Useful Constants'!$B$3</f>
        <v>8.9356284712522722</v>
      </c>
      <c r="AO18" s="48">
        <f>AG18*'Useful Constants'!$B$3</f>
        <v>8.5395813292309288</v>
      </c>
      <c r="AP18" s="10">
        <f>Z18*'Useful Constants'!$B$4</f>
        <v>12.724343675883219</v>
      </c>
      <c r="AQ18" s="10">
        <f>AA18*'Useful Constants'!$B$4</f>
        <v>8.96587463004734</v>
      </c>
      <c r="AR18" s="10">
        <f>AB18*'Useful Constants'!$B$4</f>
        <v>6.6554793309389879</v>
      </c>
      <c r="AS18" s="10">
        <f>AC18*'Useful Constants'!$B$4</f>
        <v>4.9387267593360091</v>
      </c>
      <c r="AT18" s="10">
        <f>AD18*'Useful Constants'!$B$4</f>
        <v>3.9601715890584153</v>
      </c>
      <c r="AU18" s="10">
        <f>AE18*'Useful Constants'!$B$4</f>
        <v>3.5340649555776693</v>
      </c>
      <c r="AV18" s="10">
        <f>AF18*'Useful Constants'!$B$4</f>
        <v>2.9785428237507574</v>
      </c>
      <c r="AW18" s="10">
        <f>AG18*'Useful Constants'!$B$4</f>
        <v>2.8465271097436431</v>
      </c>
      <c r="AX18" s="48">
        <f>P18/1000000/'Useful Constants'!$B$1*K18/100*'Useful Constants'!$B$3*15</f>
        <v>28718.647883568414</v>
      </c>
      <c r="AY18" s="48">
        <f>P18/1000000/'Useful Constants'!$B$1*L18/100*'Useful Constants'!$B$3*15</f>
        <v>4632.0399812207124</v>
      </c>
      <c r="AZ18" s="48">
        <f>P18/1000000/'Useful Constants'!$B$1*K18/100*'Useful Constants'!$B$4*15</f>
        <v>9572.8826278561392</v>
      </c>
      <c r="BA18" s="48">
        <f>P18/1000000/'Useful Constants'!$B$1*L18/100*'Useful Constants'!$B$4*15</f>
        <v>1544.0133270735707</v>
      </c>
      <c r="BB18" s="7">
        <f>Data!AN18</f>
        <v>4660.4536799999996</v>
      </c>
      <c r="BC18" s="7">
        <f>Data!AQ18</f>
        <v>4660.4536799999996</v>
      </c>
      <c r="BD18" s="7">
        <f>Data!AT18</f>
        <v>7839.4781400000002</v>
      </c>
      <c r="BE18" s="6">
        <f>Data!AO18</f>
        <v>30820785335.9772</v>
      </c>
      <c r="BF18" s="6">
        <f>Data!AP18</f>
        <v>10650726539.453501</v>
      </c>
      <c r="BG18" s="6">
        <f>Data!AR18</f>
        <v>2685577108.5588598</v>
      </c>
      <c r="BH18" s="6">
        <f>Data!AS18</f>
        <v>2685577108.5588598</v>
      </c>
      <c r="BI18" s="8">
        <f t="shared" si="0"/>
        <v>0.91984874177242115</v>
      </c>
      <c r="BJ18" s="8">
        <f t="shared" si="1"/>
        <v>0.7986265775405379</v>
      </c>
      <c r="BK18" s="13">
        <f>BB18*'Useful Constants'!$B$5/'Useful Constants'!$B$6*'Useful Constants'!$B$7</f>
        <v>1.1926100967119999</v>
      </c>
      <c r="BL18" s="52">
        <f>1-VLOOKUP($G18,'Useful Constants'!$A$17:$X$23,10,FALSE)</f>
        <v>6.6471999999999865E-2</v>
      </c>
      <c r="BM18" s="52">
        <f>1-VLOOKUP($G18,'Useful Constants'!$A$17:$X$23,12,FALSE)</f>
        <v>4.945672000000001E-2</v>
      </c>
      <c r="BN18" s="52">
        <f>1-VLOOKUP($G18,'Useful Constants'!$A$17:$X$23,14,FALSE)</f>
        <v>3.4455679999999989E-2</v>
      </c>
      <c r="BO18" s="52">
        <f>1-VLOOKUP($G18,'Useful Constants'!$A$17:$X$23,16,FALSE)</f>
        <v>2.1468880000000024E-2</v>
      </c>
      <c r="BP18" s="52">
        <f>1-VLOOKUP($G18,'Useful Constants'!$A$17:$X$23,18,FALSE)</f>
        <v>0</v>
      </c>
      <c r="BQ18" s="52">
        <f>1-VLOOKUP($G18,'Useful Constants'!$A$17:$X$23,20, FALSE)</f>
        <v>0</v>
      </c>
      <c r="BR18" s="52">
        <f>1-VLOOKUP($G18,'Useful Constants'!$A$17:$X$23,22, FALSE)</f>
        <v>0</v>
      </c>
      <c r="BS18" s="52">
        <f>1-VLOOKUP($G18,'Useful Constants'!$A$17:$X$23,24, FALSE)</f>
        <v>0</v>
      </c>
      <c r="BT18" s="13">
        <f t="shared" si="2"/>
        <v>7.9275178348639896E-2</v>
      </c>
      <c r="BU18" s="13">
        <f t="shared" si="3"/>
        <v>5.8982583622258312E-2</v>
      </c>
      <c r="BV18" s="13">
        <f t="shared" si="4"/>
        <v>4.1092191857077708E-2</v>
      </c>
      <c r="BW18" s="13">
        <f t="shared" si="5"/>
        <v>2.5604003053098349E-2</v>
      </c>
      <c r="BX18" s="13">
        <f t="shared" si="6"/>
        <v>0</v>
      </c>
      <c r="BY18" s="13">
        <f t="shared" si="7"/>
        <v>0</v>
      </c>
      <c r="BZ18" s="13">
        <f t="shared" si="8"/>
        <v>0</v>
      </c>
      <c r="CA18" s="13">
        <f t="shared" si="9"/>
        <v>0</v>
      </c>
      <c r="CB18" s="59">
        <f>+SUM(Data!BM18:BS18)*2+Data!BT18</f>
        <v>3190.7381674489761</v>
      </c>
      <c r="CC18" s="59">
        <f>+SUM(Data!BN18:BT18)*2+Data!BU18</f>
        <v>3237.8744337266912</v>
      </c>
      <c r="CD18" s="59">
        <f>+SUM(Data!BO18:BU18)*2+Data!BV18</f>
        <v>2977.1361526024812</v>
      </c>
      <c r="CE18" s="59">
        <f>+SUM(Data!BP18:BV18)*2+Data!BW18</f>
        <v>2782.8151976907361</v>
      </c>
      <c r="CF18" s="59">
        <f>+SUM(Data!BQ18:BW18)*2+Data!BX18</f>
        <v>2939.672513840093</v>
      </c>
      <c r="CG18" s="59">
        <f>+SUM(Data!BR18:BX18)*2+Data!BY18</f>
        <v>2699.2326339969886</v>
      </c>
      <c r="CH18" s="59">
        <f>+SUM(Data!BS18:BY18)*2+Data!BZ18</f>
        <v>2945.9105386460578</v>
      </c>
      <c r="CI18" s="59">
        <f>+SUM(Data!BT18:BZ18)*2+Data!CA18</f>
        <v>3425.0463330301172</v>
      </c>
      <c r="CJ18" s="13">
        <f>+SUM(Data!AW18:BC18)*2+Data!BD18</f>
        <v>15128.284709479345</v>
      </c>
      <c r="CK18" s="13">
        <f>+SUM(Data!AX18:BD18)*2+Data!BE18</f>
        <v>15370.706169397155</v>
      </c>
      <c r="CL18" s="13">
        <f>+SUM(Data!AY18:BE18)*2+Data!BF18</f>
        <v>14130.189633658634</v>
      </c>
      <c r="CM18" s="13">
        <f>+SUM(Data!AZ18:BF18)*2+Data!BG18</f>
        <v>13155.235413803744</v>
      </c>
      <c r="CN18" s="13">
        <f>+SUM(Data!BA18:BG18)*2+Data!BH18</f>
        <v>13907.929268133681</v>
      </c>
      <c r="CO18" s="13">
        <f>+SUM(Data!BB18:BH18)*2+Data!BI18</f>
        <v>12743.898150178671</v>
      </c>
      <c r="CP18" s="13">
        <f>+SUM(Data!BC18:BI18)*2+Data!BJ18</f>
        <v>13903.735815245207</v>
      </c>
      <c r="CQ18" s="13">
        <f>+SUM(Data!BD18:BJ18)*2+Data!BK18</f>
        <v>16176.337417932389</v>
      </c>
      <c r="CR18" s="59">
        <f>+SUM(Data!CC18:CI18)*2+Data!CJ18</f>
        <v>3872.4752045330979</v>
      </c>
      <c r="CS18" s="59">
        <f>+SUM(Data!CD18:CJ18)*2+Data!CK18</f>
        <v>3977.7109382462677</v>
      </c>
      <c r="CT18" s="59">
        <f>+SUM(Data!CE18:CK18)*2+Data!CL18</f>
        <v>3711.023565731949</v>
      </c>
      <c r="CU18" s="59">
        <f>+SUM(Data!CF18:CL18)*2+Data!CM18</f>
        <v>3422.8517186815261</v>
      </c>
      <c r="CV18" s="59">
        <f>+SUM(Data!CG18:CM18)*2+Data!CN18</f>
        <v>3635.1815233397874</v>
      </c>
      <c r="CW18" s="59">
        <f>+SUM(Data!CH18:CN18)*2+Data!CO18</f>
        <v>3314.3980225533569</v>
      </c>
      <c r="CX18" s="59">
        <f>+SUM(Data!CI18:CO18)*2+Data!CP18</f>
        <v>3625.1039844685465</v>
      </c>
      <c r="CY18" s="59">
        <f>+SUM(Data!CJ18:CP18)*2+Data!CQ18</f>
        <v>4240.588882163891</v>
      </c>
      <c r="CZ18" s="60">
        <f t="shared" si="10"/>
        <v>22191.498081461417</v>
      </c>
      <c r="DA18" s="60">
        <f t="shared" si="11"/>
        <v>22586.291541370112</v>
      </c>
      <c r="DB18" s="60">
        <f t="shared" si="12"/>
        <v>20818.349351993063</v>
      </c>
      <c r="DC18" s="60">
        <f t="shared" si="13"/>
        <v>19360.902330176006</v>
      </c>
      <c r="DD18" s="60">
        <f t="shared" si="14"/>
        <v>20482.783305313562</v>
      </c>
      <c r="DE18" s="60">
        <f t="shared" si="15"/>
        <v>18757.528806729017</v>
      </c>
      <c r="DF18" s="60">
        <f t="shared" si="16"/>
        <v>20474.750338359812</v>
      </c>
      <c r="DG18" s="60">
        <f t="shared" si="17"/>
        <v>23841.972633126399</v>
      </c>
      <c r="DH18" s="13">
        <f t="shared" si="18"/>
        <v>8.1508564924605523E-2</v>
      </c>
      <c r="DI18" s="13">
        <f t="shared" si="19"/>
        <v>6.064427538028111E-2</v>
      </c>
      <c r="DJ18" s="13">
        <f t="shared" si="20"/>
        <v>4.2249865060498215E-2</v>
      </c>
      <c r="DK18" s="13">
        <f t="shared" si="21"/>
        <v>2.632533396525711E-2</v>
      </c>
      <c r="DL18" s="13">
        <f t="shared" si="22"/>
        <v>0</v>
      </c>
      <c r="DM18" s="13">
        <f t="shared" si="23"/>
        <v>0</v>
      </c>
      <c r="DN18" s="13">
        <f t="shared" si="24"/>
        <v>0</v>
      </c>
      <c r="DO18" s="13">
        <f t="shared" si="25"/>
        <v>0</v>
      </c>
      <c r="DP18" s="50">
        <f>DH18*'Useful Constants'!$B$8</f>
        <v>347.2264865788195</v>
      </c>
      <c r="DQ18" s="50">
        <f>DI18*'Useful Constants'!$B$8</f>
        <v>258.34461311999752</v>
      </c>
      <c r="DR18" s="50">
        <f>DJ18*'Useful Constants'!$B$10</f>
        <v>102.66717209701066</v>
      </c>
      <c r="DS18" s="50">
        <f>DK18*'Useful Constants'!$B$10</f>
        <v>63.970561535574774</v>
      </c>
      <c r="DT18" s="50">
        <f>DL18*'Useful Constants'!$B$10</f>
        <v>0</v>
      </c>
      <c r="DU18" s="50">
        <f>DM18*'Useful Constants'!$B$10</f>
        <v>0</v>
      </c>
      <c r="DV18" s="50">
        <f>DN18*'Useful Constants'!$B$10</f>
        <v>0</v>
      </c>
      <c r="DW18" s="50">
        <f>DO18*'Useful Constants'!$B$10</f>
        <v>0</v>
      </c>
      <c r="DX18" s="14">
        <f>DH18*'Useful Constants'!$B$9</f>
        <v>156.82247891494103</v>
      </c>
      <c r="DY18" s="14">
        <f>DI18*'Useful Constants'!$B$9</f>
        <v>116.67958583166086</v>
      </c>
      <c r="DZ18" s="14">
        <f>DJ18*'Useful Constants'!$B$11</f>
        <v>28.60315864595729</v>
      </c>
      <c r="EA18" s="14">
        <f>DK18*'Useful Constants'!$B$11</f>
        <v>17.822251094479064</v>
      </c>
      <c r="EB18" s="14">
        <f>DL18*'Useful Constants'!$B$11</f>
        <v>0</v>
      </c>
      <c r="EC18" s="14">
        <f>DM18*'Useful Constants'!$B$11</f>
        <v>0</v>
      </c>
      <c r="ED18" s="14">
        <f>DN18*'Useful Constants'!$B$11</f>
        <v>0</v>
      </c>
      <c r="EE18" s="14">
        <f>DO18*'Useful Constants'!$B$11</f>
        <v>0</v>
      </c>
      <c r="EF18" s="78">
        <f>(SUM(Data!DI18:DO18)*2+Data!DP18)/('Useful Constants'!$B$1*1000000)*$K18/100</f>
        <v>20.184100777574546</v>
      </c>
      <c r="EG18" s="78">
        <f>(SUM(Data!DJ18:DP18)*2+Data!DQ18)/('Useful Constants'!$B$1*1000000)*$K18/100</f>
        <v>14.319455760986475</v>
      </c>
      <c r="EH18" s="78">
        <f>(SUM(Data!DK18:DQ18)*2+Data!DR18)/('Useful Constants'!$B$1*1000000)*$K18/100</f>
        <v>10.769688486273994</v>
      </c>
      <c r="EI18" s="78">
        <f>(SUM(Data!DL18:DR18)*2+Data!DS18)/('Useful Constants'!$B$1*1000000)*$K18/100</f>
        <v>8.0555676775456408</v>
      </c>
      <c r="EJ18" s="78">
        <f>(SUM(Data!DM18:DS18)*2+Data!DT18)/('Useful Constants'!$B$1*1000000)*$K18/100</f>
        <v>6.4850974833002155</v>
      </c>
      <c r="EK18" s="78">
        <f>(SUM(Data!DN18:DT18)*2+Data!DU18)/('Useful Constants'!$B$1*1000000)*$K18/100</f>
        <v>5.7363774920504307</v>
      </c>
      <c r="EL18" s="78">
        <f>(SUM(Data!DO18:DU18)*2+Data!DV18)/('Useful Constants'!$B$1*1000000)*$K18/100</f>
        <v>4.8315793862751999</v>
      </c>
      <c r="EM18" s="78">
        <f>(SUM(Data!DP18:DV18)*2+Data!DW18)/('Useful Constants'!$B$1*1000000)*$K18/100</f>
        <v>4.5992996555237484</v>
      </c>
      <c r="EN18" s="79">
        <f>EF18*'Useful Constants'!$B$3</f>
        <v>1695.4644653162618</v>
      </c>
      <c r="EO18" s="79">
        <f>EG18*'Useful Constants'!$B$3</f>
        <v>1202.834283922864</v>
      </c>
      <c r="EP18" s="79">
        <f>EH18*'Useful Constants'!$B$3</f>
        <v>904.65383284701545</v>
      </c>
      <c r="EQ18" s="79">
        <f>EI18*'Useful Constants'!$B$3</f>
        <v>676.6676849138338</v>
      </c>
      <c r="ER18" s="79">
        <f>EJ18*'Useful Constants'!$B$3</f>
        <v>544.74818859721813</v>
      </c>
      <c r="ES18" s="79">
        <f>EK18*'Useful Constants'!$B$3</f>
        <v>481.85570933223619</v>
      </c>
      <c r="ET18" s="79">
        <f>EL18*'Useful Constants'!$B$3</f>
        <v>405.8526684471168</v>
      </c>
      <c r="EU18" s="79">
        <f>EM18*'Useful Constants'!$B$3</f>
        <v>386.34117106399486</v>
      </c>
      <c r="EV18" s="78">
        <f>EF18*'Useful Constants'!$B$4</f>
        <v>565.1548217720873</v>
      </c>
      <c r="EW18" s="78">
        <f>EG18*'Useful Constants'!$B$4</f>
        <v>400.94476130762132</v>
      </c>
      <c r="EX18" s="78">
        <f>EH18*'Useful Constants'!$B$4</f>
        <v>301.55127761567184</v>
      </c>
      <c r="EY18" s="78">
        <f>EI18*'Useful Constants'!$B$4</f>
        <v>225.55589497127795</v>
      </c>
      <c r="EZ18" s="78">
        <f>EJ18*'Useful Constants'!$B$4</f>
        <v>181.58272953240603</v>
      </c>
      <c r="FA18" s="78">
        <f>EK18*'Useful Constants'!$B$4</f>
        <v>160.61856977741206</v>
      </c>
      <c r="FB18" s="78">
        <f>EL18*'Useful Constants'!$B$4</f>
        <v>135.28422281570559</v>
      </c>
      <c r="FC18" s="78">
        <f>EM18*'Useful Constants'!$B$4</f>
        <v>128.78039035466495</v>
      </c>
      <c r="FD18" s="40">
        <f t="shared" si="26"/>
        <v>0.21420013262456156</v>
      </c>
      <c r="FE18" s="40">
        <f t="shared" si="27"/>
        <v>0.20043656917878139</v>
      </c>
      <c r="FF18" s="40">
        <f t="shared" si="28"/>
        <v>0.26194968091249482</v>
      </c>
      <c r="FG18" s="40">
        <f t="shared" si="29"/>
        <v>0.31286545591102327</v>
      </c>
      <c r="FH18" s="40">
        <f t="shared" si="30"/>
        <v>0.2736890334534744</v>
      </c>
      <c r="FI18" s="40">
        <f t="shared" si="31"/>
        <v>0.33396763603392166</v>
      </c>
      <c r="FJ18" s="40">
        <f t="shared" si="32"/>
        <v>0.2739967854038971</v>
      </c>
      <c r="FK18" s="40">
        <f t="shared" si="33"/>
        <v>0.15686425065253878</v>
      </c>
      <c r="FL18" s="4">
        <f t="shared" si="34"/>
        <v>0.60677621559775319</v>
      </c>
      <c r="FM18" s="4">
        <f t="shared" si="35"/>
        <v>0.60978283531958111</v>
      </c>
      <c r="FN18" s="4">
        <f t="shared" si="36"/>
        <v>0.6455598732325849</v>
      </c>
      <c r="FO18" s="4">
        <f t="shared" si="37"/>
        <v>0.67336765496189377</v>
      </c>
      <c r="FP18" s="4">
        <f t="shared" si="38"/>
        <v>0.65844263437692696</v>
      </c>
      <c r="FQ18" s="4">
        <f t="shared" si="39"/>
        <v>0.68728844109738674</v>
      </c>
      <c r="FR18" s="4">
        <f t="shared" si="40"/>
        <v>0.6608179213968064</v>
      </c>
      <c r="FS18" s="4">
        <f t="shared" si="41"/>
        <v>0.60691910691852602</v>
      </c>
      <c r="FT18" s="38">
        <f t="shared" si="42"/>
        <v>0.41800053931839781</v>
      </c>
      <c r="FU18" s="38">
        <f t="shared" si="43"/>
        <v>0.41322109103758209</v>
      </c>
      <c r="FV18" s="38">
        <f t="shared" si="44"/>
        <v>0.46229118247134626</v>
      </c>
      <c r="FW18" s="38">
        <f t="shared" si="45"/>
        <v>0.50113954473961009</v>
      </c>
      <c r="FX18" s="38">
        <f t="shared" si="46"/>
        <v>0.47448303339587261</v>
      </c>
      <c r="FY18" s="38">
        <f t="shared" si="47"/>
        <v>0.51842024842437884</v>
      </c>
      <c r="FZ18" s="38">
        <f t="shared" si="48"/>
        <v>0.47586351669064308</v>
      </c>
      <c r="GA18" s="38">
        <f t="shared" si="49"/>
        <v>0.39156636053072219</v>
      </c>
    </row>
    <row r="19" spans="1:183" x14ac:dyDescent="0.25">
      <c r="A19" s="1" t="str">
        <f>Data!A19</f>
        <v>CO_TRINIDAD-LAS-ANIMAS-CO-AP_724645_TY3A</v>
      </c>
      <c r="B19" s="1" t="str">
        <f>TY3A_REP_CITIES!B19</f>
        <v>Trinidad</v>
      </c>
      <c r="C19" s="1" t="str">
        <f>TY3A_REP_CITIES!C19</f>
        <v>Las Animas</v>
      </c>
      <c r="D19" s="2" t="str">
        <f>TY3A_REP_CITIES!A19</f>
        <v>CO</v>
      </c>
      <c r="E19" s="42">
        <f>TY3A_REP_CITIES!E19</f>
        <v>14506</v>
      </c>
      <c r="F19" s="2">
        <f>TY3A_REP_CITIES!G19</f>
        <v>4</v>
      </c>
      <c r="G19" s="2" t="str">
        <f>TY3A_REP_CITIES!H19</f>
        <v>Cold</v>
      </c>
      <c r="H19" s="2" t="str">
        <f>TY3A_REP_CITIES!I19</f>
        <v>Rocky Mountains</v>
      </c>
      <c r="I19" s="2">
        <f>Data!B19</f>
        <v>37.270000000000003</v>
      </c>
      <c r="J19" s="2">
        <f>Data!C19</f>
        <v>-104.33</v>
      </c>
      <c r="K19" s="2">
        <f>VLOOKUP(D19,Table1[],2,FALSE)</f>
        <v>3.1</v>
      </c>
      <c r="L19" s="2">
        <v>0.5</v>
      </c>
      <c r="M19" s="10">
        <f>Data!N19</f>
        <v>4535.1127100000003</v>
      </c>
      <c r="N19" s="10">
        <f>Data!Q19</f>
        <v>29308</v>
      </c>
      <c r="O19" s="10">
        <f>Data!O19</f>
        <v>30935133993.9091</v>
      </c>
      <c r="P19" s="10">
        <f>Data!P19</f>
        <v>32224097910.321999</v>
      </c>
      <c r="Q19" s="10">
        <f>Data!S19*15</f>
        <v>24313.532314827251</v>
      </c>
      <c r="R19" s="48">
        <f>SUM(Data!U19:AA19)*2+Data!AB19</f>
        <v>437.23755798585455</v>
      </c>
      <c r="S19" s="48">
        <f>SUM(Data!V19:AB19)*2+Data!AC19</f>
        <v>445.26916173546175</v>
      </c>
      <c r="T19" s="48">
        <f>SUM(Data!W19:AC19)*2+Data!AD19</f>
        <v>409.24440583225669</v>
      </c>
      <c r="U19" s="48">
        <f>SUM(Data!X19:AD19)*2+Data!AE19</f>
        <v>381.00810591748717</v>
      </c>
      <c r="V19" s="48">
        <f>SUM(Data!Y19:AE19)*2+Data!AF19</f>
        <v>403.55363284249142</v>
      </c>
      <c r="W19" s="48">
        <f>SUM(Data!Z19:AF19)*2+Data!AG19</f>
        <v>369.44801969153218</v>
      </c>
      <c r="X19" s="48">
        <f>SUM(Data!AA19:AG19)*2+Data!AH19</f>
        <v>402.83735409557335</v>
      </c>
      <c r="Y19" s="48">
        <f>SUM(Data!AB19:AH19)*2+Data!AI19</f>
        <v>469.86305269832076</v>
      </c>
      <c r="Z19" s="80">
        <f>(SUM(Data!CS19:CY19)*2+Data!CZ19)/('Useful Constants'!$B$1*1000000)*$K19/100</f>
        <v>0.36737995446486815</v>
      </c>
      <c r="AA19" s="80">
        <f>(SUM(Data!CT19:CZ19)*2+Data!DA19)/('Useful Constants'!$B$1*1000000)*$K19/100</f>
        <v>0.25739782615980578</v>
      </c>
      <c r="AB19" s="80">
        <f>(SUM(Data!CU19:DA19)*2+Data!DB19)/('Useful Constants'!$B$1*1000000)*$K19/100</f>
        <v>0.18794874410958542</v>
      </c>
      <c r="AC19" s="80">
        <f>(SUM(Data!CV19:DB19)*2+Data!DC19)/('Useful Constants'!$B$1*1000000)*$K19/100</f>
        <v>0.13708503141897768</v>
      </c>
      <c r="AD19" s="80">
        <f>(SUM(Data!CW19:DC19)*2+Data!DD19)/('Useful Constants'!$B$1*1000000)*$K19/100</f>
        <v>0.10543384717624728</v>
      </c>
      <c r="AE19" s="80">
        <f>(SUM(Data!CX19:DD19)*2+Data!DE19)/('Useful Constants'!$B$1*1000000)*$K19/100</f>
        <v>9.3057322147491309E-2</v>
      </c>
      <c r="AF19" s="80">
        <f>(SUM(Data!CY19:DE19)*2+Data!DF19)/('Useful Constants'!$B$1*1000000)*$K19/100</f>
        <v>7.6399735005839353E-2</v>
      </c>
      <c r="AG19" s="80">
        <f>(SUM(Data!CZ19:DF19)*2+Data!DG19)/('Useful Constants'!$B$1*1000000)*$K19/100</f>
        <v>7.2074353674303288E-2</v>
      </c>
      <c r="AH19" s="48">
        <f>Z19*'Useful Constants'!$B$3</f>
        <v>30.859916175048923</v>
      </c>
      <c r="AI19" s="48">
        <f>AA19*'Useful Constants'!$B$3</f>
        <v>21.621417397423684</v>
      </c>
      <c r="AJ19" s="48">
        <f>AB19*'Useful Constants'!$B$3</f>
        <v>15.787694505205176</v>
      </c>
      <c r="AK19" s="48">
        <f>AC19*'Useful Constants'!$B$3</f>
        <v>11.515142639194126</v>
      </c>
      <c r="AL19" s="48">
        <f>AD19*'Useful Constants'!$B$3</f>
        <v>8.8564431628047711</v>
      </c>
      <c r="AM19" s="48">
        <f>AE19*'Useful Constants'!$B$3</f>
        <v>7.8168150603892697</v>
      </c>
      <c r="AN19" s="48">
        <f>AF19*'Useful Constants'!$B$3</f>
        <v>6.4175777404905059</v>
      </c>
      <c r="AO19" s="48">
        <f>AG19*'Useful Constants'!$B$3</f>
        <v>6.054245708641476</v>
      </c>
      <c r="AP19" s="10">
        <f>Z19*'Useful Constants'!$B$4</f>
        <v>10.286638725016308</v>
      </c>
      <c r="AQ19" s="10">
        <f>AA19*'Useful Constants'!$B$4</f>
        <v>7.2071391324745617</v>
      </c>
      <c r="AR19" s="10">
        <f>AB19*'Useful Constants'!$B$4</f>
        <v>5.2625648350683916</v>
      </c>
      <c r="AS19" s="10">
        <f>AC19*'Useful Constants'!$B$4</f>
        <v>3.8383808797313752</v>
      </c>
      <c r="AT19" s="10">
        <f>AD19*'Useful Constants'!$B$4</f>
        <v>2.9521477209349238</v>
      </c>
      <c r="AU19" s="10">
        <f>AE19*'Useful Constants'!$B$4</f>
        <v>2.6056050201297567</v>
      </c>
      <c r="AV19" s="10">
        <f>AF19*'Useful Constants'!$B$4</f>
        <v>2.1391925801635017</v>
      </c>
      <c r="AW19" s="10">
        <f>AG19*'Useful Constants'!$B$4</f>
        <v>2.0180819028804922</v>
      </c>
      <c r="AX19" s="48">
        <f>P19/1000000/'Useful Constants'!$B$1*K19/100*'Useful Constants'!$B$3*15</f>
        <v>25173.465287543542</v>
      </c>
      <c r="AY19" s="48">
        <f>P19/1000000/'Useful Constants'!$B$1*L19/100*'Useful Constants'!$B$3*15</f>
        <v>4060.2363367005719</v>
      </c>
      <c r="AZ19" s="48">
        <f>P19/1000000/'Useful Constants'!$B$1*K19/100*'Useful Constants'!$B$4*15</f>
        <v>8391.1550958478474</v>
      </c>
      <c r="BA19" s="48">
        <f>P19/1000000/'Useful Constants'!$B$1*L19/100*'Useful Constants'!$B$4*15</f>
        <v>1353.4121122335239</v>
      </c>
      <c r="BB19" s="7">
        <f>Data!AN19</f>
        <v>4535.1127100000003</v>
      </c>
      <c r="BC19" s="7">
        <f>Data!AQ19</f>
        <v>4535.1127100000003</v>
      </c>
      <c r="BD19" s="7">
        <f>Data!AT19</f>
        <v>7407.6753500000004</v>
      </c>
      <c r="BE19" s="6">
        <f>Data!AO19</f>
        <v>25792009242.5905</v>
      </c>
      <c r="BF19" s="6">
        <f>Data!AP19</f>
        <v>9065332132.8721504</v>
      </c>
      <c r="BG19" s="6">
        <f>Data!AR19</f>
        <v>3635591660.6588202</v>
      </c>
      <c r="BH19" s="6">
        <f>Data!AS19</f>
        <v>3635591660.6588202</v>
      </c>
      <c r="BI19" s="8">
        <f t="shared" si="0"/>
        <v>0.87645640320419771</v>
      </c>
      <c r="BJ19" s="8">
        <f t="shared" si="1"/>
        <v>0.71375376155626125</v>
      </c>
      <c r="BK19" s="13">
        <f>BB19*'Useful Constants'!$B$5/'Useful Constants'!$B$6*'Useful Constants'!$B$7</f>
        <v>1.1605353424890001</v>
      </c>
      <c r="BL19" s="52">
        <f>1-VLOOKUP($G19,'Useful Constants'!$A$17:$X$23,10,FALSE)</f>
        <v>6.6471999999999865E-2</v>
      </c>
      <c r="BM19" s="52">
        <f>1-VLOOKUP($G19,'Useful Constants'!$A$17:$X$23,12,FALSE)</f>
        <v>4.945672000000001E-2</v>
      </c>
      <c r="BN19" s="52">
        <f>1-VLOOKUP($G19,'Useful Constants'!$A$17:$X$23,14,FALSE)</f>
        <v>3.4455679999999989E-2</v>
      </c>
      <c r="BO19" s="52">
        <f>1-VLOOKUP($G19,'Useful Constants'!$A$17:$X$23,16,FALSE)</f>
        <v>2.1468880000000024E-2</v>
      </c>
      <c r="BP19" s="52">
        <f>1-VLOOKUP($G19,'Useful Constants'!$A$17:$X$23,18,FALSE)</f>
        <v>0</v>
      </c>
      <c r="BQ19" s="52">
        <f>1-VLOOKUP($G19,'Useful Constants'!$A$17:$X$23,20, FALSE)</f>
        <v>0</v>
      </c>
      <c r="BR19" s="52">
        <f>1-VLOOKUP($G19,'Useful Constants'!$A$17:$X$23,22, FALSE)</f>
        <v>0</v>
      </c>
      <c r="BS19" s="52">
        <f>1-VLOOKUP($G19,'Useful Constants'!$A$17:$X$23,24, FALSE)</f>
        <v>0</v>
      </c>
      <c r="BT19" s="13">
        <f t="shared" si="2"/>
        <v>7.7143105285928659E-2</v>
      </c>
      <c r="BU19" s="13">
        <f t="shared" si="3"/>
        <v>5.7396271483582596E-2</v>
      </c>
      <c r="BV19" s="13">
        <f t="shared" si="4"/>
        <v>3.9987034389491381E-2</v>
      </c>
      <c r="BW19" s="13">
        <f t="shared" si="5"/>
        <v>2.4915394003655271E-2</v>
      </c>
      <c r="BX19" s="13">
        <f t="shared" si="6"/>
        <v>0</v>
      </c>
      <c r="BY19" s="13">
        <f t="shared" si="7"/>
        <v>0</v>
      </c>
      <c r="BZ19" s="13">
        <f t="shared" si="8"/>
        <v>0</v>
      </c>
      <c r="CA19" s="13">
        <f t="shared" si="9"/>
        <v>0</v>
      </c>
      <c r="CB19" s="59">
        <f>+SUM(Data!BM19:BS19)*2+Data!BT19</f>
        <v>2762.5911977821179</v>
      </c>
      <c r="CC19" s="59">
        <f>+SUM(Data!BN19:BT19)*2+Data!BU19</f>
        <v>2810.6281693660039</v>
      </c>
      <c r="CD19" s="59">
        <f>+SUM(Data!BO19:BU19)*2+Data!BV19</f>
        <v>2581.2022845538036</v>
      </c>
      <c r="CE19" s="59">
        <f>+SUM(Data!BP19:BV19)*2+Data!BW19</f>
        <v>2404.1246099513505</v>
      </c>
      <c r="CF19" s="59">
        <f>+SUM(Data!BQ19:BW19)*2+Data!BX19</f>
        <v>2545.4385231669135</v>
      </c>
      <c r="CG19" s="59">
        <f>+SUM(Data!BR19:BX19)*2+Data!BY19</f>
        <v>2331.1025337318579</v>
      </c>
      <c r="CH19" s="59">
        <f>+SUM(Data!BS19:BY19)*2+Data!BZ19</f>
        <v>2542.5143690937198</v>
      </c>
      <c r="CI19" s="59">
        <f>+SUM(Data!BT19:BZ19)*2+Data!CA19</f>
        <v>2963.3686311771548</v>
      </c>
      <c r="CJ19" s="13">
        <f>+SUM(Data!AW19:BC19)*2+Data!BD19</f>
        <v>13076.556974134704</v>
      </c>
      <c r="CK19" s="13">
        <f>+SUM(Data!AX19:BD19)*2+Data!BE19</f>
        <v>13312.592869317175</v>
      </c>
      <c r="CL19" s="13">
        <f>+SUM(Data!AY19:BE19)*2+Data!BF19</f>
        <v>12215.161627149335</v>
      </c>
      <c r="CM19" s="13">
        <f>+SUM(Data!AZ19:BF19)*2+Data!BG19</f>
        <v>11339.602562192627</v>
      </c>
      <c r="CN19" s="13">
        <f>+SUM(Data!BA19:BG19)*2+Data!BH19</f>
        <v>12012.490794908777</v>
      </c>
      <c r="CO19" s="13">
        <f>+SUM(Data!BB19:BH19)*2+Data!BI19</f>
        <v>10985.995921252306</v>
      </c>
      <c r="CP19" s="13">
        <f>+SUM(Data!BC19:BI19)*2+Data!BJ19</f>
        <v>11978.462080884541</v>
      </c>
      <c r="CQ19" s="13">
        <f>+SUM(Data!BD19:BJ19)*2+Data!BK19</f>
        <v>13968.407893426953</v>
      </c>
      <c r="CR19" s="59">
        <f>+SUM(Data!CC19:CI19)*2+Data!CJ19</f>
        <v>5464.0180722968234</v>
      </c>
      <c r="CS19" s="59">
        <f>+SUM(Data!CD19:CJ19)*2+Data!CK19</f>
        <v>5676.408627862912</v>
      </c>
      <c r="CT19" s="59">
        <f>+SUM(Data!CE19:CK19)*2+Data!CL19</f>
        <v>5315.3165592112982</v>
      </c>
      <c r="CU19" s="59">
        <f>+SUM(Data!CF19:CL19)*2+Data!CM19</f>
        <v>4932.4874482596788</v>
      </c>
      <c r="CV19" s="59">
        <f>+SUM(Data!CG19:CM19)*2+Data!CN19</f>
        <v>5254.787747063363</v>
      </c>
      <c r="CW19" s="59">
        <f>+SUM(Data!CH19:CN19)*2+Data!CO19</f>
        <v>4780.093689917735</v>
      </c>
      <c r="CX19" s="59">
        <f>+SUM(Data!CI19:CO19)*2+Data!CP19</f>
        <v>5185.2230748707389</v>
      </c>
      <c r="CY19" s="59">
        <f>+SUM(Data!CJ19:CP19)*2+Data!CQ19</f>
        <v>6118.3989801416528</v>
      </c>
      <c r="CZ19" s="60">
        <f t="shared" si="10"/>
        <v>21303.166244213644</v>
      </c>
      <c r="DA19" s="60">
        <f t="shared" si="11"/>
        <v>21799.62966654609</v>
      </c>
      <c r="DB19" s="60">
        <f t="shared" si="12"/>
        <v>20111.680470914434</v>
      </c>
      <c r="DC19" s="60">
        <f t="shared" si="13"/>
        <v>18676.214620403654</v>
      </c>
      <c r="DD19" s="60">
        <f t="shared" si="14"/>
        <v>19812.717065139055</v>
      </c>
      <c r="DE19" s="60">
        <f t="shared" si="15"/>
        <v>18097.192144901899</v>
      </c>
      <c r="DF19" s="60">
        <f t="shared" si="16"/>
        <v>19706.199524848998</v>
      </c>
      <c r="DG19" s="60">
        <f t="shared" si="17"/>
        <v>23050.175504745763</v>
      </c>
      <c r="DH19" s="13">
        <f t="shared" si="18"/>
        <v>7.9316425855655917E-2</v>
      </c>
      <c r="DI19" s="13">
        <f t="shared" si="19"/>
        <v>5.9013272730532321E-2</v>
      </c>
      <c r="DJ19" s="13">
        <f t="shared" si="20"/>
        <v>4.1113572451952879E-2</v>
      </c>
      <c r="DK19" s="13">
        <f t="shared" si="21"/>
        <v>2.5617325019917855E-2</v>
      </c>
      <c r="DL19" s="13">
        <f t="shared" si="22"/>
        <v>0</v>
      </c>
      <c r="DM19" s="13">
        <f t="shared" si="23"/>
        <v>0</v>
      </c>
      <c r="DN19" s="13">
        <f t="shared" si="24"/>
        <v>0</v>
      </c>
      <c r="DO19" s="13">
        <f t="shared" si="25"/>
        <v>0</v>
      </c>
      <c r="DP19" s="50">
        <f>DH19*'Useful Constants'!$B$8</f>
        <v>337.88797414509423</v>
      </c>
      <c r="DQ19" s="50">
        <f>DI19*'Useful Constants'!$B$8</f>
        <v>251.3965418320677</v>
      </c>
      <c r="DR19" s="50">
        <f>DJ19*'Useful Constants'!$B$10</f>
        <v>99.905981058245501</v>
      </c>
      <c r="DS19" s="50">
        <f>DK19*'Useful Constants'!$B$10</f>
        <v>62.250099798400392</v>
      </c>
      <c r="DT19" s="50">
        <f>DL19*'Useful Constants'!$B$10</f>
        <v>0</v>
      </c>
      <c r="DU19" s="50">
        <f>DM19*'Useful Constants'!$B$10</f>
        <v>0</v>
      </c>
      <c r="DV19" s="50">
        <f>DN19*'Useful Constants'!$B$10</f>
        <v>0</v>
      </c>
      <c r="DW19" s="50">
        <f>DO19*'Useful Constants'!$B$10</f>
        <v>0</v>
      </c>
      <c r="DX19" s="14">
        <f>DH19*'Useful Constants'!$B$9</f>
        <v>152.60480334628198</v>
      </c>
      <c r="DY19" s="14">
        <f>DI19*'Useful Constants'!$B$9</f>
        <v>113.54153673354419</v>
      </c>
      <c r="DZ19" s="14">
        <f>DJ19*'Useful Constants'!$B$11</f>
        <v>27.833888549972098</v>
      </c>
      <c r="EA19" s="14">
        <f>DK19*'Useful Constants'!$B$11</f>
        <v>17.342929038484389</v>
      </c>
      <c r="EB19" s="14">
        <f>DL19*'Useful Constants'!$B$11</f>
        <v>0</v>
      </c>
      <c r="EC19" s="14">
        <f>DM19*'Useful Constants'!$B$11</f>
        <v>0</v>
      </c>
      <c r="ED19" s="14">
        <f>DN19*'Useful Constants'!$B$11</f>
        <v>0</v>
      </c>
      <c r="EE19" s="14">
        <f>DO19*'Useful Constants'!$B$11</f>
        <v>0</v>
      </c>
      <c r="EF19" s="78">
        <f>(SUM(Data!DI19:DO19)*2+Data!DP19)/('Useful Constants'!$B$1*1000000)*$K19/100</f>
        <v>17.709825087986541</v>
      </c>
      <c r="EG19" s="78">
        <f>(SUM(Data!DJ19:DP19)*2+Data!DQ19)/('Useful Constants'!$B$1*1000000)*$K19/100</f>
        <v>12.451336796922542</v>
      </c>
      <c r="EH19" s="78">
        <f>(SUM(Data!DK19:DQ19)*2+Data!DR19)/('Useful Constants'!$B$1*1000000)*$K19/100</f>
        <v>9.1285106896281203</v>
      </c>
      <c r="EI19" s="78">
        <f>(SUM(Data!DL19:DR19)*2+Data!DS19)/('Useful Constants'!$B$1*1000000)*$K19/100</f>
        <v>6.584992939120168</v>
      </c>
      <c r="EJ19" s="78">
        <f>(SUM(Data!DM19:DS19)*2+Data!DT19)/('Useful Constants'!$B$1*1000000)*$K19/100</f>
        <v>4.9550895958723666</v>
      </c>
      <c r="EK19" s="78">
        <f>(SUM(Data!DN19:DT19)*2+Data!DU19)/('Useful Constants'!$B$1*1000000)*$K19/100</f>
        <v>4.3296237379082001</v>
      </c>
      <c r="EL19" s="78">
        <f>(SUM(Data!DO19:DU19)*2+Data!DV19)/('Useful Constants'!$B$1*1000000)*$K19/100</f>
        <v>3.5361869485200557</v>
      </c>
      <c r="EM19" s="78">
        <f>(SUM(Data!DP19:DV19)*2+Data!DW19)/('Useful Constants'!$B$1*1000000)*$K19/100</f>
        <v>3.3086296857127335</v>
      </c>
      <c r="EN19" s="79">
        <f>EF19*'Useful Constants'!$B$3</f>
        <v>1487.6253073908695</v>
      </c>
      <c r="EO19" s="79">
        <f>EG19*'Useful Constants'!$B$3</f>
        <v>1045.9122909414934</v>
      </c>
      <c r="EP19" s="79">
        <f>EH19*'Useful Constants'!$B$3</f>
        <v>766.79489792876211</v>
      </c>
      <c r="EQ19" s="79">
        <f>EI19*'Useful Constants'!$B$3</f>
        <v>553.13940688609409</v>
      </c>
      <c r="ER19" s="79">
        <f>EJ19*'Useful Constants'!$B$3</f>
        <v>416.22752605327878</v>
      </c>
      <c r="ES19" s="79">
        <f>EK19*'Useful Constants'!$B$3</f>
        <v>363.68839398428884</v>
      </c>
      <c r="ET19" s="79">
        <f>EL19*'Useful Constants'!$B$3</f>
        <v>297.03970367568468</v>
      </c>
      <c r="EU19" s="79">
        <f>EM19*'Useful Constants'!$B$3</f>
        <v>277.92489359986962</v>
      </c>
      <c r="EV19" s="78">
        <f>EF19*'Useful Constants'!$B$4</f>
        <v>495.87510246362314</v>
      </c>
      <c r="EW19" s="78">
        <f>EG19*'Useful Constants'!$B$4</f>
        <v>348.63743031383115</v>
      </c>
      <c r="EX19" s="78">
        <f>EH19*'Useful Constants'!$B$4</f>
        <v>255.59829930958736</v>
      </c>
      <c r="EY19" s="78">
        <f>EI19*'Useful Constants'!$B$4</f>
        <v>184.3798022953647</v>
      </c>
      <c r="EZ19" s="78">
        <f>EJ19*'Useful Constants'!$B$4</f>
        <v>138.74250868442627</v>
      </c>
      <c r="FA19" s="78">
        <f>EK19*'Useful Constants'!$B$4</f>
        <v>121.2294646614296</v>
      </c>
      <c r="FB19" s="78">
        <f>EL19*'Useful Constants'!$B$4</f>
        <v>99.013234558561564</v>
      </c>
      <c r="FC19" s="78">
        <f>EM19*'Useful Constants'!$B$4</f>
        <v>92.641631199956535</v>
      </c>
      <c r="FD19" s="40">
        <f t="shared" si="26"/>
        <v>0.13929278346959223</v>
      </c>
      <c r="FE19" s="40">
        <f t="shared" si="27"/>
        <v>0.1195199942459996</v>
      </c>
      <c r="FF19" s="40">
        <f t="shared" si="28"/>
        <v>0.18651206949144297</v>
      </c>
      <c r="FG19" s="40">
        <f t="shared" si="29"/>
        <v>0.24371078375224056</v>
      </c>
      <c r="FH19" s="40">
        <f t="shared" si="30"/>
        <v>0.19842018969849715</v>
      </c>
      <c r="FI19" s="40">
        <f t="shared" si="31"/>
        <v>0.26681495104571129</v>
      </c>
      <c r="FJ19" s="40">
        <f t="shared" si="32"/>
        <v>0.20270655485353792</v>
      </c>
      <c r="FK19" s="40">
        <f t="shared" si="33"/>
        <v>6.9934721900571373E-2</v>
      </c>
      <c r="FL19" s="4">
        <f t="shared" si="34"/>
        <v>0.57181268871963786</v>
      </c>
      <c r="FM19" s="4">
        <f t="shared" si="35"/>
        <v>0.57239076435395442</v>
      </c>
      <c r="FN19" s="4">
        <f t="shared" si="36"/>
        <v>0.61131182940172102</v>
      </c>
      <c r="FO19" s="4">
        <f t="shared" si="37"/>
        <v>0.64234907361590821</v>
      </c>
      <c r="FP19" s="4">
        <f t="shared" si="38"/>
        <v>0.62510974710025446</v>
      </c>
      <c r="FQ19" s="4">
        <f t="shared" si="39"/>
        <v>0.65765318252994687</v>
      </c>
      <c r="FR19" s="4">
        <f t="shared" si="40"/>
        <v>0.62927092464479939</v>
      </c>
      <c r="FS19" s="4">
        <f t="shared" si="41"/>
        <v>0.56818327209757691</v>
      </c>
      <c r="FT19" s="38">
        <f t="shared" si="42"/>
        <v>0.36382410216969657</v>
      </c>
      <c r="FU19" s="38">
        <f t="shared" si="43"/>
        <v>0.35492792854948912</v>
      </c>
      <c r="FV19" s="38">
        <f t="shared" si="44"/>
        <v>0.40836754938810127</v>
      </c>
      <c r="FW19" s="38">
        <f t="shared" si="45"/>
        <v>0.4519070074198126</v>
      </c>
      <c r="FX19" s="38">
        <f t="shared" si="46"/>
        <v>0.42110291418850165</v>
      </c>
      <c r="FY19" s="38">
        <f t="shared" si="47"/>
        <v>0.47085853695011715</v>
      </c>
      <c r="FZ19" s="38">
        <f t="shared" si="48"/>
        <v>0.42532080655194926</v>
      </c>
      <c r="GA19" s="38">
        <f t="shared" si="49"/>
        <v>0.32977613380410481</v>
      </c>
    </row>
    <row r="20" spans="1:183" x14ac:dyDescent="0.25">
      <c r="A20" s="1" t="str">
        <f>Data!A20</f>
        <v>CT_BRIDGEPORT-SIKORSKY-MEM_725040_TY3A</v>
      </c>
      <c r="B20" s="1" t="str">
        <f>TY3A_REP_CITIES!B20</f>
        <v>Bridgeport</v>
      </c>
      <c r="C20" s="1" t="str">
        <f>TY3A_REP_CITIES!C20</f>
        <v>Fairfield</v>
      </c>
      <c r="D20" s="2" t="str">
        <f>TY3A_REP_CITIES!A20</f>
        <v>CT</v>
      </c>
      <c r="E20" s="42">
        <f>TY3A_REP_CITIES!E20</f>
        <v>943332</v>
      </c>
      <c r="F20" s="2">
        <f>TY3A_REP_CITIES!G20</f>
        <v>5</v>
      </c>
      <c r="G20" s="2" t="str">
        <f>TY3A_REP_CITIES!H20</f>
        <v>Cold</v>
      </c>
      <c r="H20" s="2" t="str">
        <f>TY3A_REP_CITIES!I20</f>
        <v>Northeast</v>
      </c>
      <c r="I20" s="2">
        <f>Data!B20</f>
        <v>41.18</v>
      </c>
      <c r="J20" s="2">
        <f>Data!C20</f>
        <v>-73.150000000000006</v>
      </c>
      <c r="K20" s="2">
        <f>VLOOKUP(D20,Table1[],2,FALSE)</f>
        <v>0.9</v>
      </c>
      <c r="L20" s="2">
        <v>0.5</v>
      </c>
      <c r="M20" s="10">
        <f>Data!N20</f>
        <v>4322.3541500000001</v>
      </c>
      <c r="N20" s="10">
        <f>Data!Q20</f>
        <v>29308</v>
      </c>
      <c r="O20" s="10">
        <f>Data!O20</f>
        <v>46022424050.235497</v>
      </c>
      <c r="P20" s="10">
        <f>Data!P20</f>
        <v>47940025052.328835</v>
      </c>
      <c r="Q20" s="10">
        <f>Data!S20*15</f>
        <v>36171.419027065</v>
      </c>
      <c r="R20" s="48">
        <f>SUM(Data!U20:AA20)*2+Data!AB20</f>
        <v>155.77155693633796</v>
      </c>
      <c r="S20" s="48">
        <f>SUM(Data!V20:AB20)*2+Data!AC20</f>
        <v>158.88314520744564</v>
      </c>
      <c r="T20" s="48">
        <f>SUM(Data!W20:AC20)*2+Data!AD20</f>
        <v>149.93417784600925</v>
      </c>
      <c r="U20" s="48">
        <f>SUM(Data!X20:AD20)*2+Data!AE20</f>
        <v>146.73197827823535</v>
      </c>
      <c r="V20" s="48">
        <f>SUM(Data!Y20:AE20)*2+Data!AF20</f>
        <v>141.45114612652671</v>
      </c>
      <c r="W20" s="48">
        <f>SUM(Data!Z20:AF20)*2+Data!AG20</f>
        <v>136.07923654364282</v>
      </c>
      <c r="X20" s="48">
        <f>SUM(Data!AA20:AG20)*2+Data!AH20</f>
        <v>141.72185255067714</v>
      </c>
      <c r="Y20" s="48">
        <f>SUM(Data!AB20:AH20)*2+Data!AI20</f>
        <v>156.61378490460353</v>
      </c>
      <c r="Z20" s="80">
        <f>(SUM(Data!CS20:CY20)*2+Data!CZ20)/('Useful Constants'!$B$1*1000000)*$K20/100</f>
        <v>0.64518604586004857</v>
      </c>
      <c r="AA20" s="80">
        <f>(SUM(Data!CT20:CZ20)*2+Data!DA20)/('Useful Constants'!$B$1*1000000)*$K20/100</f>
        <v>0.59531899173909286</v>
      </c>
      <c r="AB20" s="80">
        <f>(SUM(Data!CU20:DA20)*2+Data!DB20)/('Useful Constants'!$B$1*1000000)*$K20/100</f>
        <v>0.5491126155987619</v>
      </c>
      <c r="AC20" s="80">
        <f>(SUM(Data!CV20:DB20)*2+Data!DC20)/('Useful Constants'!$B$1*1000000)*$K20/100</f>
        <v>0.51615446716735913</v>
      </c>
      <c r="AD20" s="80">
        <f>(SUM(Data!CW20:DC20)*2+Data!DD20)/('Useful Constants'!$B$1*1000000)*$K20/100</f>
        <v>0.49398984420187708</v>
      </c>
      <c r="AE20" s="80">
        <f>(SUM(Data!CX20:DD20)*2+Data!DE20)/('Useful Constants'!$B$1*1000000)*$K20/100</f>
        <v>0.48081930170371817</v>
      </c>
      <c r="AF20" s="80">
        <f>(SUM(Data!CY20:DE20)*2+Data!DF20)/('Useful Constants'!$B$1*1000000)*$K20/100</f>
        <v>0.48360154823845514</v>
      </c>
      <c r="AG20" s="80">
        <f>(SUM(Data!CZ20:DF20)*2+Data!DG20)/('Useful Constants'!$B$1*1000000)*$K20/100</f>
        <v>0.48956567311699495</v>
      </c>
      <c r="AH20" s="48">
        <f>Z20*'Useful Constants'!$B$3</f>
        <v>54.19562785224408</v>
      </c>
      <c r="AI20" s="48">
        <f>AA20*'Useful Constants'!$B$3</f>
        <v>50.006795306083802</v>
      </c>
      <c r="AJ20" s="48">
        <f>AB20*'Useful Constants'!$B$3</f>
        <v>46.125459710295999</v>
      </c>
      <c r="AK20" s="48">
        <f>AC20*'Useful Constants'!$B$3</f>
        <v>43.356975242058169</v>
      </c>
      <c r="AL20" s="48">
        <f>AD20*'Useful Constants'!$B$3</f>
        <v>41.495146912957672</v>
      </c>
      <c r="AM20" s="48">
        <f>AE20*'Useful Constants'!$B$3</f>
        <v>40.388821343112326</v>
      </c>
      <c r="AN20" s="48">
        <f>AF20*'Useful Constants'!$B$3</f>
        <v>40.622530052030228</v>
      </c>
      <c r="AO20" s="48">
        <f>AG20*'Useful Constants'!$B$3</f>
        <v>41.123516541827577</v>
      </c>
      <c r="AP20" s="10">
        <f>Z20*'Useful Constants'!$B$4</f>
        <v>18.065209284081359</v>
      </c>
      <c r="AQ20" s="10">
        <f>AA20*'Useful Constants'!$B$4</f>
        <v>16.668931768694598</v>
      </c>
      <c r="AR20" s="10">
        <f>AB20*'Useful Constants'!$B$4</f>
        <v>15.375153236765334</v>
      </c>
      <c r="AS20" s="10">
        <f>AC20*'Useful Constants'!$B$4</f>
        <v>14.452325080686055</v>
      </c>
      <c r="AT20" s="10">
        <f>AD20*'Useful Constants'!$B$4</f>
        <v>13.831715637652557</v>
      </c>
      <c r="AU20" s="10">
        <f>AE20*'Useful Constants'!$B$4</f>
        <v>13.462940447704108</v>
      </c>
      <c r="AV20" s="10">
        <f>AF20*'Useful Constants'!$B$4</f>
        <v>13.540843350676743</v>
      </c>
      <c r="AW20" s="10">
        <f>AG20*'Useful Constants'!$B$4</f>
        <v>13.707838847275859</v>
      </c>
      <c r="AX20" s="48">
        <f>P20/1000000/'Useful Constants'!$B$1*K20/100*'Useful Constants'!$B$3*15</f>
        <v>10872.797681868178</v>
      </c>
      <c r="AY20" s="48">
        <f>P20/1000000/'Useful Constants'!$B$1*L20/100*'Useful Constants'!$B$3*15</f>
        <v>6040.4431565934319</v>
      </c>
      <c r="AZ20" s="48">
        <f>P20/1000000/'Useful Constants'!$B$1*K20/100*'Useful Constants'!$B$4*15</f>
        <v>3624.2658939560592</v>
      </c>
      <c r="BA20" s="48">
        <f>P20/1000000/'Useful Constants'!$B$1*L20/100*'Useful Constants'!$B$4*15</f>
        <v>2013.4810521978109</v>
      </c>
      <c r="BB20" s="7">
        <f>Data!AN20</f>
        <v>4322.3541500000001</v>
      </c>
      <c r="BC20" s="7">
        <f>Data!AQ20</f>
        <v>4322.3541500000001</v>
      </c>
      <c r="BD20" s="7">
        <f>Data!AT20</f>
        <v>7251.8454499999998</v>
      </c>
      <c r="BE20" s="6">
        <f>Data!AO20</f>
        <v>37983837591.242599</v>
      </c>
      <c r="BF20" s="6">
        <f>Data!AP20</f>
        <v>12352233990.3344</v>
      </c>
      <c r="BG20" s="6">
        <f>Data!AR20</f>
        <v>6209165396.3997002</v>
      </c>
      <c r="BH20" s="6">
        <f>Data!AS20</f>
        <v>6209165396.3997002</v>
      </c>
      <c r="BI20" s="8">
        <f t="shared" si="0"/>
        <v>0.85949890306988252</v>
      </c>
      <c r="BJ20" s="8">
        <f t="shared" si="1"/>
        <v>0.66547967278601783</v>
      </c>
      <c r="BK20" s="13">
        <f>BB20*'Useful Constants'!$B$5/'Useful Constants'!$B$6*'Useful Constants'!$B$7</f>
        <v>1.106090426985</v>
      </c>
      <c r="BL20" s="52">
        <f>1-VLOOKUP($G20,'Useful Constants'!$A$17:$X$23,10,FALSE)</f>
        <v>6.6471999999999865E-2</v>
      </c>
      <c r="BM20" s="52">
        <f>1-VLOOKUP($G20,'Useful Constants'!$A$17:$X$23,12,FALSE)</f>
        <v>4.945672000000001E-2</v>
      </c>
      <c r="BN20" s="52">
        <f>1-VLOOKUP($G20,'Useful Constants'!$A$17:$X$23,14,FALSE)</f>
        <v>3.4455679999999989E-2</v>
      </c>
      <c r="BO20" s="52">
        <f>1-VLOOKUP($G20,'Useful Constants'!$A$17:$X$23,16,FALSE)</f>
        <v>2.1468880000000024E-2</v>
      </c>
      <c r="BP20" s="52">
        <f>1-VLOOKUP($G20,'Useful Constants'!$A$17:$X$23,18,FALSE)</f>
        <v>0</v>
      </c>
      <c r="BQ20" s="52">
        <f>1-VLOOKUP($G20,'Useful Constants'!$A$17:$X$23,20, FALSE)</f>
        <v>0</v>
      </c>
      <c r="BR20" s="52">
        <f>1-VLOOKUP($G20,'Useful Constants'!$A$17:$X$23,22, FALSE)</f>
        <v>0</v>
      </c>
      <c r="BS20" s="52">
        <f>1-VLOOKUP($G20,'Useful Constants'!$A$17:$X$23,24, FALSE)</f>
        <v>0</v>
      </c>
      <c r="BT20" s="13">
        <f t="shared" si="2"/>
        <v>7.3524042862546768E-2</v>
      </c>
      <c r="BU20" s="13">
        <f t="shared" si="3"/>
        <v>5.4703604542077601E-2</v>
      </c>
      <c r="BV20" s="13">
        <f t="shared" si="4"/>
        <v>3.8111097803258512E-2</v>
      </c>
      <c r="BW20" s="13">
        <f t="shared" si="5"/>
        <v>2.3746522646089754E-2</v>
      </c>
      <c r="BX20" s="13">
        <f t="shared" si="6"/>
        <v>0</v>
      </c>
      <c r="BY20" s="13">
        <f t="shared" si="7"/>
        <v>0</v>
      </c>
      <c r="BZ20" s="13">
        <f t="shared" si="8"/>
        <v>0</v>
      </c>
      <c r="CA20" s="13">
        <f t="shared" si="9"/>
        <v>0</v>
      </c>
      <c r="CB20" s="59">
        <f>+SUM(Data!BM20:BS20)*2+Data!BT20</f>
        <v>1042.1748550588882</v>
      </c>
      <c r="CC20" s="59">
        <f>+SUM(Data!BN20:BT20)*2+Data!BU20</f>
        <v>1062.7799839516008</v>
      </c>
      <c r="CD20" s="59">
        <f>+SUM(Data!BO20:BU20)*2+Data!BV20</f>
        <v>1002.4043803476541</v>
      </c>
      <c r="CE20" s="59">
        <f>+SUM(Data!BP20:BV20)*2+Data!BW20</f>
        <v>979.0223452163699</v>
      </c>
      <c r="CF20" s="59">
        <f>+SUM(Data!BQ20:BW20)*2+Data!BX20</f>
        <v>944.40719298971476</v>
      </c>
      <c r="CG20" s="59">
        <f>+SUM(Data!BR20:BX20)*2+Data!BY20</f>
        <v>907.08803472685838</v>
      </c>
      <c r="CH20" s="59">
        <f>+SUM(Data!BS20:BY20)*2+Data!BZ20</f>
        <v>945.64293836299316</v>
      </c>
      <c r="CI20" s="59">
        <f>+SUM(Data!BT20:BZ20)*2+Data!CA20</f>
        <v>1043.0444389202321</v>
      </c>
      <c r="CJ20" s="13">
        <f>+SUM(Data!AW20:BC20)*2+Data!BD20</f>
        <v>5735.8591801716075</v>
      </c>
      <c r="CK20" s="13">
        <f>+SUM(Data!AX20:BD20)*2+Data!BE20</f>
        <v>5851.4789493588069</v>
      </c>
      <c r="CL20" s="13">
        <f>+SUM(Data!AY20:BE20)*2+Data!BF20</f>
        <v>5511.3713585745527</v>
      </c>
      <c r="CM20" s="13">
        <f>+SUM(Data!AZ20:BF20)*2+Data!BG20</f>
        <v>5383.3294204983176</v>
      </c>
      <c r="CN20" s="13">
        <f>+SUM(Data!BA20:BG20)*2+Data!BH20</f>
        <v>5198.2477830708776</v>
      </c>
      <c r="CO20" s="13">
        <f>+SUM(Data!BB20:BH20)*2+Data!BI20</f>
        <v>4992.5437474838081</v>
      </c>
      <c r="CP20" s="13">
        <f>+SUM(Data!BC20:BI20)*2+Data!BJ20</f>
        <v>5199.7582333200799</v>
      </c>
      <c r="CQ20" s="13">
        <f>+SUM(Data!BD20:BJ20)*2+Data!BK20</f>
        <v>5746.0564108186218</v>
      </c>
      <c r="CR20" s="59">
        <f>+SUM(Data!CC20:CI20)*2+Data!CJ20</f>
        <v>2874.6491360969476</v>
      </c>
      <c r="CS20" s="59">
        <f>+SUM(Data!CD20:CJ20)*2+Data!CK20</f>
        <v>2939.0744846052789</v>
      </c>
      <c r="CT20" s="59">
        <f>+SUM(Data!CE20:CK20)*2+Data!CL20</f>
        <v>2745.9214442607531</v>
      </c>
      <c r="CU20" s="59">
        <f>+SUM(Data!CF20:CL20)*2+Data!CM20</f>
        <v>2726.8618793744399</v>
      </c>
      <c r="CV20" s="59">
        <f>+SUM(Data!CG20:CM20)*2+Data!CN20</f>
        <v>2622.7403749560472</v>
      </c>
      <c r="CW20" s="59">
        <f>+SUM(Data!CH20:CN20)*2+Data!CO20</f>
        <v>2546.1031717610299</v>
      </c>
      <c r="CX20" s="59">
        <f>+SUM(Data!CI20:CO20)*2+Data!CP20</f>
        <v>2613.0017452492848</v>
      </c>
      <c r="CY20" s="59">
        <f>+SUM(Data!CJ20:CP20)*2+Data!CQ20</f>
        <v>2963.3880353304812</v>
      </c>
      <c r="CZ20" s="60">
        <f t="shared" si="10"/>
        <v>9652.6831713274441</v>
      </c>
      <c r="DA20" s="60">
        <f t="shared" si="11"/>
        <v>9853.3334179156864</v>
      </c>
      <c r="DB20" s="60">
        <f t="shared" si="12"/>
        <v>9259.6971831829596</v>
      </c>
      <c r="DC20" s="60">
        <f t="shared" si="13"/>
        <v>9089.2136450891267</v>
      </c>
      <c r="DD20" s="60">
        <f t="shared" si="14"/>
        <v>8765.3953510166393</v>
      </c>
      <c r="DE20" s="60">
        <f t="shared" si="15"/>
        <v>8445.7349539716961</v>
      </c>
      <c r="DF20" s="60">
        <f t="shared" si="16"/>
        <v>8758.4029169323585</v>
      </c>
      <c r="DG20" s="60">
        <f t="shared" si="17"/>
        <v>9752.4888850693351</v>
      </c>
      <c r="DH20" s="13">
        <f t="shared" si="18"/>
        <v>7.5595405094212448E-2</v>
      </c>
      <c r="DI20" s="13">
        <f t="shared" si="19"/>
        <v>5.6244746404968217E-2</v>
      </c>
      <c r="DJ20" s="13">
        <f t="shared" si="20"/>
        <v>3.9184785885734721E-2</v>
      </c>
      <c r="DK20" s="13">
        <f t="shared" si="21"/>
        <v>2.4415523536512232E-2</v>
      </c>
      <c r="DL20" s="13">
        <f t="shared" si="22"/>
        <v>0</v>
      </c>
      <c r="DM20" s="13">
        <f t="shared" si="23"/>
        <v>0</v>
      </c>
      <c r="DN20" s="13">
        <f t="shared" si="24"/>
        <v>0</v>
      </c>
      <c r="DO20" s="13">
        <f t="shared" si="25"/>
        <v>0</v>
      </c>
      <c r="DP20" s="50">
        <f>DH20*'Useful Constants'!$B$8</f>
        <v>322.03642570134502</v>
      </c>
      <c r="DQ20" s="50">
        <f>DI20*'Useful Constants'!$B$8</f>
        <v>239.6026196851646</v>
      </c>
      <c r="DR20" s="50">
        <f>DJ20*'Useful Constants'!$B$10</f>
        <v>95.219029702335376</v>
      </c>
      <c r="DS20" s="50">
        <f>DK20*'Useful Constants'!$B$10</f>
        <v>59.32972219372472</v>
      </c>
      <c r="DT20" s="50">
        <f>DL20*'Useful Constants'!$B$10</f>
        <v>0</v>
      </c>
      <c r="DU20" s="50">
        <f>DM20*'Useful Constants'!$B$10</f>
        <v>0</v>
      </c>
      <c r="DV20" s="50">
        <f>DN20*'Useful Constants'!$B$10</f>
        <v>0</v>
      </c>
      <c r="DW20" s="50">
        <f>DO20*'Useful Constants'!$B$10</f>
        <v>0</v>
      </c>
      <c r="DX20" s="14">
        <f>DH20*'Useful Constants'!$B$9</f>
        <v>145.44555940126475</v>
      </c>
      <c r="DY20" s="14">
        <f>DI20*'Useful Constants'!$B$9</f>
        <v>108.21489208315884</v>
      </c>
      <c r="DZ20" s="14">
        <f>DJ20*'Useful Constants'!$B$11</f>
        <v>26.528100044642407</v>
      </c>
      <c r="EA20" s="14">
        <f>DK20*'Useful Constants'!$B$11</f>
        <v>16.529309434218781</v>
      </c>
      <c r="EB20" s="14">
        <f>DL20*'Useful Constants'!$B$11</f>
        <v>0</v>
      </c>
      <c r="EC20" s="14">
        <f>DM20*'Useful Constants'!$B$11</f>
        <v>0</v>
      </c>
      <c r="ED20" s="14">
        <f>DN20*'Useful Constants'!$B$11</f>
        <v>0</v>
      </c>
      <c r="EE20" s="14">
        <f>DO20*'Useful Constants'!$B$11</f>
        <v>0</v>
      </c>
      <c r="EF20" s="78">
        <f>(SUM(Data!DI20:DO20)*2+Data!DP20)/('Useful Constants'!$B$1*1000000)*$K20/100</f>
        <v>41.288451618501377</v>
      </c>
      <c r="EG20" s="78">
        <f>(SUM(Data!DJ20:DP20)*2+Data!DQ20)/('Useful Constants'!$B$1*1000000)*$K20/100</f>
        <v>38.208031634350839</v>
      </c>
      <c r="EH20" s="78">
        <f>(SUM(Data!DK20:DQ20)*2+Data!DR20)/('Useful Constants'!$B$1*1000000)*$K20/100</f>
        <v>35.395380948442146</v>
      </c>
      <c r="EI20" s="78">
        <f>(SUM(Data!DL20:DR20)*2+Data!DS20)/('Useful Constants'!$B$1*1000000)*$K20/100</f>
        <v>33.28039517538388</v>
      </c>
      <c r="EJ20" s="78">
        <f>(SUM(Data!DM20:DS20)*2+Data!DT20)/('Useful Constants'!$B$1*1000000)*$K20/100</f>
        <v>31.969898020580722</v>
      </c>
      <c r="EK20" s="78">
        <f>(SUM(Data!DN20:DT20)*2+Data!DU20)/('Useful Constants'!$B$1*1000000)*$K20/100</f>
        <v>31.080946570505244</v>
      </c>
      <c r="EL20" s="78">
        <f>(SUM(Data!DO20:DU20)*2+Data!DV20)/('Useful Constants'!$B$1*1000000)*$K20/100</f>
        <v>31.33152303757171</v>
      </c>
      <c r="EM20" s="78">
        <f>(SUM(Data!DP20:DV20)*2+Data!DW20)/('Useful Constants'!$B$1*1000000)*$K20/100</f>
        <v>31.497466506108331</v>
      </c>
      <c r="EN20" s="79">
        <f>EF20*'Useful Constants'!$B$3</f>
        <v>3468.2299359541157</v>
      </c>
      <c r="EO20" s="79">
        <f>EG20*'Useful Constants'!$B$3</f>
        <v>3209.4746572854706</v>
      </c>
      <c r="EP20" s="79">
        <f>EH20*'Useful Constants'!$B$3</f>
        <v>2973.2119996691404</v>
      </c>
      <c r="EQ20" s="79">
        <f>EI20*'Useful Constants'!$B$3</f>
        <v>2795.5531947322461</v>
      </c>
      <c r="ER20" s="79">
        <f>EJ20*'Useful Constants'!$B$3</f>
        <v>2685.4714337287805</v>
      </c>
      <c r="ES20" s="79">
        <f>EK20*'Useful Constants'!$B$3</f>
        <v>2610.7995119224406</v>
      </c>
      <c r="ET20" s="79">
        <f>EL20*'Useful Constants'!$B$3</f>
        <v>2631.8479351560236</v>
      </c>
      <c r="EU20" s="79">
        <f>EM20*'Useful Constants'!$B$3</f>
        <v>2645.7871865130996</v>
      </c>
      <c r="EV20" s="78">
        <f>EF20*'Useful Constants'!$B$4</f>
        <v>1156.0766453180386</v>
      </c>
      <c r="EW20" s="78">
        <f>EG20*'Useful Constants'!$B$4</f>
        <v>1069.8248857618235</v>
      </c>
      <c r="EX20" s="78">
        <f>EH20*'Useful Constants'!$B$4</f>
        <v>991.07066655638005</v>
      </c>
      <c r="EY20" s="78">
        <f>EI20*'Useful Constants'!$B$4</f>
        <v>931.85106491074862</v>
      </c>
      <c r="EZ20" s="78">
        <f>EJ20*'Useful Constants'!$B$4</f>
        <v>895.15714457626018</v>
      </c>
      <c r="FA20" s="78">
        <f>EK20*'Useful Constants'!$B$4</f>
        <v>870.26650397414687</v>
      </c>
      <c r="FB20" s="78">
        <f>EL20*'Useful Constants'!$B$4</f>
        <v>877.28264505200787</v>
      </c>
      <c r="FC20" s="78">
        <f>EM20*'Useful Constants'!$B$4</f>
        <v>881.92906217103325</v>
      </c>
      <c r="FD20" s="40">
        <f t="shared" si="26"/>
        <v>0.73428489745148273</v>
      </c>
      <c r="FE20" s="40">
        <f t="shared" si="27"/>
        <v>0.72878471059247552</v>
      </c>
      <c r="FF20" s="40">
        <f t="shared" si="28"/>
        <v>0.74506188877536217</v>
      </c>
      <c r="FG20" s="40">
        <f t="shared" si="29"/>
        <v>0.74973357967061993</v>
      </c>
      <c r="FH20" s="40">
        <f t="shared" si="30"/>
        <v>0.7586146369259511</v>
      </c>
      <c r="FI20" s="40">
        <f t="shared" si="31"/>
        <v>0.76738317543522583</v>
      </c>
      <c r="FJ20" s="40">
        <f t="shared" si="32"/>
        <v>0.7588089957305546</v>
      </c>
      <c r="FK20" s="40">
        <f t="shared" si="33"/>
        <v>0.7315437107330508</v>
      </c>
      <c r="FL20" s="4">
        <f t="shared" si="34"/>
        <v>0.74776163607840829</v>
      </c>
      <c r="FM20" s="4">
        <f t="shared" si="35"/>
        <v>0.75039360779494046</v>
      </c>
      <c r="FN20" s="4">
        <f t="shared" si="36"/>
        <v>0.76861933683457273</v>
      </c>
      <c r="FO20" s="4">
        <f t="shared" si="37"/>
        <v>0.77580191691594014</v>
      </c>
      <c r="FP20" s="4">
        <f t="shared" si="38"/>
        <v>0.78503132371560536</v>
      </c>
      <c r="FQ20" s="4">
        <f t="shared" si="39"/>
        <v>0.79240893129802203</v>
      </c>
      <c r="FR20" s="4">
        <f t="shared" si="40"/>
        <v>0.78616685858603741</v>
      </c>
      <c r="FS20" s="4">
        <f t="shared" si="41"/>
        <v>0.76731009243579096</v>
      </c>
      <c r="FT20" s="38">
        <f t="shared" si="42"/>
        <v>0.7390799928239471</v>
      </c>
      <c r="FU20" s="38">
        <f t="shared" si="43"/>
        <v>0.73725265505958471</v>
      </c>
      <c r="FV20" s="38">
        <f t="shared" si="44"/>
        <v>0.75515367672194011</v>
      </c>
      <c r="FW20" s="38">
        <f t="shared" si="45"/>
        <v>0.76084083279534287</v>
      </c>
      <c r="FX20" s="38">
        <f t="shared" si="46"/>
        <v>0.76979198431555429</v>
      </c>
      <c r="FY20" s="38">
        <f t="shared" si="47"/>
        <v>0.7779721571837962</v>
      </c>
      <c r="FZ20" s="38">
        <f t="shared" si="48"/>
        <v>0.77038444540828832</v>
      </c>
      <c r="GA20" s="38">
        <f t="shared" si="49"/>
        <v>0.74667585156499738</v>
      </c>
    </row>
    <row r="21" spans="1:183" x14ac:dyDescent="0.25">
      <c r="A21" s="1" t="str">
        <f>Data!A21</f>
        <v>DE_WILMINGTON-NEWCASTLE-CO-AP_724089_TY3A</v>
      </c>
      <c r="B21" s="1" t="str">
        <f>TY3A_REP_CITIES!B21</f>
        <v>Wilmington</v>
      </c>
      <c r="C21" s="1" t="str">
        <f>TY3A_REP_CITIES!C21</f>
        <v>New Castle</v>
      </c>
      <c r="D21" s="2" t="str">
        <f>TY3A_REP_CITIES!A21</f>
        <v>DE</v>
      </c>
      <c r="E21" s="42">
        <f>TY3A_REP_CITIES!E21</f>
        <v>558753</v>
      </c>
      <c r="F21" s="2">
        <f>TY3A_REP_CITIES!G21</f>
        <v>4</v>
      </c>
      <c r="G21" s="2" t="str">
        <f>TY3A_REP_CITIES!H21</f>
        <v>Mixed-Humid</v>
      </c>
      <c r="H21" s="2" t="str">
        <f>TY3A_REP_CITIES!I21</f>
        <v>Southeast</v>
      </c>
      <c r="I21" s="2">
        <f>Data!B21</f>
        <v>39.67</v>
      </c>
      <c r="J21" s="2">
        <f>Data!C21</f>
        <v>-75.599999999999994</v>
      </c>
      <c r="K21" s="2">
        <f>VLOOKUP(D21,Table1[],2,FALSE)</f>
        <v>0.9</v>
      </c>
      <c r="L21" s="2">
        <v>0.5</v>
      </c>
      <c r="M21" s="10">
        <f>Data!N21</f>
        <v>4995.05555</v>
      </c>
      <c r="N21" s="10">
        <f>Data!Q21</f>
        <v>29308</v>
      </c>
      <c r="O21" s="10">
        <f>Data!O21</f>
        <v>40332116940.288803</v>
      </c>
      <c r="P21" s="10">
        <f>Data!P21</f>
        <v>42012621812.800835</v>
      </c>
      <c r="Q21" s="10">
        <f>Data!S21*15</f>
        <v>31699.110427198379</v>
      </c>
      <c r="R21" s="48">
        <f>SUM(Data!U21:AA21)*2+Data!AB21</f>
        <v>278.08864993407161</v>
      </c>
      <c r="S21" s="48">
        <f>SUM(Data!V21:AB21)*2+Data!AC21</f>
        <v>289.21061747988341</v>
      </c>
      <c r="T21" s="48">
        <f>SUM(Data!W21:AC21)*2+Data!AD21</f>
        <v>256.20844614426022</v>
      </c>
      <c r="U21" s="48">
        <f>SUM(Data!X21:AD21)*2+Data!AE21</f>
        <v>243.06682920209423</v>
      </c>
      <c r="V21" s="48">
        <f>SUM(Data!Y21:AE21)*2+Data!AF21</f>
        <v>257.10948609198948</v>
      </c>
      <c r="W21" s="48">
        <f>SUM(Data!Z21:AF21)*2+Data!AG21</f>
        <v>243.88405328994176</v>
      </c>
      <c r="X21" s="48">
        <f>SUM(Data!AA21:AG21)*2+Data!AH21</f>
        <v>230.3328264397928</v>
      </c>
      <c r="Y21" s="48">
        <f>SUM(Data!AB21:AH21)*2+Data!AI21</f>
        <v>186.74783713925484</v>
      </c>
      <c r="Z21" s="80">
        <f>(SUM(Data!CS21:CY21)*2+Data!CZ21)/('Useful Constants'!$B$1*1000000)*$K21/100</f>
        <v>0.71348491997590302</v>
      </c>
      <c r="AA21" s="80">
        <f>(SUM(Data!CT21:CZ21)*2+Data!DA21)/('Useful Constants'!$B$1*1000000)*$K21/100</f>
        <v>0.57078110285829198</v>
      </c>
      <c r="AB21" s="80">
        <f>(SUM(Data!CU21:DA21)*2+Data!DB21)/('Useful Constants'!$B$1*1000000)*$K21/100</f>
        <v>0.42859709070152285</v>
      </c>
      <c r="AC21" s="80">
        <f>(SUM(Data!CV21:DB21)*2+Data!DC21)/('Useful Constants'!$B$1*1000000)*$K21/100</f>
        <v>0.33788220868405638</v>
      </c>
      <c r="AD21" s="80">
        <f>(SUM(Data!CW21:DC21)*2+Data!DD21)/('Useful Constants'!$B$1*1000000)*$K21/100</f>
        <v>0.25433833369405195</v>
      </c>
      <c r="AE21" s="80">
        <f>(SUM(Data!CX21:DD21)*2+Data!DE21)/('Useful Constants'!$B$1*1000000)*$K21/100</f>
        <v>0.23126765778121808</v>
      </c>
      <c r="AF21" s="80">
        <f>(SUM(Data!CY21:DE21)*2+Data!DF21)/('Useful Constants'!$B$1*1000000)*$K21/100</f>
        <v>0.20818356086168524</v>
      </c>
      <c r="AG21" s="80">
        <f>(SUM(Data!CZ21:DF21)*2+Data!DG21)/('Useful Constants'!$B$1*1000000)*$K21/100</f>
        <v>0.20101047419287646</v>
      </c>
      <c r="AH21" s="48">
        <f>Z21*'Useful Constants'!$B$3</f>
        <v>59.932733277975856</v>
      </c>
      <c r="AI21" s="48">
        <f>AA21*'Useful Constants'!$B$3</f>
        <v>47.945612640096527</v>
      </c>
      <c r="AJ21" s="48">
        <f>AB21*'Useful Constants'!$B$3</f>
        <v>36.002155618927922</v>
      </c>
      <c r="AK21" s="48">
        <f>AC21*'Useful Constants'!$B$3</f>
        <v>28.382105529460738</v>
      </c>
      <c r="AL21" s="48">
        <f>AD21*'Useful Constants'!$B$3</f>
        <v>21.364420030300366</v>
      </c>
      <c r="AM21" s="48">
        <f>AE21*'Useful Constants'!$B$3</f>
        <v>19.426483253622319</v>
      </c>
      <c r="AN21" s="48">
        <f>AF21*'Useful Constants'!$B$3</f>
        <v>17.487419112381559</v>
      </c>
      <c r="AO21" s="48">
        <f>AG21*'Useful Constants'!$B$3</f>
        <v>16.884879832201623</v>
      </c>
      <c r="AP21" s="10">
        <f>Z21*'Useful Constants'!$B$4</f>
        <v>19.977577759325285</v>
      </c>
      <c r="AQ21" s="10">
        <f>AA21*'Useful Constants'!$B$4</f>
        <v>15.981870880032176</v>
      </c>
      <c r="AR21" s="10">
        <f>AB21*'Useful Constants'!$B$4</f>
        <v>12.000718539642641</v>
      </c>
      <c r="AS21" s="10">
        <f>AC21*'Useful Constants'!$B$4</f>
        <v>9.4607018431535792</v>
      </c>
      <c r="AT21" s="10">
        <f>AD21*'Useful Constants'!$B$4</f>
        <v>7.121473343433455</v>
      </c>
      <c r="AU21" s="10">
        <f>AE21*'Useful Constants'!$B$4</f>
        <v>6.4754944178741063</v>
      </c>
      <c r="AV21" s="10">
        <f>AF21*'Useful Constants'!$B$4</f>
        <v>5.8291397041271864</v>
      </c>
      <c r="AW21" s="10">
        <f>AG21*'Useful Constants'!$B$4</f>
        <v>5.628293277400541</v>
      </c>
      <c r="AX21" s="48">
        <f>P21/1000000/'Useful Constants'!$B$1*K21/100*'Useful Constants'!$B$3*15</f>
        <v>9528.462627143228</v>
      </c>
      <c r="AY21" s="48">
        <f>P21/1000000/'Useful Constants'!$B$1*L21/100*'Useful Constants'!$B$3*15</f>
        <v>5293.5903484129049</v>
      </c>
      <c r="AZ21" s="48">
        <f>P21/1000000/'Useful Constants'!$B$1*K21/100*'Useful Constants'!$B$4*15</f>
        <v>3176.1542090477428</v>
      </c>
      <c r="BA21" s="48">
        <f>P21/1000000/'Useful Constants'!$B$1*L21/100*'Useful Constants'!$B$4*15</f>
        <v>1764.5301161376351</v>
      </c>
      <c r="BB21" s="7">
        <f>Data!AN21</f>
        <v>4995.05555</v>
      </c>
      <c r="BC21" s="7">
        <f>Data!AQ21</f>
        <v>4995.05555</v>
      </c>
      <c r="BD21" s="7">
        <f>Data!AT21</f>
        <v>6905.1655300000002</v>
      </c>
      <c r="BE21" s="6">
        <f>Data!AO21</f>
        <v>34579211464.970802</v>
      </c>
      <c r="BF21" s="6">
        <f>Data!AP21</f>
        <v>11304680171.4886</v>
      </c>
      <c r="BG21" s="6">
        <f>Data!AR21</f>
        <v>4146193979.8331399</v>
      </c>
      <c r="BH21" s="6">
        <f>Data!AS21</f>
        <v>4146193979.8331399</v>
      </c>
      <c r="BI21" s="8">
        <f t="shared" si="0"/>
        <v>0.89293349076118034</v>
      </c>
      <c r="BJ21" s="8">
        <f t="shared" si="1"/>
        <v>0.73165311300665437</v>
      </c>
      <c r="BK21" s="13">
        <f>BB21*'Useful Constants'!$B$5/'Useful Constants'!$B$6*'Useful Constants'!$B$7</f>
        <v>1.2782347152450002</v>
      </c>
      <c r="BL21" s="52">
        <f>1-VLOOKUP($G21,'Useful Constants'!$A$17:$X$23,10,FALSE)</f>
        <v>0</v>
      </c>
      <c r="BM21" s="52">
        <f>1-VLOOKUP($G21,'Useful Constants'!$A$17:$X$23,12,FALSE)</f>
        <v>0</v>
      </c>
      <c r="BN21" s="52">
        <f>1-VLOOKUP($G21,'Useful Constants'!$A$17:$X$23,14,FALSE)</f>
        <v>0</v>
      </c>
      <c r="BO21" s="52">
        <f>1-VLOOKUP($G21,'Useful Constants'!$A$17:$X$23,16,FALSE)</f>
        <v>0</v>
      </c>
      <c r="BP21" s="52">
        <f>1-VLOOKUP($G21,'Useful Constants'!$A$17:$X$23,18,FALSE)</f>
        <v>0</v>
      </c>
      <c r="BQ21" s="52">
        <f>1-VLOOKUP($G21,'Useful Constants'!$A$17:$X$23,20, FALSE)</f>
        <v>0</v>
      </c>
      <c r="BR21" s="52">
        <f>1-VLOOKUP($G21,'Useful Constants'!$A$17:$X$23,22, FALSE)</f>
        <v>0</v>
      </c>
      <c r="BS21" s="52">
        <f>1-VLOOKUP($G21,'Useful Constants'!$A$17:$X$23,24, FALSE)</f>
        <v>0</v>
      </c>
      <c r="BT21" s="13">
        <f t="shared" si="2"/>
        <v>0</v>
      </c>
      <c r="BU21" s="13">
        <f t="shared" si="3"/>
        <v>0</v>
      </c>
      <c r="BV21" s="13">
        <f t="shared" si="4"/>
        <v>0</v>
      </c>
      <c r="BW21" s="13">
        <f t="shared" si="5"/>
        <v>0</v>
      </c>
      <c r="BX21" s="13">
        <f t="shared" si="6"/>
        <v>0</v>
      </c>
      <c r="BY21" s="13">
        <f t="shared" si="7"/>
        <v>0</v>
      </c>
      <c r="BZ21" s="13">
        <f t="shared" si="8"/>
        <v>0</v>
      </c>
      <c r="CA21" s="13">
        <f t="shared" si="9"/>
        <v>0</v>
      </c>
      <c r="CB21" s="59">
        <f>+SUM(Data!BM21:BS21)*2+Data!BT21</f>
        <v>1668.6847324796172</v>
      </c>
      <c r="CC21" s="59">
        <f>+SUM(Data!BN21:BT21)*2+Data!BU21</f>
        <v>1735.5103656600386</v>
      </c>
      <c r="CD21" s="59">
        <f>+SUM(Data!BO21:BU21)*2+Data!BV21</f>
        <v>1535.2860291168113</v>
      </c>
      <c r="CE21" s="59">
        <f>+SUM(Data!BP21:BV21)*2+Data!BW21</f>
        <v>1456.1894126249879</v>
      </c>
      <c r="CF21" s="59">
        <f>+SUM(Data!BQ21:BW21)*2+Data!BX21</f>
        <v>1540.2657673730778</v>
      </c>
      <c r="CG21" s="59">
        <f>+SUM(Data!BR21:BX21)*2+Data!BY21</f>
        <v>1459.8359789572171</v>
      </c>
      <c r="CH21" s="59">
        <f>+SUM(Data!BS21:BY21)*2+Data!BZ21</f>
        <v>1378.9460088596015</v>
      </c>
      <c r="CI21" s="59">
        <f>+SUM(Data!BT21:BZ21)*2+Data!CA21</f>
        <v>1118.9123477650703</v>
      </c>
      <c r="CJ21" s="13">
        <f>+SUM(Data!AW21:BC21)*2+Data!BD21</f>
        <v>9502.3448595685586</v>
      </c>
      <c r="CK21" s="13">
        <f>+SUM(Data!AX21:BD21)*2+Data!BE21</f>
        <v>9886.8367129314356</v>
      </c>
      <c r="CL21" s="13">
        <f>+SUM(Data!AY21:BE21)*2+Data!BF21</f>
        <v>8695.6107448694274</v>
      </c>
      <c r="CM21" s="13">
        <f>+SUM(Data!AZ21:BF21)*2+Data!BG21</f>
        <v>8272.6691724259399</v>
      </c>
      <c r="CN21" s="13">
        <f>+SUM(Data!BA21:BG21)*2+Data!BH21</f>
        <v>8747.7315319741847</v>
      </c>
      <c r="CO21" s="13">
        <f>+SUM(Data!BB21:BH21)*2+Data!BI21</f>
        <v>8294.0018166551581</v>
      </c>
      <c r="CP21" s="13">
        <f>+SUM(Data!BC21:BI21)*2+Data!BJ21</f>
        <v>7847.8375552970119</v>
      </c>
      <c r="CQ21" s="13">
        <f>+SUM(Data!BD21:BJ21)*2+Data!BK21</f>
        <v>6356.8511282808504</v>
      </c>
      <c r="CR21" s="59">
        <f>+SUM(Data!CC21:CI21)*2+Data!CJ21</f>
        <v>3611.8554808796766</v>
      </c>
      <c r="CS21" s="59">
        <f>+SUM(Data!CD21:CJ21)*2+Data!CK21</f>
        <v>3746.9404503137644</v>
      </c>
      <c r="CT21" s="59">
        <f>+SUM(Data!CE21:CK21)*2+Data!CL21</f>
        <v>3260.7801407645188</v>
      </c>
      <c r="CU21" s="59">
        <f>+SUM(Data!CF21:CL21)*2+Data!CM21</f>
        <v>3187.1097546419592</v>
      </c>
      <c r="CV21" s="59">
        <f>+SUM(Data!CG21:CM21)*2+Data!CN21</f>
        <v>3375.9326935218173</v>
      </c>
      <c r="CW21" s="59">
        <f>+SUM(Data!CH21:CN21)*2+Data!CO21</f>
        <v>3266.4404481652123</v>
      </c>
      <c r="CX21" s="59">
        <f>+SUM(Data!CI21:CO21)*2+Data!CP21</f>
        <v>3113.6335402874352</v>
      </c>
      <c r="CY21" s="59">
        <f>+SUM(Data!CJ21:CP21)*2+Data!CQ21</f>
        <v>2430.5979790888919</v>
      </c>
      <c r="CZ21" s="60">
        <f t="shared" si="10"/>
        <v>14782.885072927853</v>
      </c>
      <c r="DA21" s="60">
        <f t="shared" si="11"/>
        <v>15369.287528905239</v>
      </c>
      <c r="DB21" s="60">
        <f t="shared" si="12"/>
        <v>13491.676914750757</v>
      </c>
      <c r="DC21" s="60">
        <f t="shared" si="13"/>
        <v>12915.968339692887</v>
      </c>
      <c r="DD21" s="60">
        <f t="shared" si="14"/>
        <v>13663.92999286908</v>
      </c>
      <c r="DE21" s="60">
        <f t="shared" si="15"/>
        <v>13020.278243777588</v>
      </c>
      <c r="DF21" s="60">
        <f t="shared" si="16"/>
        <v>12340.417104444048</v>
      </c>
      <c r="DG21" s="60">
        <f t="shared" si="17"/>
        <v>9906.3614551348128</v>
      </c>
      <c r="DH21" s="13">
        <f t="shared" si="18"/>
        <v>0</v>
      </c>
      <c r="DI21" s="13">
        <f t="shared" si="19"/>
        <v>0</v>
      </c>
      <c r="DJ21" s="13">
        <f t="shared" si="20"/>
        <v>0</v>
      </c>
      <c r="DK21" s="13">
        <f t="shared" si="21"/>
        <v>0</v>
      </c>
      <c r="DL21" s="13">
        <f t="shared" si="22"/>
        <v>0</v>
      </c>
      <c r="DM21" s="13">
        <f t="shared" si="23"/>
        <v>0</v>
      </c>
      <c r="DN21" s="13">
        <f t="shared" si="24"/>
        <v>0</v>
      </c>
      <c r="DO21" s="13">
        <f t="shared" si="25"/>
        <v>0</v>
      </c>
      <c r="DP21" s="50">
        <f>DH21*'Useful Constants'!$B$8</f>
        <v>0</v>
      </c>
      <c r="DQ21" s="50">
        <f>DI21*'Useful Constants'!$B$8</f>
        <v>0</v>
      </c>
      <c r="DR21" s="50">
        <f>DJ21*'Useful Constants'!$B$10</f>
        <v>0</v>
      </c>
      <c r="DS21" s="50">
        <f>DK21*'Useful Constants'!$B$10</f>
        <v>0</v>
      </c>
      <c r="DT21" s="50">
        <f>DL21*'Useful Constants'!$B$10</f>
        <v>0</v>
      </c>
      <c r="DU21" s="50">
        <f>DM21*'Useful Constants'!$B$10</f>
        <v>0</v>
      </c>
      <c r="DV21" s="50">
        <f>DN21*'Useful Constants'!$B$10</f>
        <v>0</v>
      </c>
      <c r="DW21" s="50">
        <f>DO21*'Useful Constants'!$B$10</f>
        <v>0</v>
      </c>
      <c r="DX21" s="14">
        <f>DH21*'Useful Constants'!$B$9</f>
        <v>0</v>
      </c>
      <c r="DY21" s="14">
        <f>DI21*'Useful Constants'!$B$9</f>
        <v>0</v>
      </c>
      <c r="DZ21" s="14">
        <f>DJ21*'Useful Constants'!$B$11</f>
        <v>0</v>
      </c>
      <c r="EA21" s="14">
        <f>DK21*'Useful Constants'!$B$11</f>
        <v>0</v>
      </c>
      <c r="EB21" s="14">
        <f>DL21*'Useful Constants'!$B$11</f>
        <v>0</v>
      </c>
      <c r="EC21" s="14">
        <f>DM21*'Useful Constants'!$B$11</f>
        <v>0</v>
      </c>
      <c r="ED21" s="14">
        <f>DN21*'Useful Constants'!$B$11</f>
        <v>0</v>
      </c>
      <c r="EE21" s="14">
        <f>DO21*'Useful Constants'!$B$11</f>
        <v>0</v>
      </c>
      <c r="EF21" s="78">
        <f>(SUM(Data!DI21:DO21)*2+Data!DP21)/('Useful Constants'!$B$1*1000000)*$K21/100</f>
        <v>39.000337400423739</v>
      </c>
      <c r="EG21" s="78">
        <f>(SUM(Data!DJ21:DP21)*2+Data!DQ21)/('Useful Constants'!$B$1*1000000)*$K21/100</f>
        <v>31.719369980150724</v>
      </c>
      <c r="EH21" s="78">
        <f>(SUM(Data!DK21:DQ21)*2+Data!DR21)/('Useful Constants'!$B$1*1000000)*$K21/100</f>
        <v>24.155660713007343</v>
      </c>
      <c r="EI21" s="78">
        <f>(SUM(Data!DL21:DR21)*2+Data!DS21)/('Useful Constants'!$B$1*1000000)*$K21/100</f>
        <v>19.171326754663617</v>
      </c>
      <c r="EJ21" s="78">
        <f>(SUM(Data!DM21:DS21)*2+Data!DT21)/('Useful Constants'!$B$1*1000000)*$K21/100</f>
        <v>14.47039991761428</v>
      </c>
      <c r="EK21" s="78">
        <f>(SUM(Data!DN21:DT21)*2+Data!DU21)/('Useful Constants'!$B$1*1000000)*$K21/100</f>
        <v>13.284394236238938</v>
      </c>
      <c r="EL21" s="78">
        <f>(SUM(Data!DO21:DU21)*2+Data!DV21)/('Useful Constants'!$B$1*1000000)*$K21/100</f>
        <v>12.134762980392809</v>
      </c>
      <c r="EM21" s="78">
        <f>(SUM(Data!DP21:DV21)*2+Data!DW21)/('Useful Constants'!$B$1*1000000)*$K21/100</f>
        <v>11.764202945923955</v>
      </c>
      <c r="EN21" s="79">
        <f>EF21*'Useful Constants'!$B$3</f>
        <v>3276.0283416355942</v>
      </c>
      <c r="EO21" s="79">
        <f>EG21*'Useful Constants'!$B$3</f>
        <v>2664.4270783326606</v>
      </c>
      <c r="EP21" s="79">
        <f>EH21*'Useful Constants'!$B$3</f>
        <v>2029.0754998926168</v>
      </c>
      <c r="EQ21" s="79">
        <f>EI21*'Useful Constants'!$B$3</f>
        <v>1610.3914473917439</v>
      </c>
      <c r="ER21" s="79">
        <f>EJ21*'Useful Constants'!$B$3</f>
        <v>1215.5135930795996</v>
      </c>
      <c r="ES21" s="79">
        <f>EK21*'Useful Constants'!$B$3</f>
        <v>1115.8891158440708</v>
      </c>
      <c r="ET21" s="79">
        <f>EL21*'Useful Constants'!$B$3</f>
        <v>1019.320090352996</v>
      </c>
      <c r="EU21" s="79">
        <f>EM21*'Useful Constants'!$B$3</f>
        <v>988.19304745761224</v>
      </c>
      <c r="EV21" s="78">
        <f>EF21*'Useful Constants'!$B$4</f>
        <v>1092.0094472118647</v>
      </c>
      <c r="EW21" s="78">
        <f>EG21*'Useful Constants'!$B$4</f>
        <v>888.14235944422023</v>
      </c>
      <c r="EX21" s="78">
        <f>EH21*'Useful Constants'!$B$4</f>
        <v>676.35849996420563</v>
      </c>
      <c r="EY21" s="78">
        <f>EI21*'Useful Constants'!$B$4</f>
        <v>536.79714913058126</v>
      </c>
      <c r="EZ21" s="78">
        <f>EJ21*'Useful Constants'!$B$4</f>
        <v>405.17119769319982</v>
      </c>
      <c r="FA21" s="78">
        <f>EK21*'Useful Constants'!$B$4</f>
        <v>371.96303861469028</v>
      </c>
      <c r="FB21" s="78">
        <f>EL21*'Useful Constants'!$B$4</f>
        <v>339.77336345099866</v>
      </c>
      <c r="FC21" s="78">
        <f>EM21*'Useful Constants'!$B$4</f>
        <v>329.39768248587075</v>
      </c>
      <c r="FD21" s="40">
        <f t="shared" si="26"/>
        <v>0.53770544326693714</v>
      </c>
      <c r="FE21" s="40">
        <f t="shared" si="27"/>
        <v>0.51953441046690529</v>
      </c>
      <c r="FF21" s="40">
        <f t="shared" si="28"/>
        <v>0.57779557862570385</v>
      </c>
      <c r="FG21" s="40">
        <f t="shared" si="29"/>
        <v>0.59564533638342299</v>
      </c>
      <c r="FH21" s="40">
        <f t="shared" si="30"/>
        <v>0.57241719984576933</v>
      </c>
      <c r="FI21" s="40">
        <f t="shared" si="31"/>
        <v>0.59239017958285844</v>
      </c>
      <c r="FJ21" s="40">
        <f t="shared" si="32"/>
        <v>0.61350979387847826</v>
      </c>
      <c r="FK21" s="40">
        <f t="shared" si="33"/>
        <v>0.68931802390232455</v>
      </c>
      <c r="FL21" s="4">
        <f t="shared" si="34"/>
        <v>0.61461315434638653</v>
      </c>
      <c r="FM21" s="4">
        <f t="shared" si="35"/>
        <v>0.61514380480289466</v>
      </c>
      <c r="FN21" s="4">
        <f t="shared" si="36"/>
        <v>0.66845473660698873</v>
      </c>
      <c r="FO21" s="4">
        <f t="shared" si="37"/>
        <v>0.68955869182265328</v>
      </c>
      <c r="FP21" s="4">
        <f t="shared" si="38"/>
        <v>0.68206070727119938</v>
      </c>
      <c r="FQ21" s="4">
        <f t="shared" si="39"/>
        <v>0.69784490089675788</v>
      </c>
      <c r="FR21" s="4">
        <f t="shared" si="40"/>
        <v>0.71434621510572971</v>
      </c>
      <c r="FS21" s="4">
        <f t="shared" si="41"/>
        <v>0.76683569737411805</v>
      </c>
      <c r="FT21" s="38">
        <f t="shared" si="42"/>
        <v>0.57022702184346785</v>
      </c>
      <c r="FU21" s="38">
        <f t="shared" si="43"/>
        <v>0.55995573141190746</v>
      </c>
      <c r="FV21" s="38">
        <f t="shared" si="44"/>
        <v>0.61612566622268272</v>
      </c>
      <c r="FW21" s="38">
        <f t="shared" si="45"/>
        <v>0.63535053755978732</v>
      </c>
      <c r="FX21" s="38">
        <f t="shared" si="46"/>
        <v>0.61876513688704704</v>
      </c>
      <c r="FY21" s="38">
        <f t="shared" si="47"/>
        <v>0.63696976777462178</v>
      </c>
      <c r="FZ21" s="38">
        <f t="shared" si="48"/>
        <v>0.65613934942265217</v>
      </c>
      <c r="GA21" s="38">
        <f t="shared" si="49"/>
        <v>0.72209731622415729</v>
      </c>
    </row>
    <row r="22" spans="1:183" x14ac:dyDescent="0.25">
      <c r="A22" s="1" t="str">
        <f>Data!A22</f>
        <v>FL_JACKSONVILLE-IAP_722060_TY3A</v>
      </c>
      <c r="B22" s="1" t="str">
        <f>TY3A_REP_CITIES!B22</f>
        <v>Jacksonville</v>
      </c>
      <c r="C22" s="1" t="str">
        <f>TY3A_REP_CITIES!C22</f>
        <v>Duval</v>
      </c>
      <c r="D22" s="2" t="str">
        <f>TY3A_REP_CITIES!A22</f>
        <v>FL</v>
      </c>
      <c r="E22" s="42">
        <f>TY3A_REP_CITIES!E22</f>
        <v>957755</v>
      </c>
      <c r="F22" s="2">
        <f>TY3A_REP_CITIES!G22</f>
        <v>2</v>
      </c>
      <c r="G22" s="2" t="str">
        <f>TY3A_REP_CITIES!H22</f>
        <v>Hot-Humid</v>
      </c>
      <c r="H22" s="2" t="str">
        <f>TY3A_REP_CITIES!I22</f>
        <v>Southeast</v>
      </c>
      <c r="I22" s="2">
        <f>Data!B22</f>
        <v>30.5</v>
      </c>
      <c r="J22" s="2">
        <f>Data!C22</f>
        <v>-81.7</v>
      </c>
      <c r="K22" s="2">
        <f>VLOOKUP(D22,Table1[],2,FALSE)</f>
        <v>1</v>
      </c>
      <c r="L22" s="2">
        <v>0.5</v>
      </c>
      <c r="M22" s="10">
        <f>Data!N22</f>
        <v>5606.2789700000003</v>
      </c>
      <c r="N22" s="10">
        <f>Data!Q22</f>
        <v>29308</v>
      </c>
      <c r="O22" s="10">
        <f>Data!O22</f>
        <v>4105322165.2246699</v>
      </c>
      <c r="P22" s="10">
        <f>Data!P22</f>
        <v>4276377255.4423666</v>
      </c>
      <c r="Q22" s="10">
        <f>Data!S22*15</f>
        <v>3226.5864161642003</v>
      </c>
      <c r="R22" s="48">
        <f>SUM(Data!U22:AA22)*2+Data!AB22</f>
        <v>56.665008880959178</v>
      </c>
      <c r="S22" s="48">
        <f>SUM(Data!V22:AB22)*2+Data!AC22</f>
        <v>50.812622603008556</v>
      </c>
      <c r="T22" s="48">
        <f>SUM(Data!W22:AC22)*2+Data!AD22</f>
        <v>43.506989068085652</v>
      </c>
      <c r="U22" s="48">
        <f>SUM(Data!X22:AD22)*2+Data!AE22</f>
        <v>38.996875753250308</v>
      </c>
      <c r="V22" s="48">
        <f>SUM(Data!Y22:AE22)*2+Data!AF22</f>
        <v>39.259942581558597</v>
      </c>
      <c r="W22" s="48">
        <f>SUM(Data!Z22:AF22)*2+Data!AG22</f>
        <v>40.755640220118998</v>
      </c>
      <c r="X22" s="48">
        <f>SUM(Data!AA22:AG22)*2+Data!AH22</f>
        <v>36.837145026525057</v>
      </c>
      <c r="Y22" s="48">
        <f>SUM(Data!AB22:AH22)*2+Data!AI22</f>
        <v>34.302231334728852</v>
      </c>
      <c r="Z22" s="80">
        <f>(SUM(Data!CS22:CY22)*2+Data!CZ22)/('Useful Constants'!$B$1*1000000)*$K22/100</f>
        <v>0.11737871971144562</v>
      </c>
      <c r="AA22" s="80">
        <f>(SUM(Data!CT22:CZ22)*2+Data!DA22)/('Useful Constants'!$B$1*1000000)*$K22/100</f>
        <v>0.10878780897279111</v>
      </c>
      <c r="AB22" s="80">
        <f>(SUM(Data!CU22:DA22)*2+Data!DB22)/('Useful Constants'!$B$1*1000000)*$K22/100</f>
        <v>0.10096169025271078</v>
      </c>
      <c r="AC22" s="80">
        <f>(SUM(Data!CV22:DB22)*2+Data!DC22)/('Useful Constants'!$B$1*1000000)*$K22/100</f>
        <v>9.4888970498466549E-2</v>
      </c>
      <c r="AD22" s="80">
        <f>(SUM(Data!CW22:DC22)*2+Data!DD22)/('Useful Constants'!$B$1*1000000)*$K22/100</f>
        <v>9.0751001093487951E-2</v>
      </c>
      <c r="AE22" s="80">
        <f>(SUM(Data!CX22:DD22)*2+Data!DE22)/('Useful Constants'!$B$1*1000000)*$K22/100</f>
        <v>8.7944716797268327E-2</v>
      </c>
      <c r="AF22" s="80">
        <f>(SUM(Data!CY22:DE22)*2+Data!DF22)/('Useful Constants'!$B$1*1000000)*$K22/100</f>
        <v>8.533392915466459E-2</v>
      </c>
      <c r="AG22" s="80">
        <f>(SUM(Data!CZ22:DF22)*2+Data!DG22)/('Useful Constants'!$B$1*1000000)*$K22/100</f>
        <v>8.2764198251787824E-2</v>
      </c>
      <c r="AH22" s="48">
        <f>Z22*'Useful Constants'!$B$3</f>
        <v>9.8598124557614319</v>
      </c>
      <c r="AI22" s="48">
        <f>AA22*'Useful Constants'!$B$3</f>
        <v>9.1381759537144536</v>
      </c>
      <c r="AJ22" s="48">
        <f>AB22*'Useful Constants'!$B$3</f>
        <v>8.4807819812277057</v>
      </c>
      <c r="AK22" s="48">
        <f>AC22*'Useful Constants'!$B$3</f>
        <v>7.9706735218711904</v>
      </c>
      <c r="AL22" s="48">
        <f>AD22*'Useful Constants'!$B$3</f>
        <v>7.6230840918529879</v>
      </c>
      <c r="AM22" s="48">
        <f>AE22*'Useful Constants'!$B$3</f>
        <v>7.3873562109705393</v>
      </c>
      <c r="AN22" s="48">
        <f>AF22*'Useful Constants'!$B$3</f>
        <v>7.1680500489918257</v>
      </c>
      <c r="AO22" s="48">
        <f>AG22*'Useful Constants'!$B$3</f>
        <v>6.9521926531501776</v>
      </c>
      <c r="AP22" s="10">
        <f>Z22*'Useful Constants'!$B$4</f>
        <v>3.2866041519204772</v>
      </c>
      <c r="AQ22" s="10">
        <f>AA22*'Useful Constants'!$B$4</f>
        <v>3.0460586512381509</v>
      </c>
      <c r="AR22" s="10">
        <f>AB22*'Useful Constants'!$B$4</f>
        <v>2.8269273270759019</v>
      </c>
      <c r="AS22" s="10">
        <f>AC22*'Useful Constants'!$B$4</f>
        <v>2.6568911739570633</v>
      </c>
      <c r="AT22" s="10">
        <f>AD22*'Useful Constants'!$B$4</f>
        <v>2.5410280306176625</v>
      </c>
      <c r="AU22" s="10">
        <f>AE22*'Useful Constants'!$B$4</f>
        <v>2.4624520703235131</v>
      </c>
      <c r="AV22" s="10">
        <f>AF22*'Useful Constants'!$B$4</f>
        <v>2.3893500163306083</v>
      </c>
      <c r="AW22" s="10">
        <f>AG22*'Useful Constants'!$B$4</f>
        <v>2.3173975510500591</v>
      </c>
      <c r="AX22" s="48">
        <f>P22/1000000/'Useful Constants'!$B$1*K22/100*'Useful Constants'!$B$3*15</f>
        <v>1077.6470683714765</v>
      </c>
      <c r="AY22" s="48">
        <f>P22/1000000/'Useful Constants'!$B$1*L22/100*'Useful Constants'!$B$3*15</f>
        <v>538.82353418573825</v>
      </c>
      <c r="AZ22" s="48">
        <f>P22/1000000/'Useful Constants'!$B$1*K22/100*'Useful Constants'!$B$4*15</f>
        <v>359.21568945715882</v>
      </c>
      <c r="BA22" s="48">
        <f>P22/1000000/'Useful Constants'!$B$1*L22/100*'Useful Constants'!$B$4*15</f>
        <v>179.60784472857941</v>
      </c>
      <c r="BB22" s="7">
        <f>Data!AN22</f>
        <v>5606.2789700000003</v>
      </c>
      <c r="BC22" s="7">
        <f>Data!AQ22</f>
        <v>5606.2789700000003</v>
      </c>
      <c r="BD22" s="7">
        <f>Data!AT22</f>
        <v>4009.2135800000001</v>
      </c>
      <c r="BE22" s="6">
        <f>Data!AO22</f>
        <v>3877018528.3759699</v>
      </c>
      <c r="BF22" s="6">
        <f>Data!AP22</f>
        <v>1038499885.2926199</v>
      </c>
      <c r="BG22" s="6">
        <f>Data!AR22</f>
        <v>69500868.6594055</v>
      </c>
      <c r="BH22" s="6">
        <f>Data!AS22</f>
        <v>69500868.6594055</v>
      </c>
      <c r="BI22" s="8">
        <f t="shared" si="0"/>
        <v>0.98238932546192104</v>
      </c>
      <c r="BJ22" s="8">
        <f t="shared" si="1"/>
        <v>0.93727362692533445</v>
      </c>
      <c r="BK22" s="13">
        <f>BB22*'Useful Constants'!$B$5/'Useful Constants'!$B$6*'Useful Constants'!$B$7</f>
        <v>1.4346467884230003</v>
      </c>
      <c r="BL22" s="52">
        <f>1-VLOOKUP($G22,'Useful Constants'!$A$17:$X$23,10,FALSE)</f>
        <v>0</v>
      </c>
      <c r="BM22" s="52">
        <f>1-VLOOKUP($G22,'Useful Constants'!$A$17:$X$23,12,FALSE)</f>
        <v>0</v>
      </c>
      <c r="BN22" s="52">
        <f>1-VLOOKUP($G22,'Useful Constants'!$A$17:$X$23,14,FALSE)</f>
        <v>0</v>
      </c>
      <c r="BO22" s="52">
        <f>1-VLOOKUP($G22,'Useful Constants'!$A$17:$X$23,16,FALSE)</f>
        <v>0</v>
      </c>
      <c r="BP22" s="52">
        <f>1-VLOOKUP($G22,'Useful Constants'!$A$17:$X$23,18,FALSE)</f>
        <v>0</v>
      </c>
      <c r="BQ22" s="52">
        <f>1-VLOOKUP($G22,'Useful Constants'!$A$17:$X$23,20, FALSE)</f>
        <v>0</v>
      </c>
      <c r="BR22" s="52">
        <f>1-VLOOKUP($G22,'Useful Constants'!$A$17:$X$23,22, FALSE)</f>
        <v>0</v>
      </c>
      <c r="BS22" s="52">
        <f>1-VLOOKUP($G22,'Useful Constants'!$A$17:$X$23,24, FALSE)</f>
        <v>0</v>
      </c>
      <c r="BT22" s="13">
        <f t="shared" si="2"/>
        <v>0</v>
      </c>
      <c r="BU22" s="13">
        <f t="shared" si="3"/>
        <v>0</v>
      </c>
      <c r="BV22" s="13">
        <f t="shared" si="4"/>
        <v>0</v>
      </c>
      <c r="BW22" s="13">
        <f t="shared" si="5"/>
        <v>0</v>
      </c>
      <c r="BX22" s="13">
        <f t="shared" si="6"/>
        <v>0</v>
      </c>
      <c r="BY22" s="13">
        <f t="shared" si="7"/>
        <v>0</v>
      </c>
      <c r="BZ22" s="13">
        <f t="shared" si="8"/>
        <v>0</v>
      </c>
      <c r="CA22" s="13">
        <f t="shared" si="9"/>
        <v>0</v>
      </c>
      <c r="CB22" s="59">
        <f>+SUM(Data!BM22:BS22)*2+Data!BT22</f>
        <v>307.91472923999351</v>
      </c>
      <c r="CC22" s="59">
        <f>+SUM(Data!BN22:BT22)*2+Data!BU22</f>
        <v>276.41000078978209</v>
      </c>
      <c r="CD22" s="59">
        <f>+SUM(Data!BO22:BU22)*2+Data!BV22</f>
        <v>237.07483872656823</v>
      </c>
      <c r="CE22" s="59">
        <f>+SUM(Data!BP22:BV22)*2+Data!BW22</f>
        <v>212.3968446909459</v>
      </c>
      <c r="CF22" s="59">
        <f>+SUM(Data!BQ22:BW22)*2+Data!BX22</f>
        <v>213.51361110654051</v>
      </c>
      <c r="CG22" s="59">
        <f>+SUM(Data!BR22:BX22)*2+Data!BY22</f>
        <v>221.44702628760609</v>
      </c>
      <c r="CH22" s="59">
        <f>+SUM(Data!BS22:BY22)*2+Data!BZ22</f>
        <v>200.3156127817748</v>
      </c>
      <c r="CI22" s="59">
        <f>+SUM(Data!BT22:BZ22)*2+Data!CA22</f>
        <v>186.43473444456077</v>
      </c>
      <c r="CJ22" s="13">
        <f>+SUM(Data!AW22:BC22)*2+Data!BD22</f>
        <v>1612.5453249401128</v>
      </c>
      <c r="CK22" s="13">
        <f>+SUM(Data!AX22:BD22)*2+Data!BE22</f>
        <v>1453.8797188499652</v>
      </c>
      <c r="CL22" s="13">
        <f>+SUM(Data!AY22:BE22)*2+Data!BF22</f>
        <v>1256.0941623160115</v>
      </c>
      <c r="CM22" s="13">
        <f>+SUM(Data!AZ22:BF22)*2+Data!BG22</f>
        <v>1124.7804442029801</v>
      </c>
      <c r="CN22" s="13">
        <f>+SUM(Data!BA22:BG22)*2+Data!BH22</f>
        <v>1124.6706599751517</v>
      </c>
      <c r="CO22" s="13">
        <f>+SUM(Data!BB22:BH22)*2+Data!BI22</f>
        <v>1159.7450120068515</v>
      </c>
      <c r="CP22" s="13">
        <f>+SUM(Data!BC22:BI22)*2+Data!BJ22</f>
        <v>1053.1474261923572</v>
      </c>
      <c r="CQ22" s="13">
        <f>+SUM(Data!BD22:BJ22)*2+Data!BK22</f>
        <v>982.48349475183568</v>
      </c>
      <c r="CR22" s="59">
        <f>+SUM(Data!CC22:CI22)*2+Data!CJ22</f>
        <v>113.47470784112632</v>
      </c>
      <c r="CS22" s="59">
        <f>+SUM(Data!CD22:CJ22)*2+Data!CK22</f>
        <v>102.42250985137454</v>
      </c>
      <c r="CT22" s="59">
        <f>+SUM(Data!CE22:CK22)*2+Data!CL22</f>
        <v>89.142181136346451</v>
      </c>
      <c r="CU22" s="59">
        <f>+SUM(Data!CF22:CL22)*2+Data!CM22</f>
        <v>77.825886522160729</v>
      </c>
      <c r="CV22" s="59">
        <f>+SUM(Data!CG22:CM22)*2+Data!CN22</f>
        <v>79.248512500827673</v>
      </c>
      <c r="CW22" s="59">
        <f>+SUM(Data!CH22:CN22)*2+Data!CO22</f>
        <v>83.218392830296622</v>
      </c>
      <c r="CX22" s="59">
        <f>+SUM(Data!CI22:CO22)*2+Data!CP22</f>
        <v>76.253610490888761</v>
      </c>
      <c r="CY22" s="59">
        <f>+SUM(Data!CJ22:CP22)*2+Data!CQ22</f>
        <v>71.882267211636005</v>
      </c>
      <c r="CZ22" s="60">
        <f t="shared" si="10"/>
        <v>2033.9347620212325</v>
      </c>
      <c r="DA22" s="60">
        <f t="shared" si="11"/>
        <v>1832.7122294911219</v>
      </c>
      <c r="DB22" s="60">
        <f t="shared" si="12"/>
        <v>1582.3111821789262</v>
      </c>
      <c r="DC22" s="60">
        <f t="shared" si="13"/>
        <v>1415.0031754160868</v>
      </c>
      <c r="DD22" s="60">
        <f t="shared" si="14"/>
        <v>1417.43278358252</v>
      </c>
      <c r="DE22" s="60">
        <f t="shared" si="15"/>
        <v>1464.4104311247543</v>
      </c>
      <c r="DF22" s="60">
        <f t="shared" si="16"/>
        <v>1329.7166494650207</v>
      </c>
      <c r="DG22" s="60">
        <f t="shared" si="17"/>
        <v>1240.8004964080324</v>
      </c>
      <c r="DH22" s="13">
        <f t="shared" si="18"/>
        <v>0</v>
      </c>
      <c r="DI22" s="13">
        <f t="shared" si="19"/>
        <v>0</v>
      </c>
      <c r="DJ22" s="13">
        <f t="shared" si="20"/>
        <v>0</v>
      </c>
      <c r="DK22" s="13">
        <f t="shared" si="21"/>
        <v>0</v>
      </c>
      <c r="DL22" s="13">
        <f t="shared" si="22"/>
        <v>0</v>
      </c>
      <c r="DM22" s="13">
        <f t="shared" si="23"/>
        <v>0</v>
      </c>
      <c r="DN22" s="13">
        <f t="shared" si="24"/>
        <v>0</v>
      </c>
      <c r="DO22" s="13">
        <f t="shared" si="25"/>
        <v>0</v>
      </c>
      <c r="DP22" s="50">
        <f>DH22*'Useful Constants'!$B$8</f>
        <v>0</v>
      </c>
      <c r="DQ22" s="50">
        <f>DI22*'Useful Constants'!$B$8</f>
        <v>0</v>
      </c>
      <c r="DR22" s="50">
        <f>DJ22*'Useful Constants'!$B$10</f>
        <v>0</v>
      </c>
      <c r="DS22" s="50">
        <f>DK22*'Useful Constants'!$B$10</f>
        <v>0</v>
      </c>
      <c r="DT22" s="50">
        <f>DL22*'Useful Constants'!$B$10</f>
        <v>0</v>
      </c>
      <c r="DU22" s="50">
        <f>DM22*'Useful Constants'!$B$10</f>
        <v>0</v>
      </c>
      <c r="DV22" s="50">
        <f>DN22*'Useful Constants'!$B$10</f>
        <v>0</v>
      </c>
      <c r="DW22" s="50">
        <f>DO22*'Useful Constants'!$B$10</f>
        <v>0</v>
      </c>
      <c r="DX22" s="14">
        <f>DH22*'Useful Constants'!$B$9</f>
        <v>0</v>
      </c>
      <c r="DY22" s="14">
        <f>DI22*'Useful Constants'!$B$9</f>
        <v>0</v>
      </c>
      <c r="DZ22" s="14">
        <f>DJ22*'Useful Constants'!$B$11</f>
        <v>0</v>
      </c>
      <c r="EA22" s="14">
        <f>DK22*'Useful Constants'!$B$11</f>
        <v>0</v>
      </c>
      <c r="EB22" s="14">
        <f>DL22*'Useful Constants'!$B$11</f>
        <v>0</v>
      </c>
      <c r="EC22" s="14">
        <f>DM22*'Useful Constants'!$B$11</f>
        <v>0</v>
      </c>
      <c r="ED22" s="14">
        <f>DN22*'Useful Constants'!$B$11</f>
        <v>0</v>
      </c>
      <c r="EE22" s="14">
        <f>DO22*'Useful Constants'!$B$11</f>
        <v>0</v>
      </c>
      <c r="EF22" s="78">
        <f>(SUM(Data!DI22:DO22)*2+Data!DP22)/('Useful Constants'!$B$1*1000000)*$K22/100</f>
        <v>4.168563131313836</v>
      </c>
      <c r="EG22" s="78">
        <f>(SUM(Data!DJ22:DP22)*2+Data!DQ22)/('Useful Constants'!$B$1*1000000)*$K22/100</f>
        <v>3.8873546173841218</v>
      </c>
      <c r="EH22" s="78">
        <f>(SUM(Data!DK22:DQ22)*2+Data!DR22)/('Useful Constants'!$B$1*1000000)*$K22/100</f>
        <v>3.6298735221763057</v>
      </c>
      <c r="EI22" s="78">
        <f>(SUM(Data!DL22:DR22)*2+Data!DS22)/('Useful Constants'!$B$1*1000000)*$K22/100</f>
        <v>3.4338082516773403</v>
      </c>
      <c r="EJ22" s="78">
        <f>(SUM(Data!DM22:DS22)*2+Data!DT22)/('Useful Constants'!$B$1*1000000)*$K22/100</f>
        <v>3.3012335699682347</v>
      </c>
      <c r="EK22" s="78">
        <f>(SUM(Data!DN22:DT22)*2+Data!DU22)/('Useful Constants'!$B$1*1000000)*$K22/100</f>
        <v>3.2075475818185293</v>
      </c>
      <c r="EL22" s="78">
        <f>(SUM(Data!DO22:DU22)*2+Data!DV22)/('Useful Constants'!$B$1*1000000)*$K22/100</f>
        <v>3.1179106762730799</v>
      </c>
      <c r="EM22" s="78">
        <f>(SUM(Data!DP22:DV22)*2+Data!DW22)/('Useful Constants'!$B$1*1000000)*$K22/100</f>
        <v>3.0305433902613812</v>
      </c>
      <c r="EN22" s="79">
        <f>EF22*'Useful Constants'!$B$3</f>
        <v>350.15930303036225</v>
      </c>
      <c r="EO22" s="79">
        <f>EG22*'Useful Constants'!$B$3</f>
        <v>326.53778786026623</v>
      </c>
      <c r="EP22" s="79">
        <f>EH22*'Useful Constants'!$B$3</f>
        <v>304.90937586280967</v>
      </c>
      <c r="EQ22" s="79">
        <f>EI22*'Useful Constants'!$B$3</f>
        <v>288.43989314089657</v>
      </c>
      <c r="ER22" s="79">
        <f>EJ22*'Useful Constants'!$B$3</f>
        <v>277.3036198773317</v>
      </c>
      <c r="ES22" s="79">
        <f>EK22*'Useful Constants'!$B$3</f>
        <v>269.43399687275644</v>
      </c>
      <c r="ET22" s="79">
        <f>EL22*'Useful Constants'!$B$3</f>
        <v>261.90449680693871</v>
      </c>
      <c r="EU22" s="79">
        <f>EM22*'Useful Constants'!$B$3</f>
        <v>254.56564478195602</v>
      </c>
      <c r="EV22" s="78">
        <f>EF22*'Useful Constants'!$B$4</f>
        <v>116.71976767678741</v>
      </c>
      <c r="EW22" s="78">
        <f>EG22*'Useful Constants'!$B$4</f>
        <v>108.84592928675541</v>
      </c>
      <c r="EX22" s="78">
        <f>EH22*'Useful Constants'!$B$4</f>
        <v>101.63645862093657</v>
      </c>
      <c r="EY22" s="78">
        <f>EI22*'Useful Constants'!$B$4</f>
        <v>96.146631046965524</v>
      </c>
      <c r="EZ22" s="78">
        <f>EJ22*'Useful Constants'!$B$4</f>
        <v>92.434539959110566</v>
      </c>
      <c r="FA22" s="78">
        <f>EK22*'Useful Constants'!$B$4</f>
        <v>89.811332290918813</v>
      </c>
      <c r="FB22" s="78">
        <f>EL22*'Useful Constants'!$B$4</f>
        <v>87.301498935646237</v>
      </c>
      <c r="FC22" s="78">
        <f>EM22*'Useful Constants'!$B$4</f>
        <v>84.85521492731867</v>
      </c>
      <c r="FD22" s="40">
        <f t="shared" si="26"/>
        <v>0.38051202947600743</v>
      </c>
      <c r="FE22" s="40">
        <f t="shared" si="27"/>
        <v>0.44080284157876143</v>
      </c>
      <c r="FF22" s="40">
        <f t="shared" si="28"/>
        <v>0.51612660982491743</v>
      </c>
      <c r="FG22" s="40">
        <f t="shared" si="29"/>
        <v>0.56669205807173262</v>
      </c>
      <c r="FH22" s="40">
        <f t="shared" si="30"/>
        <v>0.56598301699444253</v>
      </c>
      <c r="FI22" s="40">
        <f t="shared" si="31"/>
        <v>0.55180375796181902</v>
      </c>
      <c r="FJ22" s="40">
        <f t="shared" si="32"/>
        <v>0.59253936103229976</v>
      </c>
      <c r="FK22" s="40">
        <f t="shared" si="33"/>
        <v>0.61949007447411164</v>
      </c>
      <c r="FL22" s="4">
        <f t="shared" si="34"/>
        <v>0.51439977115782953</v>
      </c>
      <c r="FM22" s="4">
        <f t="shared" si="35"/>
        <v>0.55960706206867172</v>
      </c>
      <c r="FN22" s="4">
        <f t="shared" si="36"/>
        <v>0.61446306640840187</v>
      </c>
      <c r="FO22" s="4">
        <f t="shared" si="37"/>
        <v>0.6516493844007637</v>
      </c>
      <c r="FP22" s="4">
        <f t="shared" si="38"/>
        <v>0.65342388910148397</v>
      </c>
      <c r="FQ22" s="4">
        <f t="shared" si="39"/>
        <v>0.64551757797141507</v>
      </c>
      <c r="FR22" s="4">
        <f t="shared" si="40"/>
        <v>0.67431944251117437</v>
      </c>
      <c r="FS22" s="4">
        <f t="shared" si="41"/>
        <v>0.69384299942173233</v>
      </c>
      <c r="FT22" s="38">
        <f t="shared" si="42"/>
        <v>0.43779052148049313</v>
      </c>
      <c r="FU22" s="38">
        <f t="shared" si="43"/>
        <v>0.49164137271947383</v>
      </c>
      <c r="FV22" s="38">
        <f t="shared" si="44"/>
        <v>0.55822119752295729</v>
      </c>
      <c r="FW22" s="38">
        <f t="shared" si="45"/>
        <v>0.60306684660800913</v>
      </c>
      <c r="FX22" s="38">
        <f t="shared" si="46"/>
        <v>0.60341905009032859</v>
      </c>
      <c r="FY22" s="38">
        <f t="shared" si="47"/>
        <v>0.59192083185466737</v>
      </c>
      <c r="FZ22" s="38">
        <f t="shared" si="48"/>
        <v>0.62755491392177609</v>
      </c>
      <c r="GA22" s="38">
        <f t="shared" si="49"/>
        <v>0.65132945872508596</v>
      </c>
    </row>
    <row r="23" spans="1:183" x14ac:dyDescent="0.25">
      <c r="A23" s="1" t="str">
        <f>Data!A23</f>
        <v>FL_MIAMI-IAP_722020_TY3A</v>
      </c>
      <c r="B23" s="1" t="str">
        <f>TY3A_REP_CITIES!B23</f>
        <v>Miami</v>
      </c>
      <c r="C23" s="1" t="str">
        <f>TY3A_REP_CITIES!C23</f>
        <v>Miami-Dade</v>
      </c>
      <c r="D23" s="2" t="str">
        <f>TY3A_REP_CITIES!A23</f>
        <v>FL</v>
      </c>
      <c r="E23" s="42">
        <f>TY3A_REP_CITIES!E23</f>
        <v>2716940</v>
      </c>
      <c r="F23" s="2">
        <f>TY3A_REP_CITIES!G23</f>
        <v>1</v>
      </c>
      <c r="G23" s="2" t="str">
        <f>TY3A_REP_CITIES!H23</f>
        <v>Hot-Humid</v>
      </c>
      <c r="H23" s="2" t="str">
        <f>TY3A_REP_CITIES!I23</f>
        <v>Southeast</v>
      </c>
      <c r="I23" s="2">
        <f>Data!B23</f>
        <v>25.82</v>
      </c>
      <c r="J23" s="2">
        <f>Data!C23</f>
        <v>-80.3</v>
      </c>
      <c r="K23" s="2">
        <f>VLOOKUP(D23,Table1[],2,FALSE)</f>
        <v>1</v>
      </c>
      <c r="L23" s="2">
        <v>0.5</v>
      </c>
      <c r="M23" s="10">
        <f>Data!N23</f>
        <v>5513.6965</v>
      </c>
      <c r="N23" s="10">
        <f>Data!Q23</f>
        <v>29308</v>
      </c>
      <c r="O23" s="10">
        <f>Data!O23</f>
        <v>1124464.3636187799</v>
      </c>
      <c r="P23" s="10">
        <f>Data!P23</f>
        <v>1171317.0454362335</v>
      </c>
      <c r="Q23" s="10">
        <f>Data!S23*15</f>
        <v>0.88377508392560888</v>
      </c>
      <c r="R23" s="48">
        <f>SUM(Data!U23:AA23)*2+Data!AB23</f>
        <v>1.5187669930787082E-2</v>
      </c>
      <c r="S23" s="48">
        <f>SUM(Data!V23:AB23)*2+Data!AC23</f>
        <v>1.3547997177628626E-2</v>
      </c>
      <c r="T23" s="48">
        <f>SUM(Data!W23:AC23)*2+Data!AD23</f>
        <v>1.1624528785923035E-2</v>
      </c>
      <c r="U23" s="48">
        <f>SUM(Data!X23:AD23)*2+Data!AE23</f>
        <v>1.0101479752386924E-2</v>
      </c>
      <c r="V23" s="48">
        <f>SUM(Data!Y23:AE23)*2+Data!AF23</f>
        <v>1.0389256212012464E-2</v>
      </c>
      <c r="W23" s="48">
        <f>SUM(Data!Z23:AF23)*2+Data!AG23</f>
        <v>1.112820673148629E-2</v>
      </c>
      <c r="X23" s="48">
        <f>SUM(Data!AA23:AG23)*2+Data!AH23</f>
        <v>9.9317850788666374E-3</v>
      </c>
      <c r="Y23" s="48">
        <f>SUM(Data!AB23:AH23)*2+Data!AI23</f>
        <v>9.5585875369748139E-3</v>
      </c>
      <c r="Z23" s="80">
        <f>(SUM(Data!CS23:CY23)*2+Data!CZ23)/('Useful Constants'!$B$1*1000000)*$K23/100</f>
        <v>3.4406909826947542E-5</v>
      </c>
      <c r="AA23" s="80">
        <f>(SUM(Data!CT23:CZ23)*2+Data!DA23)/('Useful Constants'!$B$1*1000000)*$K23/100</f>
        <v>3.312044002971241E-5</v>
      </c>
      <c r="AB23" s="80">
        <f>(SUM(Data!CU23:DA23)*2+Data!DB23)/('Useful Constants'!$B$1*1000000)*$K23/100</f>
        <v>3.2089637149028237E-5</v>
      </c>
      <c r="AC23" s="80">
        <f>(SUM(Data!CV23:DB23)*2+Data!DC23)/('Useful Constants'!$B$1*1000000)*$K23/100</f>
        <v>3.1398717322605991E-5</v>
      </c>
      <c r="AD23" s="80">
        <f>(SUM(Data!CW23:DC23)*2+Data!DD23)/('Useful Constants'!$B$1*1000000)*$K23/100</f>
        <v>3.0910826970685317E-5</v>
      </c>
      <c r="AE23" s="80">
        <f>(SUM(Data!CX23:DD23)*2+Data!DE23)/('Useful Constants'!$B$1*1000000)*$K23/100</f>
        <v>3.0001701664238369E-5</v>
      </c>
      <c r="AF23" s="80">
        <f>(SUM(Data!CY23:DE23)*2+Data!DF23)/('Useful Constants'!$B$1*1000000)*$K23/100</f>
        <v>2.9359456293568984E-5</v>
      </c>
      <c r="AG23" s="80">
        <f>(SUM(Data!CZ23:DF23)*2+Data!DG23)/('Useful Constants'!$B$1*1000000)*$K23/100</f>
        <v>2.78374352009315E-5</v>
      </c>
      <c r="AH23" s="48">
        <f>Z23*'Useful Constants'!$B$3</f>
        <v>2.8901804254635936E-3</v>
      </c>
      <c r="AI23" s="48">
        <f>AA23*'Useful Constants'!$B$3</f>
        <v>2.7821169624958424E-3</v>
      </c>
      <c r="AJ23" s="48">
        <f>AB23*'Useful Constants'!$B$3</f>
        <v>2.6955295205183718E-3</v>
      </c>
      <c r="AK23" s="48">
        <f>AC23*'Useful Constants'!$B$3</f>
        <v>2.6374922550989033E-3</v>
      </c>
      <c r="AL23" s="48">
        <f>AD23*'Useful Constants'!$B$3</f>
        <v>2.5965094655375667E-3</v>
      </c>
      <c r="AM23" s="48">
        <f>AE23*'Useful Constants'!$B$3</f>
        <v>2.5201429397960231E-3</v>
      </c>
      <c r="AN23" s="48">
        <f>AF23*'Useful Constants'!$B$3</f>
        <v>2.4661943286597948E-3</v>
      </c>
      <c r="AO23" s="48">
        <f>AG23*'Useful Constants'!$B$3</f>
        <v>2.3383445568782462E-3</v>
      </c>
      <c r="AP23" s="10">
        <f>Z23*'Useful Constants'!$B$4</f>
        <v>9.6339347515453117E-4</v>
      </c>
      <c r="AQ23" s="10">
        <f>AA23*'Useful Constants'!$B$4</f>
        <v>9.2737232083194747E-4</v>
      </c>
      <c r="AR23" s="10">
        <f>AB23*'Useful Constants'!$B$4</f>
        <v>8.9850984017279063E-4</v>
      </c>
      <c r="AS23" s="10">
        <f>AC23*'Useful Constants'!$B$4</f>
        <v>8.7916408503296774E-4</v>
      </c>
      <c r="AT23" s="10">
        <f>AD23*'Useful Constants'!$B$4</f>
        <v>8.6550315517918883E-4</v>
      </c>
      <c r="AU23" s="10">
        <f>AE23*'Useful Constants'!$B$4</f>
        <v>8.4004764659867436E-4</v>
      </c>
      <c r="AV23" s="10">
        <f>AF23*'Useful Constants'!$B$4</f>
        <v>8.220647762199316E-4</v>
      </c>
      <c r="AW23" s="10">
        <f>AG23*'Useful Constants'!$B$4</f>
        <v>7.7944818562608196E-4</v>
      </c>
      <c r="AX23" s="48">
        <f>P23/1000000/'Useful Constants'!$B$1*K23/100*'Useful Constants'!$B$3*15</f>
        <v>0.29517189544993089</v>
      </c>
      <c r="AY23" s="48">
        <f>P23/1000000/'Useful Constants'!$B$1*L23/100*'Useful Constants'!$B$3*15</f>
        <v>0.14758594772496544</v>
      </c>
      <c r="AZ23" s="48">
        <f>P23/1000000/'Useful Constants'!$B$1*K23/100*'Useful Constants'!$B$4*15</f>
        <v>9.8390631816643634E-2</v>
      </c>
      <c r="BA23" s="48">
        <f>P23/1000000/'Useful Constants'!$B$1*L23/100*'Useful Constants'!$B$4*15</f>
        <v>4.9195315908321817E-2</v>
      </c>
      <c r="BB23" s="7">
        <f>Data!AN23</f>
        <v>5513.6965</v>
      </c>
      <c r="BC23" s="7">
        <f>Data!AQ23</f>
        <v>5513.6965</v>
      </c>
      <c r="BD23" s="7">
        <f>Data!AT23</f>
        <v>1495.03799</v>
      </c>
      <c r="BE23" s="6">
        <f>Data!AO23</f>
        <v>1083418.0587797901</v>
      </c>
      <c r="BF23" s="6">
        <f>Data!AP23</f>
        <v>277868.63148160902</v>
      </c>
      <c r="BG23" s="6">
        <f>Data!AR23</f>
        <v>0</v>
      </c>
      <c r="BH23" s="6">
        <f>Data!AS23</f>
        <v>0</v>
      </c>
      <c r="BI23" s="8">
        <f t="shared" si="0"/>
        <v>1</v>
      </c>
      <c r="BJ23" s="8">
        <f t="shared" si="1"/>
        <v>1</v>
      </c>
      <c r="BK23" s="13">
        <f>BB23*'Useful Constants'!$B$5/'Useful Constants'!$B$6*'Useful Constants'!$B$7</f>
        <v>1.4109549343499999</v>
      </c>
      <c r="BL23" s="52">
        <f>1-VLOOKUP($G23,'Useful Constants'!$A$17:$X$23,10,FALSE)</f>
        <v>0</v>
      </c>
      <c r="BM23" s="52">
        <f>1-VLOOKUP($G23,'Useful Constants'!$A$17:$X$23,12,FALSE)</f>
        <v>0</v>
      </c>
      <c r="BN23" s="52">
        <f>1-VLOOKUP($G23,'Useful Constants'!$A$17:$X$23,14,FALSE)</f>
        <v>0</v>
      </c>
      <c r="BO23" s="52">
        <f>1-VLOOKUP($G23,'Useful Constants'!$A$17:$X$23,16,FALSE)</f>
        <v>0</v>
      </c>
      <c r="BP23" s="52">
        <f>1-VLOOKUP($G23,'Useful Constants'!$A$17:$X$23,18,FALSE)</f>
        <v>0</v>
      </c>
      <c r="BQ23" s="52">
        <f>1-VLOOKUP($G23,'Useful Constants'!$A$17:$X$23,20, FALSE)</f>
        <v>0</v>
      </c>
      <c r="BR23" s="52">
        <f>1-VLOOKUP($G23,'Useful Constants'!$A$17:$X$23,22, FALSE)</f>
        <v>0</v>
      </c>
      <c r="BS23" s="52">
        <f>1-VLOOKUP($G23,'Useful Constants'!$A$17:$X$23,24, FALSE)</f>
        <v>0</v>
      </c>
      <c r="BT23" s="13">
        <f t="shared" si="2"/>
        <v>0</v>
      </c>
      <c r="BU23" s="13">
        <f t="shared" si="3"/>
        <v>0</v>
      </c>
      <c r="BV23" s="13">
        <f t="shared" si="4"/>
        <v>0</v>
      </c>
      <c r="BW23" s="13">
        <f t="shared" si="5"/>
        <v>0</v>
      </c>
      <c r="BX23" s="13">
        <f t="shared" si="6"/>
        <v>0</v>
      </c>
      <c r="BY23" s="13">
        <f t="shared" si="7"/>
        <v>0</v>
      </c>
      <c r="BZ23" s="13">
        <f t="shared" si="8"/>
        <v>0</v>
      </c>
      <c r="CA23" s="13">
        <f t="shared" si="9"/>
        <v>0</v>
      </c>
      <c r="CB23" s="59">
        <f>+SUM(Data!BM23:BS23)*2+Data!BT23</f>
        <v>8.204080304016613E-2</v>
      </c>
      <c r="CC23" s="59">
        <f>+SUM(Data!BN23:BT23)*2+Data!BU23</f>
        <v>7.3244648090702427E-2</v>
      </c>
      <c r="CD23" s="59">
        <f>+SUM(Data!BO23:BU23)*2+Data!BV23</f>
        <v>6.292918630247829E-2</v>
      </c>
      <c r="CE23" s="59">
        <f>+SUM(Data!BP23:BV23)*2+Data!BW23</f>
        <v>5.4641223400729834E-2</v>
      </c>
      <c r="CF23" s="59">
        <f>+SUM(Data!BQ23:BW23)*2+Data!BX23</f>
        <v>5.6118618232945602E-2</v>
      </c>
      <c r="CG23" s="59">
        <f>+SUM(Data!BR23:BX23)*2+Data!BY23</f>
        <v>6.0063795869808069E-2</v>
      </c>
      <c r="CH23" s="59">
        <f>+SUM(Data!BS23:BY23)*2+Data!BZ23</f>
        <v>5.3658600187379724E-2</v>
      </c>
      <c r="CI23" s="59">
        <f>+SUM(Data!BT23:BZ23)*2+Data!CA23</f>
        <v>5.164127017216126E-2</v>
      </c>
      <c r="CJ23" s="13">
        <f>+SUM(Data!AW23:BC23)*2+Data!BD23</f>
        <v>0.42885774618518085</v>
      </c>
      <c r="CK23" s="13">
        <f>+SUM(Data!AX23:BD23)*2+Data!BE23</f>
        <v>0.38308423020932963</v>
      </c>
      <c r="CL23" s="13">
        <f>+SUM(Data!AY23:BE23)*2+Data!BF23</f>
        <v>0.32941525829174439</v>
      </c>
      <c r="CM23" s="13">
        <f>+SUM(Data!AZ23:BF23)*2+Data!BG23</f>
        <v>0.28588470513026565</v>
      </c>
      <c r="CN23" s="13">
        <f>+SUM(Data!BA23:BG23)*2+Data!BH23</f>
        <v>0.29334573315517232</v>
      </c>
      <c r="CO23" s="13">
        <f>+SUM(Data!BB23:BH23)*2+Data!BI23</f>
        <v>0.31381078546867336</v>
      </c>
      <c r="CP23" s="13">
        <f>+SUM(Data!BC23:BI23)*2+Data!BJ23</f>
        <v>0.28052417014444969</v>
      </c>
      <c r="CQ23" s="13">
        <f>+SUM(Data!BD23:BJ23)*2+Data!BK23</f>
        <v>0.2699741157384225</v>
      </c>
      <c r="CR23" s="59">
        <f>+SUM(Data!CC23:CI23)*2+Data!CJ23</f>
        <v>0</v>
      </c>
      <c r="CS23" s="59">
        <f>+SUM(Data!CD23:CJ23)*2+Data!CK23</f>
        <v>0</v>
      </c>
      <c r="CT23" s="59">
        <f>+SUM(Data!CE23:CK23)*2+Data!CL23</f>
        <v>0</v>
      </c>
      <c r="CU23" s="59">
        <f>+SUM(Data!CF23:CL23)*2+Data!CM23</f>
        <v>0</v>
      </c>
      <c r="CV23" s="59">
        <f>+SUM(Data!CG23:CM23)*2+Data!CN23</f>
        <v>0</v>
      </c>
      <c r="CW23" s="59">
        <f>+SUM(Data!CH23:CN23)*2+Data!CO23</f>
        <v>0</v>
      </c>
      <c r="CX23" s="59">
        <f>+SUM(Data!CI23:CO23)*2+Data!CP23</f>
        <v>0</v>
      </c>
      <c r="CY23" s="59">
        <f>+SUM(Data!CJ23:CP23)*2+Data!CQ23</f>
        <v>0</v>
      </c>
      <c r="CZ23" s="60">
        <f t="shared" si="10"/>
        <v>0.51089854922534694</v>
      </c>
      <c r="DA23" s="60">
        <f t="shared" si="11"/>
        <v>0.45632887830003205</v>
      </c>
      <c r="DB23" s="60">
        <f t="shared" si="12"/>
        <v>0.39234444459422269</v>
      </c>
      <c r="DC23" s="60">
        <f t="shared" si="13"/>
        <v>0.3405259285309955</v>
      </c>
      <c r="DD23" s="60">
        <f t="shared" si="14"/>
        <v>0.34946435138811793</v>
      </c>
      <c r="DE23" s="60">
        <f t="shared" si="15"/>
        <v>0.37387458133848145</v>
      </c>
      <c r="DF23" s="60">
        <f t="shared" si="16"/>
        <v>0.33418277033182942</v>
      </c>
      <c r="DG23" s="60">
        <f t="shared" si="17"/>
        <v>0.32161538591058375</v>
      </c>
      <c r="DH23" s="13">
        <f t="shared" si="18"/>
        <v>0</v>
      </c>
      <c r="DI23" s="13">
        <f t="shared" si="19"/>
        <v>0</v>
      </c>
      <c r="DJ23" s="13">
        <f t="shared" si="20"/>
        <v>0</v>
      </c>
      <c r="DK23" s="13">
        <f t="shared" si="21"/>
        <v>0</v>
      </c>
      <c r="DL23" s="13">
        <f t="shared" si="22"/>
        <v>0</v>
      </c>
      <c r="DM23" s="13">
        <f t="shared" si="23"/>
        <v>0</v>
      </c>
      <c r="DN23" s="13">
        <f t="shared" si="24"/>
        <v>0</v>
      </c>
      <c r="DO23" s="13">
        <f t="shared" si="25"/>
        <v>0</v>
      </c>
      <c r="DP23" s="50">
        <f>DH23*'Useful Constants'!$B$8</f>
        <v>0</v>
      </c>
      <c r="DQ23" s="50">
        <f>DI23*'Useful Constants'!$B$8</f>
        <v>0</v>
      </c>
      <c r="DR23" s="50">
        <f>DJ23*'Useful Constants'!$B$10</f>
        <v>0</v>
      </c>
      <c r="DS23" s="50">
        <f>DK23*'Useful Constants'!$B$10</f>
        <v>0</v>
      </c>
      <c r="DT23" s="50">
        <f>DL23*'Useful Constants'!$B$10</f>
        <v>0</v>
      </c>
      <c r="DU23" s="50">
        <f>DM23*'Useful Constants'!$B$10</f>
        <v>0</v>
      </c>
      <c r="DV23" s="50">
        <f>DN23*'Useful Constants'!$B$10</f>
        <v>0</v>
      </c>
      <c r="DW23" s="50">
        <f>DO23*'Useful Constants'!$B$10</f>
        <v>0</v>
      </c>
      <c r="DX23" s="14">
        <f>DH23*'Useful Constants'!$B$9</f>
        <v>0</v>
      </c>
      <c r="DY23" s="14">
        <f>DI23*'Useful Constants'!$B$9</f>
        <v>0</v>
      </c>
      <c r="DZ23" s="14">
        <f>DJ23*'Useful Constants'!$B$11</f>
        <v>0</v>
      </c>
      <c r="EA23" s="14">
        <f>DK23*'Useful Constants'!$B$11</f>
        <v>0</v>
      </c>
      <c r="EB23" s="14">
        <f>DL23*'Useful Constants'!$B$11</f>
        <v>0</v>
      </c>
      <c r="EC23" s="14">
        <f>DM23*'Useful Constants'!$B$11</f>
        <v>0</v>
      </c>
      <c r="ED23" s="14">
        <f>DN23*'Useful Constants'!$B$11</f>
        <v>0</v>
      </c>
      <c r="EE23" s="14">
        <f>DO23*'Useful Constants'!$B$11</f>
        <v>0</v>
      </c>
      <c r="EF23" s="78">
        <f>(SUM(Data!DI23:DO23)*2+Data!DP23)/('Useful Constants'!$B$1*1000000)*$K23/100</f>
        <v>1.1540109082481065E-3</v>
      </c>
      <c r="EG23" s="78">
        <f>(SUM(Data!DJ23:DP23)*2+Data!DQ23)/('Useful Constants'!$B$1*1000000)*$K23/100</f>
        <v>1.1123482923929241E-3</v>
      </c>
      <c r="EH23" s="78">
        <f>(SUM(Data!DK23:DQ23)*2+Data!DR23)/('Useful Constants'!$B$1*1000000)*$K23/100</f>
        <v>1.0792574020005127E-3</v>
      </c>
      <c r="EI23" s="78">
        <f>(SUM(Data!DL23:DR23)*2+Data!DS23)/('Useful Constants'!$B$1*1000000)*$K23/100</f>
        <v>1.0576348087996822E-3</v>
      </c>
      <c r="EJ23" s="78">
        <f>(SUM(Data!DM23:DS23)*2+Data!DT23)/('Useful Constants'!$B$1*1000000)*$K23/100</f>
        <v>1.0423596846565084E-3</v>
      </c>
      <c r="EK23" s="78">
        <f>(SUM(Data!DN23:DT23)*2+Data!DU23)/('Useful Constants'!$B$1*1000000)*$K23/100</f>
        <v>1.0124026890282662E-3</v>
      </c>
      <c r="EL23" s="78">
        <f>(SUM(Data!DO23:DU23)*2+Data!DV23)/('Useful Constants'!$B$1*1000000)*$K23/100</f>
        <v>9.9142258908652223E-4</v>
      </c>
      <c r="EM23" s="78">
        <f>(SUM(Data!DP23:DV23)*2+Data!DW23)/('Useful Constants'!$B$1*1000000)*$K23/100</f>
        <v>9.4079567873952543E-4</v>
      </c>
      <c r="EN23" s="79">
        <f>EF23*'Useful Constants'!$B$3</f>
        <v>9.6936916292840944E-2</v>
      </c>
      <c r="EO23" s="79">
        <f>EG23*'Useful Constants'!$B$3</f>
        <v>9.3437256561005627E-2</v>
      </c>
      <c r="EP23" s="79">
        <f>EH23*'Useful Constants'!$B$3</f>
        <v>9.0657621768043067E-2</v>
      </c>
      <c r="EQ23" s="79">
        <f>EI23*'Useful Constants'!$B$3</f>
        <v>8.8841323939173308E-2</v>
      </c>
      <c r="ER23" s="79">
        <f>EJ23*'Useful Constants'!$B$3</f>
        <v>8.7558213511146704E-2</v>
      </c>
      <c r="ES23" s="79">
        <f>EK23*'Useful Constants'!$B$3</f>
        <v>8.5041825878374361E-2</v>
      </c>
      <c r="ET23" s="79">
        <f>EL23*'Useful Constants'!$B$3</f>
        <v>8.3279497483267864E-2</v>
      </c>
      <c r="EU23" s="79">
        <f>EM23*'Useful Constants'!$B$3</f>
        <v>7.9026837014120138E-2</v>
      </c>
      <c r="EV23" s="78">
        <f>EF23*'Useful Constants'!$B$4</f>
        <v>3.2312305430946986E-2</v>
      </c>
      <c r="EW23" s="78">
        <f>EG23*'Useful Constants'!$B$4</f>
        <v>3.1145752187001875E-2</v>
      </c>
      <c r="EX23" s="78">
        <f>EH23*'Useful Constants'!$B$4</f>
        <v>3.0219207256014353E-2</v>
      </c>
      <c r="EY23" s="78">
        <f>EI23*'Useful Constants'!$B$4</f>
        <v>2.9613774646391103E-2</v>
      </c>
      <c r="EZ23" s="78">
        <f>EJ23*'Useful Constants'!$B$4</f>
        <v>2.9186071170382237E-2</v>
      </c>
      <c r="FA23" s="78">
        <f>EK23*'Useful Constants'!$B$4</f>
        <v>2.8347275292791456E-2</v>
      </c>
      <c r="FB23" s="78">
        <f>EL23*'Useful Constants'!$B$4</f>
        <v>2.7759832494422623E-2</v>
      </c>
      <c r="FC23" s="78">
        <f>EM23*'Useful Constants'!$B$4</f>
        <v>2.634227900470671E-2</v>
      </c>
      <c r="FD23" s="40">
        <f t="shared" si="26"/>
        <v>0.43167995889297994</v>
      </c>
      <c r="FE23" s="40">
        <f t="shared" si="27"/>
        <v>0.49145532093191402</v>
      </c>
      <c r="FF23" s="40">
        <f t="shared" si="28"/>
        <v>0.5618219630382808</v>
      </c>
      <c r="FG23" s="40">
        <f t="shared" si="29"/>
        <v>0.61904591487459082</v>
      </c>
      <c r="FH23" s="40">
        <f t="shared" si="30"/>
        <v>0.60917212228086426</v>
      </c>
      <c r="FI23" s="40">
        <f t="shared" si="31"/>
        <v>0.58221789411014579</v>
      </c>
      <c r="FJ23" s="40">
        <f t="shared" si="32"/>
        <v>0.62607116279179464</v>
      </c>
      <c r="FK23" s="40">
        <f t="shared" si="33"/>
        <v>0.63998291323327305</v>
      </c>
      <c r="FL23" s="4">
        <f t="shared" si="34"/>
        <v>0.54794690351369246</v>
      </c>
      <c r="FM23" s="4">
        <f t="shared" si="35"/>
        <v>0.59060148505306564</v>
      </c>
      <c r="FN23" s="4">
        <f t="shared" si="36"/>
        <v>0.63977999704742028</v>
      </c>
      <c r="FO23" s="4">
        <f t="shared" si="37"/>
        <v>0.67940247775216911</v>
      </c>
      <c r="FP23" s="4">
        <f t="shared" si="38"/>
        <v>0.67374657236554536</v>
      </c>
      <c r="FQ23" s="4">
        <f t="shared" si="39"/>
        <v>0.65757139338471582</v>
      </c>
      <c r="FR23" s="4">
        <f t="shared" si="40"/>
        <v>0.68821224023885574</v>
      </c>
      <c r="FS23" s="4">
        <f t="shared" si="41"/>
        <v>0.7006625187173704</v>
      </c>
      <c r="FT23" s="38">
        <f t="shared" si="42"/>
        <v>0.48142760621108982</v>
      </c>
      <c r="FU23" s="38">
        <f t="shared" si="43"/>
        <v>0.53389016680672285</v>
      </c>
      <c r="FV23" s="38">
        <f t="shared" si="44"/>
        <v>0.59520059374194578</v>
      </c>
      <c r="FW23" s="38">
        <f t="shared" si="45"/>
        <v>0.64489599535191011</v>
      </c>
      <c r="FX23" s="38">
        <f t="shared" si="46"/>
        <v>0.63682650328087353</v>
      </c>
      <c r="FY23" s="38">
        <f t="shared" si="47"/>
        <v>0.61448234798210744</v>
      </c>
      <c r="FZ23" s="38">
        <f t="shared" si="48"/>
        <v>0.65268454634933071</v>
      </c>
      <c r="GA23" s="38">
        <f t="shared" si="49"/>
        <v>0.66597103154491055</v>
      </c>
    </row>
    <row r="24" spans="1:183" x14ac:dyDescent="0.25">
      <c r="A24" s="1" t="str">
        <f>Data!A24</f>
        <v>GA_ATLANTA-HARTSFIELD-IAP_722190_TY3A</v>
      </c>
      <c r="B24" s="1" t="str">
        <f>TY3A_REP_CITIES!B24</f>
        <v>Atlanta</v>
      </c>
      <c r="C24" s="1" t="str">
        <f>TY3A_REP_CITIES!C24</f>
        <v>Fulton</v>
      </c>
      <c r="D24" s="2" t="str">
        <f>TY3A_REP_CITIES!A24</f>
        <v>GA</v>
      </c>
      <c r="E24" s="42">
        <f>TY3A_REP_CITIES!E24</f>
        <v>1063937</v>
      </c>
      <c r="F24" s="2">
        <f>TY3A_REP_CITIES!G24</f>
        <v>3</v>
      </c>
      <c r="G24" s="2" t="str">
        <f>TY3A_REP_CITIES!H24</f>
        <v>Mixed-Humid</v>
      </c>
      <c r="H24" s="2" t="str">
        <f>TY3A_REP_CITIES!I24</f>
        <v>Southeast</v>
      </c>
      <c r="I24" s="2">
        <f>Data!B24</f>
        <v>33.630000000000003</v>
      </c>
      <c r="J24" s="2">
        <f>Data!C24</f>
        <v>-84.43</v>
      </c>
      <c r="K24" s="2">
        <f>VLOOKUP(D24,Table1[],2,FALSE)</f>
        <v>1</v>
      </c>
      <c r="L24" s="2">
        <v>0.5</v>
      </c>
      <c r="M24" s="10">
        <f>Data!N24</f>
        <v>5176.54475</v>
      </c>
      <c r="N24" s="10">
        <f>Data!Q24</f>
        <v>29308</v>
      </c>
      <c r="O24" s="10">
        <f>Data!O24</f>
        <v>16062515583.806801</v>
      </c>
      <c r="P24" s="10">
        <f>Data!P24</f>
        <v>16731787066.4655</v>
      </c>
      <c r="Q24" s="10">
        <f>Data!S24*15</f>
        <v>12624.367225343127</v>
      </c>
      <c r="R24" s="48">
        <f>SUM(Data!U24:AA24)*2+Data!AB24</f>
        <v>237.49627192678264</v>
      </c>
      <c r="S24" s="48">
        <f>SUM(Data!V24:AB24)*2+Data!AC24</f>
        <v>217.73841032643105</v>
      </c>
      <c r="T24" s="48">
        <f>SUM(Data!W24:AC24)*2+Data!AD24</f>
        <v>182.67153700136856</v>
      </c>
      <c r="U24" s="48">
        <f>SUM(Data!X24:AD24)*2+Data!AE24</f>
        <v>164.53887823423855</v>
      </c>
      <c r="V24" s="48">
        <f>SUM(Data!Y24:AE24)*2+Data!AF24</f>
        <v>163.8463184958888</v>
      </c>
      <c r="W24" s="48">
        <f>SUM(Data!Z24:AF24)*2+Data!AG24</f>
        <v>160.41869119429231</v>
      </c>
      <c r="X24" s="48">
        <f>SUM(Data!AA24:AG24)*2+Data!AH24</f>
        <v>141.51205481746203</v>
      </c>
      <c r="Y24" s="48">
        <f>SUM(Data!AB24:AH24)*2+Data!AI24</f>
        <v>130.44525864805647</v>
      </c>
      <c r="Z24" s="80">
        <f>(SUM(Data!CS24:CY24)*2+Data!CZ24)/('Useful Constants'!$B$1*1000000)*$K24/100</f>
        <v>0.21725242584237153</v>
      </c>
      <c r="AA24" s="80">
        <f>(SUM(Data!CT24:CZ24)*2+Data!DA24)/('Useful Constants'!$B$1*1000000)*$K24/100</f>
        <v>0.19121307527814577</v>
      </c>
      <c r="AB24" s="80">
        <f>(SUM(Data!CU24:DA24)*2+Data!DB24)/('Useful Constants'!$B$1*1000000)*$K24/100</f>
        <v>0.16606886580200297</v>
      </c>
      <c r="AC24" s="80">
        <f>(SUM(Data!CV24:DB24)*2+Data!DC24)/('Useful Constants'!$B$1*1000000)*$K24/100</f>
        <v>0.1490269410903817</v>
      </c>
      <c r="AD24" s="80">
        <f>(SUM(Data!CW24:DC24)*2+Data!DD24)/('Useful Constants'!$B$1*1000000)*$K24/100</f>
        <v>0.13645987585991637</v>
      </c>
      <c r="AE24" s="80">
        <f>(SUM(Data!CX24:DD24)*2+Data!DE24)/('Useful Constants'!$B$1*1000000)*$K24/100</f>
        <v>0.12916135286915525</v>
      </c>
      <c r="AF24" s="80">
        <f>(SUM(Data!CY24:DE24)*2+Data!DF24)/('Useful Constants'!$B$1*1000000)*$K24/100</f>
        <v>0.11805107719191302</v>
      </c>
      <c r="AG24" s="80">
        <f>(SUM(Data!CZ24:DF24)*2+Data!DG24)/('Useful Constants'!$B$1*1000000)*$K24/100</f>
        <v>0.1150966290561862</v>
      </c>
      <c r="AH24" s="48">
        <f>Z24*'Useful Constants'!$B$3</f>
        <v>18.249203770759209</v>
      </c>
      <c r="AI24" s="48">
        <f>AA24*'Useful Constants'!$B$3</f>
        <v>16.061898323364243</v>
      </c>
      <c r="AJ24" s="48">
        <f>AB24*'Useful Constants'!$B$3</f>
        <v>13.94978472736825</v>
      </c>
      <c r="AK24" s="48">
        <f>AC24*'Useful Constants'!$B$3</f>
        <v>12.518263051592063</v>
      </c>
      <c r="AL24" s="48">
        <f>AD24*'Useful Constants'!$B$3</f>
        <v>11.462629572232975</v>
      </c>
      <c r="AM24" s="48">
        <f>AE24*'Useful Constants'!$B$3</f>
        <v>10.849553641009042</v>
      </c>
      <c r="AN24" s="48">
        <f>AF24*'Useful Constants'!$B$3</f>
        <v>9.9162904841206938</v>
      </c>
      <c r="AO24" s="48">
        <f>AG24*'Useful Constants'!$B$3</f>
        <v>9.6681168407196409</v>
      </c>
      <c r="AP24" s="10">
        <f>Z24*'Useful Constants'!$B$4</f>
        <v>6.0830679235864027</v>
      </c>
      <c r="AQ24" s="10">
        <f>AA24*'Useful Constants'!$B$4</f>
        <v>5.3539661077880814</v>
      </c>
      <c r="AR24" s="10">
        <f>AB24*'Useful Constants'!$B$4</f>
        <v>4.6499282424560828</v>
      </c>
      <c r="AS24" s="10">
        <f>AC24*'Useful Constants'!$B$4</f>
        <v>4.1727543505306874</v>
      </c>
      <c r="AT24" s="10">
        <f>AD24*'Useful Constants'!$B$4</f>
        <v>3.8208765240776583</v>
      </c>
      <c r="AU24" s="10">
        <f>AE24*'Useful Constants'!$B$4</f>
        <v>3.6165178803363469</v>
      </c>
      <c r="AV24" s="10">
        <f>AF24*'Useful Constants'!$B$4</f>
        <v>3.3054301613735646</v>
      </c>
      <c r="AW24" s="10">
        <f>AG24*'Useful Constants'!$B$4</f>
        <v>3.2227056135732135</v>
      </c>
      <c r="AX24" s="48">
        <f>P24/1000000/'Useful Constants'!$B$1*K24/100*'Useful Constants'!$B$3*15</f>
        <v>4216.4103407493058</v>
      </c>
      <c r="AY24" s="48">
        <f>P24/1000000/'Useful Constants'!$B$1*L24/100*'Useful Constants'!$B$3*15</f>
        <v>2108.2051703746529</v>
      </c>
      <c r="AZ24" s="48">
        <f>P24/1000000/'Useful Constants'!$B$1*K24/100*'Useful Constants'!$B$4*15</f>
        <v>1405.4701135831019</v>
      </c>
      <c r="BA24" s="48">
        <f>P24/1000000/'Useful Constants'!$B$1*L24/100*'Useful Constants'!$B$4*15</f>
        <v>702.73505679155096</v>
      </c>
      <c r="BB24" s="7">
        <f>Data!AN24</f>
        <v>5176.54475</v>
      </c>
      <c r="BC24" s="7">
        <f>Data!AQ24</f>
        <v>5176.54475</v>
      </c>
      <c r="BD24" s="7">
        <f>Data!AT24</f>
        <v>5303.0331399999995</v>
      </c>
      <c r="BE24" s="6">
        <f>Data!AO24</f>
        <v>14982960224.8521</v>
      </c>
      <c r="BF24" s="6">
        <f>Data!AP24</f>
        <v>4416103387.6471004</v>
      </c>
      <c r="BG24" s="6">
        <f>Data!AR24</f>
        <v>458019065.629655</v>
      </c>
      <c r="BH24" s="6">
        <f>Data!AS24</f>
        <v>458019065.629655</v>
      </c>
      <c r="BI24" s="8">
        <f t="shared" si="0"/>
        <v>0.97033743410872964</v>
      </c>
      <c r="BJ24" s="8">
        <f t="shared" si="1"/>
        <v>0.90603045573429541</v>
      </c>
      <c r="BK24" s="13">
        <f>BB24*'Useful Constants'!$B$5/'Useful Constants'!$B$6*'Useful Constants'!$B$7</f>
        <v>1.324677801525</v>
      </c>
      <c r="BL24" s="52">
        <f>1-VLOOKUP($G24,'Useful Constants'!$A$17:$X$23,10,FALSE)</f>
        <v>0</v>
      </c>
      <c r="BM24" s="52">
        <f>1-VLOOKUP($G24,'Useful Constants'!$A$17:$X$23,12,FALSE)</f>
        <v>0</v>
      </c>
      <c r="BN24" s="52">
        <f>1-VLOOKUP($G24,'Useful Constants'!$A$17:$X$23,14,FALSE)</f>
        <v>0</v>
      </c>
      <c r="BO24" s="52">
        <f>1-VLOOKUP($G24,'Useful Constants'!$A$17:$X$23,16,FALSE)</f>
        <v>0</v>
      </c>
      <c r="BP24" s="52">
        <f>1-VLOOKUP($G24,'Useful Constants'!$A$17:$X$23,18,FALSE)</f>
        <v>0</v>
      </c>
      <c r="BQ24" s="52">
        <f>1-VLOOKUP($G24,'Useful Constants'!$A$17:$X$23,20, FALSE)</f>
        <v>0</v>
      </c>
      <c r="BR24" s="52">
        <f>1-VLOOKUP($G24,'Useful Constants'!$A$17:$X$23,22, FALSE)</f>
        <v>0</v>
      </c>
      <c r="BS24" s="52">
        <f>1-VLOOKUP($G24,'Useful Constants'!$A$17:$X$23,24, FALSE)</f>
        <v>0</v>
      </c>
      <c r="BT24" s="13">
        <f t="shared" si="2"/>
        <v>0</v>
      </c>
      <c r="BU24" s="13">
        <f t="shared" si="3"/>
        <v>0</v>
      </c>
      <c r="BV24" s="13">
        <f t="shared" si="4"/>
        <v>0</v>
      </c>
      <c r="BW24" s="13">
        <f t="shared" si="5"/>
        <v>0</v>
      </c>
      <c r="BX24" s="13">
        <f t="shared" si="6"/>
        <v>0</v>
      </c>
      <c r="BY24" s="13">
        <f t="shared" si="7"/>
        <v>0</v>
      </c>
      <c r="BZ24" s="13">
        <f t="shared" si="8"/>
        <v>0</v>
      </c>
      <c r="CA24" s="13">
        <f t="shared" si="9"/>
        <v>0</v>
      </c>
      <c r="CB24" s="59">
        <f>+SUM(Data!BM24:BS24)*2+Data!BT24</f>
        <v>1357.7901869146692</v>
      </c>
      <c r="CC24" s="59">
        <f>+SUM(Data!BN24:BT24)*2+Data!BU24</f>
        <v>1243.1314464281613</v>
      </c>
      <c r="CD24" s="59">
        <f>+SUM(Data!BO24:BU24)*2+Data!BV24</f>
        <v>1042.5848547037926</v>
      </c>
      <c r="CE24" s="59">
        <f>+SUM(Data!BP24:BV24)*2+Data!BW24</f>
        <v>940.06248988280254</v>
      </c>
      <c r="CF24" s="59">
        <f>+SUM(Data!BQ24:BW24)*2+Data!BX24</f>
        <v>935.96894522138325</v>
      </c>
      <c r="CG24" s="59">
        <f>+SUM(Data!BR24:BX24)*2+Data!BY24</f>
        <v>917.75147057543961</v>
      </c>
      <c r="CH24" s="59">
        <f>+SUM(Data!BS24:BY24)*2+Data!BZ24</f>
        <v>808.56832243855979</v>
      </c>
      <c r="CI24" s="59">
        <f>+SUM(Data!BT24:BZ24)*2+Data!CA24</f>
        <v>745.76455187967133</v>
      </c>
      <c r="CJ24" s="13">
        <f>+SUM(Data!AW24:BC24)*2+Data!BD24</f>
        <v>7414.9309747229663</v>
      </c>
      <c r="CK24" s="13">
        <f>+SUM(Data!AX24:BD24)*2+Data!BE24</f>
        <v>6822.6003540992933</v>
      </c>
      <c r="CL24" s="13">
        <f>+SUM(Data!AY24:BE24)*2+Data!BF24</f>
        <v>5742.7326085378845</v>
      </c>
      <c r="CM24" s="13">
        <f>+SUM(Data!AZ24:BF24)*2+Data!BG24</f>
        <v>5150.1168281532946</v>
      </c>
      <c r="CN24" s="13">
        <f>+SUM(Data!BA24:BG24)*2+Data!BH24</f>
        <v>5127.8464923226866</v>
      </c>
      <c r="CO24" s="13">
        <f>+SUM(Data!BB24:BH24)*2+Data!BI24</f>
        <v>5000.70267810931</v>
      </c>
      <c r="CP24" s="13">
        <f>+SUM(Data!BC24:BI24)*2+Data!BJ24</f>
        <v>4421.4738349866811</v>
      </c>
      <c r="CQ24" s="13">
        <f>+SUM(Data!BD24:BJ24)*2+Data!BK24</f>
        <v>4065.7417969353951</v>
      </c>
      <c r="CR24" s="59">
        <f>+SUM(Data!CC24:CI24)*2+Data!CJ24</f>
        <v>842.82584275590591</v>
      </c>
      <c r="CS24" s="59">
        <f>+SUM(Data!CD24:CJ24)*2+Data!CK24</f>
        <v>776.73507089868292</v>
      </c>
      <c r="CT24" s="59">
        <f>+SUM(Data!CE24:CK24)*2+Data!CL24</f>
        <v>652.90994187048068</v>
      </c>
      <c r="CU24" s="59">
        <f>+SUM(Data!CF24:CL24)*2+Data!CM24</f>
        <v>576.57688845236009</v>
      </c>
      <c r="CV24" s="59">
        <f>+SUM(Data!CG24:CM24)*2+Data!CN24</f>
        <v>572.5009174805391</v>
      </c>
      <c r="CW24" s="59">
        <f>+SUM(Data!CH24:CN24)*2+Data!CO24</f>
        <v>540.18560120353516</v>
      </c>
      <c r="CX24" s="59">
        <f>+SUM(Data!CI24:CO24)*2+Data!CP24</f>
        <v>461.31004797333162</v>
      </c>
      <c r="CY24" s="59">
        <f>+SUM(Data!CJ24:CP24)*2+Data!CQ24</f>
        <v>430.31546076001655</v>
      </c>
      <c r="CZ24" s="60">
        <f t="shared" si="10"/>
        <v>9615.547004393542</v>
      </c>
      <c r="DA24" s="60">
        <f t="shared" si="11"/>
        <v>8842.466871426137</v>
      </c>
      <c r="DB24" s="60">
        <f t="shared" si="12"/>
        <v>7438.2274051121585</v>
      </c>
      <c r="DC24" s="60">
        <f t="shared" si="13"/>
        <v>6666.7562064884578</v>
      </c>
      <c r="DD24" s="60">
        <f t="shared" si="14"/>
        <v>6636.316355024609</v>
      </c>
      <c r="DE24" s="60">
        <f t="shared" si="15"/>
        <v>6458.6397498882843</v>
      </c>
      <c r="DF24" s="60">
        <f t="shared" si="16"/>
        <v>5691.3522053985726</v>
      </c>
      <c r="DG24" s="60">
        <f t="shared" si="17"/>
        <v>5241.8218095750826</v>
      </c>
      <c r="DH24" s="13">
        <f t="shared" si="18"/>
        <v>0</v>
      </c>
      <c r="DI24" s="13">
        <f t="shared" si="19"/>
        <v>0</v>
      </c>
      <c r="DJ24" s="13">
        <f t="shared" si="20"/>
        <v>0</v>
      </c>
      <c r="DK24" s="13">
        <f t="shared" si="21"/>
        <v>0</v>
      </c>
      <c r="DL24" s="13">
        <f t="shared" si="22"/>
        <v>0</v>
      </c>
      <c r="DM24" s="13">
        <f t="shared" si="23"/>
        <v>0</v>
      </c>
      <c r="DN24" s="13">
        <f t="shared" si="24"/>
        <v>0</v>
      </c>
      <c r="DO24" s="13">
        <f t="shared" si="25"/>
        <v>0</v>
      </c>
      <c r="DP24" s="50">
        <f>DH24*'Useful Constants'!$B$8</f>
        <v>0</v>
      </c>
      <c r="DQ24" s="50">
        <f>DI24*'Useful Constants'!$B$8</f>
        <v>0</v>
      </c>
      <c r="DR24" s="50">
        <f>DJ24*'Useful Constants'!$B$10</f>
        <v>0</v>
      </c>
      <c r="DS24" s="50">
        <f>DK24*'Useful Constants'!$B$10</f>
        <v>0</v>
      </c>
      <c r="DT24" s="50">
        <f>DL24*'Useful Constants'!$B$10</f>
        <v>0</v>
      </c>
      <c r="DU24" s="50">
        <f>DM24*'Useful Constants'!$B$10</f>
        <v>0</v>
      </c>
      <c r="DV24" s="50">
        <f>DN24*'Useful Constants'!$B$10</f>
        <v>0</v>
      </c>
      <c r="DW24" s="50">
        <f>DO24*'Useful Constants'!$B$10</f>
        <v>0</v>
      </c>
      <c r="DX24" s="14">
        <f>DH24*'Useful Constants'!$B$9</f>
        <v>0</v>
      </c>
      <c r="DY24" s="14">
        <f>DI24*'Useful Constants'!$B$9</f>
        <v>0</v>
      </c>
      <c r="DZ24" s="14">
        <f>DJ24*'Useful Constants'!$B$11</f>
        <v>0</v>
      </c>
      <c r="EA24" s="14">
        <f>DK24*'Useful Constants'!$B$11</f>
        <v>0</v>
      </c>
      <c r="EB24" s="14">
        <f>DL24*'Useful Constants'!$B$11</f>
        <v>0</v>
      </c>
      <c r="EC24" s="14">
        <f>DM24*'Useful Constants'!$B$11</f>
        <v>0</v>
      </c>
      <c r="ED24" s="14">
        <f>DN24*'Useful Constants'!$B$11</f>
        <v>0</v>
      </c>
      <c r="EE24" s="14">
        <f>DO24*'Useful Constants'!$B$11</f>
        <v>0</v>
      </c>
      <c r="EF24" s="78">
        <f>(SUM(Data!DI24:DO24)*2+Data!DP24)/('Useful Constants'!$B$1*1000000)*$K24/100</f>
        <v>8.6246342821543927</v>
      </c>
      <c r="EG24" s="78">
        <f>(SUM(Data!DJ24:DP24)*2+Data!DQ24)/('Useful Constants'!$B$1*1000000)*$K24/100</f>
        <v>7.6148928720784843</v>
      </c>
      <c r="EH24" s="78">
        <f>(SUM(Data!DK24:DQ24)*2+Data!DR24)/('Useful Constants'!$B$1*1000000)*$K24/100</f>
        <v>6.6352775694165391</v>
      </c>
      <c r="EI24" s="78">
        <f>(SUM(Data!DL24:DR24)*2+Data!DS24)/('Useful Constants'!$B$1*1000000)*$K24/100</f>
        <v>5.981704588450576</v>
      </c>
      <c r="EJ24" s="78">
        <f>(SUM(Data!DM24:DS24)*2+Data!DT24)/('Useful Constants'!$B$1*1000000)*$K24/100</f>
        <v>5.4876434811162476</v>
      </c>
      <c r="EK24" s="78">
        <f>(SUM(Data!DN24:DT24)*2+Data!DU24)/('Useful Constants'!$B$1*1000000)*$K24/100</f>
        <v>5.2016776790676964</v>
      </c>
      <c r="EL24" s="78">
        <f>(SUM(Data!DO24:DU24)*2+Data!DV24)/('Useful Constants'!$B$1*1000000)*$K24/100</f>
        <v>4.7606189947271957</v>
      </c>
      <c r="EM24" s="78">
        <f>(SUM(Data!DP24:DV24)*2+Data!DW24)/('Useful Constants'!$B$1*1000000)*$K24/100</f>
        <v>4.6334001349951315</v>
      </c>
      <c r="EN24" s="79">
        <f>EF24*'Useful Constants'!$B$3</f>
        <v>724.46927970096897</v>
      </c>
      <c r="EO24" s="79">
        <f>EG24*'Useful Constants'!$B$3</f>
        <v>639.65100125459264</v>
      </c>
      <c r="EP24" s="79">
        <f>EH24*'Useful Constants'!$B$3</f>
        <v>557.36331583098934</v>
      </c>
      <c r="EQ24" s="79">
        <f>EI24*'Useful Constants'!$B$3</f>
        <v>502.46318542984841</v>
      </c>
      <c r="ER24" s="79">
        <f>EJ24*'Useful Constants'!$B$3</f>
        <v>460.96205241376481</v>
      </c>
      <c r="ES24" s="79">
        <f>EK24*'Useful Constants'!$B$3</f>
        <v>436.94092504168651</v>
      </c>
      <c r="ET24" s="79">
        <f>EL24*'Useful Constants'!$B$3</f>
        <v>399.89199555708444</v>
      </c>
      <c r="EU24" s="79">
        <f>EM24*'Useful Constants'!$B$3</f>
        <v>389.20561133959103</v>
      </c>
      <c r="EV24" s="78">
        <f>EF24*'Useful Constants'!$B$4</f>
        <v>241.48975990032301</v>
      </c>
      <c r="EW24" s="78">
        <f>EG24*'Useful Constants'!$B$4</f>
        <v>213.21700041819756</v>
      </c>
      <c r="EX24" s="78">
        <f>EH24*'Useful Constants'!$B$4</f>
        <v>185.7877719436631</v>
      </c>
      <c r="EY24" s="78">
        <f>EI24*'Useful Constants'!$B$4</f>
        <v>167.48772847661613</v>
      </c>
      <c r="EZ24" s="78">
        <f>EJ24*'Useful Constants'!$B$4</f>
        <v>153.65401747125492</v>
      </c>
      <c r="FA24" s="78">
        <f>EK24*'Useful Constants'!$B$4</f>
        <v>145.64697501389549</v>
      </c>
      <c r="FB24" s="78">
        <f>EL24*'Useful Constants'!$B$4</f>
        <v>133.29733185236148</v>
      </c>
      <c r="FC24" s="78">
        <f>EM24*'Useful Constants'!$B$4</f>
        <v>129.7352037798637</v>
      </c>
      <c r="FD24" s="40">
        <f t="shared" si="26"/>
        <v>0.25239861187808738</v>
      </c>
      <c r="FE24" s="40">
        <f t="shared" si="27"/>
        <v>0.31144727178806519</v>
      </c>
      <c r="FF24" s="40">
        <f t="shared" si="28"/>
        <v>0.41920786349283334</v>
      </c>
      <c r="FG24" s="40">
        <f t="shared" si="29"/>
        <v>0.47870786191607073</v>
      </c>
      <c r="FH24" s="40">
        <f t="shared" si="30"/>
        <v>0.481059935989121</v>
      </c>
      <c r="FI24" s="40">
        <f t="shared" si="31"/>
        <v>0.49481831044711644</v>
      </c>
      <c r="FJ24" s="40">
        <f t="shared" si="32"/>
        <v>0.55417468076456866</v>
      </c>
      <c r="FK24" s="40">
        <f t="shared" si="33"/>
        <v>0.58903184063629344</v>
      </c>
      <c r="FL24" s="4">
        <f t="shared" si="34"/>
        <v>0.46159007459710094</v>
      </c>
      <c r="FM24" s="4">
        <f t="shared" si="35"/>
        <v>0.50569644402591152</v>
      </c>
      <c r="FN24" s="4">
        <f t="shared" si="36"/>
        <v>0.58237981436159458</v>
      </c>
      <c r="FO24" s="4">
        <f t="shared" si="37"/>
        <v>0.6251592364262808</v>
      </c>
      <c r="FP24" s="4">
        <f t="shared" si="38"/>
        <v>0.62888673083889612</v>
      </c>
      <c r="FQ24" s="4">
        <f t="shared" si="39"/>
        <v>0.63935720918762373</v>
      </c>
      <c r="FR24" s="4">
        <f t="shared" si="40"/>
        <v>0.68109355474711497</v>
      </c>
      <c r="FS24" s="4">
        <f t="shared" si="41"/>
        <v>0.70501340724101358</v>
      </c>
      <c r="FT24" s="38">
        <f t="shared" si="42"/>
        <v>0.34181778214202096</v>
      </c>
      <c r="FU24" s="38">
        <f t="shared" si="43"/>
        <v>0.39449807081084404</v>
      </c>
      <c r="FV24" s="38">
        <f t="shared" si="44"/>
        <v>0.48900339049969321</v>
      </c>
      <c r="FW24" s="38">
        <f t="shared" si="45"/>
        <v>0.54136543387908409</v>
      </c>
      <c r="FX24" s="38">
        <f t="shared" si="46"/>
        <v>0.5443046179796579</v>
      </c>
      <c r="FY24" s="38">
        <f t="shared" si="47"/>
        <v>0.55665834127378733</v>
      </c>
      <c r="FZ24" s="38">
        <f t="shared" si="48"/>
        <v>0.60848982355376691</v>
      </c>
      <c r="GA24" s="38">
        <f t="shared" si="49"/>
        <v>0.63867414468721895</v>
      </c>
    </row>
    <row r="25" spans="1:183" x14ac:dyDescent="0.25">
      <c r="A25" s="1" t="str">
        <f>Data!A25</f>
        <v>GA_ROME-R-B-RUSSELL-AP_723200_TY3A</v>
      </c>
      <c r="B25" s="1" t="str">
        <f>TY3A_REP_CITIES!B25</f>
        <v>Rome</v>
      </c>
      <c r="C25" s="1" t="str">
        <f>TY3A_REP_CITIES!C25</f>
        <v>Floyd</v>
      </c>
      <c r="D25" s="2" t="str">
        <f>TY3A_REP_CITIES!A25</f>
        <v>GA</v>
      </c>
      <c r="E25" s="42">
        <f>TY3A_REP_CITIES!E25</f>
        <v>98498</v>
      </c>
      <c r="F25" s="2">
        <f>TY3A_REP_CITIES!G25</f>
        <v>4</v>
      </c>
      <c r="G25" s="2" t="str">
        <f>TY3A_REP_CITIES!H25</f>
        <v>Mixed-Humid</v>
      </c>
      <c r="H25" s="2" t="str">
        <f>TY3A_REP_CITIES!I25</f>
        <v>Southeast</v>
      </c>
      <c r="I25" s="2">
        <f>Data!B25</f>
        <v>34.35</v>
      </c>
      <c r="J25" s="2">
        <f>Data!C25</f>
        <v>-85.17</v>
      </c>
      <c r="K25" s="2">
        <f>VLOOKUP(D25,Table1[],2,FALSE)</f>
        <v>1</v>
      </c>
      <c r="L25" s="2">
        <v>0.5</v>
      </c>
      <c r="M25" s="10">
        <f>Data!N25</f>
        <v>5040.0345699999998</v>
      </c>
      <c r="N25" s="10">
        <f>Data!Q25</f>
        <v>29308</v>
      </c>
      <c r="O25" s="10">
        <f>Data!O25</f>
        <v>13968981364.9055</v>
      </c>
      <c r="P25" s="10">
        <f>Data!P25</f>
        <v>14551022255.109835</v>
      </c>
      <c r="Q25" s="10">
        <f>Data!S25*15</f>
        <v>10978.949691561724</v>
      </c>
      <c r="R25" s="48">
        <f>SUM(Data!U25:AA25)*2+Data!AB25</f>
        <v>192.40432993253935</v>
      </c>
      <c r="S25" s="48">
        <f>SUM(Data!V25:AB25)*2+Data!AC25</f>
        <v>175.73198015657809</v>
      </c>
      <c r="T25" s="48">
        <f>SUM(Data!W25:AC25)*2+Data!AD25</f>
        <v>145.72253248110445</v>
      </c>
      <c r="U25" s="48">
        <f>SUM(Data!X25:AD25)*2+Data!AE25</f>
        <v>132.78081747183569</v>
      </c>
      <c r="V25" s="48">
        <f>SUM(Data!Y25:AE25)*2+Data!AF25</f>
        <v>131.68168065818892</v>
      </c>
      <c r="W25" s="48">
        <f>SUM(Data!Z25:AF25)*2+Data!AG25</f>
        <v>128.89706732814244</v>
      </c>
      <c r="X25" s="48">
        <f>SUM(Data!AA25:AG25)*2+Data!AH25</f>
        <v>110.74334230940889</v>
      </c>
      <c r="Y25" s="48">
        <f>SUM(Data!AB25:AH25)*2+Data!AI25</f>
        <v>100.79976931297202</v>
      </c>
      <c r="Z25" s="80">
        <f>(SUM(Data!CS25:CY25)*2+Data!CZ25)/('Useful Constants'!$B$1*1000000)*$K25/100</f>
        <v>0.18018392518288817</v>
      </c>
      <c r="AA25" s="80">
        <f>(SUM(Data!CT25:CZ25)*2+Data!DA25)/('Useful Constants'!$B$1*1000000)*$K25/100</f>
        <v>0.15770159820209595</v>
      </c>
      <c r="AB25" s="80">
        <f>(SUM(Data!CU25:DA25)*2+Data!DB25)/('Useful Constants'!$B$1*1000000)*$K25/100</f>
        <v>0.13521692614140998</v>
      </c>
      <c r="AC25" s="80">
        <f>(SUM(Data!CV25:DB25)*2+Data!DC25)/('Useful Constants'!$B$1*1000000)*$K25/100</f>
        <v>0.11846832850990292</v>
      </c>
      <c r="AD25" s="80">
        <f>(SUM(Data!CW25:DC25)*2+Data!DD25)/('Useful Constants'!$B$1*1000000)*$K25/100</f>
        <v>0.10817312273659675</v>
      </c>
      <c r="AE25" s="80">
        <f>(SUM(Data!CX25:DD25)*2+Data!DE25)/('Useful Constants'!$B$1*1000000)*$K25/100</f>
        <v>0.10170812020475913</v>
      </c>
      <c r="AF25" s="80">
        <f>(SUM(Data!CY25:DE25)*2+Data!DF25)/('Useful Constants'!$B$1*1000000)*$K25/100</f>
        <v>9.202031280503449E-2</v>
      </c>
      <c r="AG25" s="80">
        <f>(SUM(Data!CZ25:DF25)*2+Data!DG25)/('Useful Constants'!$B$1*1000000)*$K25/100</f>
        <v>8.8957649535951533E-2</v>
      </c>
      <c r="AH25" s="48">
        <f>Z25*'Useful Constants'!$B$3</f>
        <v>15.135449715362606</v>
      </c>
      <c r="AI25" s="48">
        <f>AA25*'Useful Constants'!$B$3</f>
        <v>13.246934248976061</v>
      </c>
      <c r="AJ25" s="48">
        <f>AB25*'Useful Constants'!$B$3</f>
        <v>11.358221795878439</v>
      </c>
      <c r="AK25" s="48">
        <f>AC25*'Useful Constants'!$B$3</f>
        <v>9.951339594831845</v>
      </c>
      <c r="AL25" s="48">
        <f>AD25*'Useful Constants'!$B$3</f>
        <v>9.0865423098741278</v>
      </c>
      <c r="AM25" s="48">
        <f>AE25*'Useful Constants'!$B$3</f>
        <v>8.5434820971997674</v>
      </c>
      <c r="AN25" s="48">
        <f>AF25*'Useful Constants'!$B$3</f>
        <v>7.7297062756228971</v>
      </c>
      <c r="AO25" s="48">
        <f>AG25*'Useful Constants'!$B$3</f>
        <v>7.4724425610199283</v>
      </c>
      <c r="AP25" s="10">
        <f>Z25*'Useful Constants'!$B$4</f>
        <v>5.0451499051208692</v>
      </c>
      <c r="AQ25" s="10">
        <f>AA25*'Useful Constants'!$B$4</f>
        <v>4.4156447496586866</v>
      </c>
      <c r="AR25" s="10">
        <f>AB25*'Useful Constants'!$B$4</f>
        <v>3.7860739319594794</v>
      </c>
      <c r="AS25" s="10">
        <f>AC25*'Useful Constants'!$B$4</f>
        <v>3.3171131982772817</v>
      </c>
      <c r="AT25" s="10">
        <f>AD25*'Useful Constants'!$B$4</f>
        <v>3.0288474366247091</v>
      </c>
      <c r="AU25" s="10">
        <f>AE25*'Useful Constants'!$B$4</f>
        <v>2.8478273657332553</v>
      </c>
      <c r="AV25" s="10">
        <f>AF25*'Useful Constants'!$B$4</f>
        <v>2.5765687585409656</v>
      </c>
      <c r="AW25" s="10">
        <f>AG25*'Useful Constants'!$B$4</f>
        <v>2.4908141870066429</v>
      </c>
      <c r="AX25" s="48">
        <f>P25/1000000/'Useful Constants'!$B$1*K25/100*'Useful Constants'!$B$3*15</f>
        <v>3666.857608287678</v>
      </c>
      <c r="AY25" s="48">
        <f>P25/1000000/'Useful Constants'!$B$1*L25/100*'Useful Constants'!$B$3*15</f>
        <v>1833.428804143839</v>
      </c>
      <c r="AZ25" s="48">
        <f>P25/1000000/'Useful Constants'!$B$1*K25/100*'Useful Constants'!$B$4*15</f>
        <v>1222.2858694292258</v>
      </c>
      <c r="BA25" s="48">
        <f>P25/1000000/'Useful Constants'!$B$1*L25/100*'Useful Constants'!$B$4*15</f>
        <v>611.14293471461292</v>
      </c>
      <c r="BB25" s="7">
        <f>Data!AN25</f>
        <v>5040.0345699999998</v>
      </c>
      <c r="BC25" s="7">
        <f>Data!AQ25</f>
        <v>5040.0345699999998</v>
      </c>
      <c r="BD25" s="7">
        <f>Data!AT25</f>
        <v>5178.4676099999997</v>
      </c>
      <c r="BE25" s="6">
        <f>Data!AO25</f>
        <v>13141396836.2449</v>
      </c>
      <c r="BF25" s="6">
        <f>Data!AP25</f>
        <v>3987142048.72263</v>
      </c>
      <c r="BG25" s="6">
        <f>Data!AR25</f>
        <v>306323611.00292999</v>
      </c>
      <c r="BH25" s="6">
        <f>Data!AS25</f>
        <v>306323611.00292999</v>
      </c>
      <c r="BI25" s="8">
        <f t="shared" si="0"/>
        <v>0.9772211496956259</v>
      </c>
      <c r="BJ25" s="8">
        <f t="shared" si="1"/>
        <v>0.92865353183644406</v>
      </c>
      <c r="BK25" s="13">
        <f>BB25*'Useful Constants'!$B$5/'Useful Constants'!$B$6*'Useful Constants'!$B$7</f>
        <v>1.2897448464629999</v>
      </c>
      <c r="BL25" s="52">
        <f>1-VLOOKUP($G25,'Useful Constants'!$A$17:$X$23,10,FALSE)</f>
        <v>0</v>
      </c>
      <c r="BM25" s="52">
        <f>1-VLOOKUP($G25,'Useful Constants'!$A$17:$X$23,12,FALSE)</f>
        <v>0</v>
      </c>
      <c r="BN25" s="52">
        <f>1-VLOOKUP($G25,'Useful Constants'!$A$17:$X$23,14,FALSE)</f>
        <v>0</v>
      </c>
      <c r="BO25" s="52">
        <f>1-VLOOKUP($G25,'Useful Constants'!$A$17:$X$23,16,FALSE)</f>
        <v>0</v>
      </c>
      <c r="BP25" s="52">
        <f>1-VLOOKUP($G25,'Useful Constants'!$A$17:$X$23,18,FALSE)</f>
        <v>0</v>
      </c>
      <c r="BQ25" s="52">
        <f>1-VLOOKUP($G25,'Useful Constants'!$A$17:$X$23,20, FALSE)</f>
        <v>0</v>
      </c>
      <c r="BR25" s="52">
        <f>1-VLOOKUP($G25,'Useful Constants'!$A$17:$X$23,22, FALSE)</f>
        <v>0</v>
      </c>
      <c r="BS25" s="52">
        <f>1-VLOOKUP($G25,'Useful Constants'!$A$17:$X$23,24, FALSE)</f>
        <v>0</v>
      </c>
      <c r="BT25" s="13">
        <f t="shared" si="2"/>
        <v>0</v>
      </c>
      <c r="BU25" s="13">
        <f t="shared" si="3"/>
        <v>0</v>
      </c>
      <c r="BV25" s="13">
        <f t="shared" si="4"/>
        <v>0</v>
      </c>
      <c r="BW25" s="13">
        <f t="shared" si="5"/>
        <v>0</v>
      </c>
      <c r="BX25" s="13">
        <f t="shared" si="6"/>
        <v>0</v>
      </c>
      <c r="BY25" s="13">
        <f t="shared" si="7"/>
        <v>0</v>
      </c>
      <c r="BZ25" s="13">
        <f t="shared" si="8"/>
        <v>0</v>
      </c>
      <c r="CA25" s="13">
        <f t="shared" si="9"/>
        <v>0</v>
      </c>
      <c r="CB25" s="59">
        <f>+SUM(Data!BM25:BS25)*2+Data!BT25</f>
        <v>1131.9250012335717</v>
      </c>
      <c r="CC25" s="59">
        <f>+SUM(Data!BN25:BT25)*2+Data!BU25</f>
        <v>1034.0816029169866</v>
      </c>
      <c r="CD25" s="59">
        <f>+SUM(Data!BO25:BU25)*2+Data!BV25</f>
        <v>856.40511374979701</v>
      </c>
      <c r="CE25" s="59">
        <f>+SUM(Data!BP25:BV25)*2+Data!BW25</f>
        <v>780.92529314843659</v>
      </c>
      <c r="CF25" s="59">
        <f>+SUM(Data!BQ25:BW25)*2+Data!BX25</f>
        <v>775.09129256171025</v>
      </c>
      <c r="CG25" s="59">
        <f>+SUM(Data!BR25:BX25)*2+Data!BY25</f>
        <v>757.36425018188584</v>
      </c>
      <c r="CH25" s="59">
        <f>+SUM(Data!BS25:BY25)*2+Data!BZ25</f>
        <v>650.77516738135228</v>
      </c>
      <c r="CI25" s="59">
        <f>+SUM(Data!BT25:BZ25)*2+Data!CA25</f>
        <v>593.67036094422315</v>
      </c>
      <c r="CJ25" s="13">
        <f>+SUM(Data!AW25:BC25)*2+Data!BD25</f>
        <v>6452.094688826689</v>
      </c>
      <c r="CK25" s="13">
        <f>+SUM(Data!AX25:BD25)*2+Data!BE25</f>
        <v>5899.6869827073369</v>
      </c>
      <c r="CL25" s="13">
        <f>+SUM(Data!AY25:BE25)*2+Data!BF25</f>
        <v>4914.9865574979303</v>
      </c>
      <c r="CM25" s="13">
        <f>+SUM(Data!AZ25:BF25)*2+Data!BG25</f>
        <v>4458.9212563345491</v>
      </c>
      <c r="CN25" s="13">
        <f>+SUM(Data!BA25:BG25)*2+Data!BH25</f>
        <v>4414.4391007427921</v>
      </c>
      <c r="CO25" s="13">
        <f>+SUM(Data!BB25:BH25)*2+Data!BI25</f>
        <v>4335.8508557327332</v>
      </c>
      <c r="CP25" s="13">
        <f>+SUM(Data!BC25:BI25)*2+Data!BJ25</f>
        <v>3731.8456342777199</v>
      </c>
      <c r="CQ25" s="13">
        <f>+SUM(Data!BD25:BJ25)*2+Data!BK25</f>
        <v>3372.7060332926985</v>
      </c>
      <c r="CR25" s="59">
        <f>+SUM(Data!CC25:CI25)*2+Data!CJ25</f>
        <v>511.53104668828541</v>
      </c>
      <c r="CS25" s="59">
        <f>+SUM(Data!CD25:CJ25)*2+Data!CK25</f>
        <v>464.01514279017687</v>
      </c>
      <c r="CT25" s="59">
        <f>+SUM(Data!CE25:CK25)*2+Data!CL25</f>
        <v>381.17563323017686</v>
      </c>
      <c r="CU25" s="59">
        <f>+SUM(Data!CF25:CL25)*2+Data!CM25</f>
        <v>341.88858611580861</v>
      </c>
      <c r="CV25" s="59">
        <f>+SUM(Data!CG25:CM25)*2+Data!CN25</f>
        <v>337.82323865626483</v>
      </c>
      <c r="CW25" s="59">
        <f>+SUM(Data!CH25:CN25)*2+Data!CO25</f>
        <v>329.27006913086336</v>
      </c>
      <c r="CX25" s="59">
        <f>+SUM(Data!CI25:CO25)*2+Data!CP25</f>
        <v>272.85053967191402</v>
      </c>
      <c r="CY25" s="59">
        <f>+SUM(Data!CJ25:CP25)*2+Data!CQ25</f>
        <v>246.03345186337106</v>
      </c>
      <c r="CZ25" s="60">
        <f t="shared" si="10"/>
        <v>8095.5507367485461</v>
      </c>
      <c r="DA25" s="60">
        <f t="shared" si="11"/>
        <v>7397.7837284144998</v>
      </c>
      <c r="DB25" s="60">
        <f t="shared" si="12"/>
        <v>6152.5673044779041</v>
      </c>
      <c r="DC25" s="60">
        <f t="shared" si="13"/>
        <v>5581.7351355987939</v>
      </c>
      <c r="DD25" s="60">
        <f t="shared" si="14"/>
        <v>5527.3536319607674</v>
      </c>
      <c r="DE25" s="60">
        <f t="shared" si="15"/>
        <v>5422.4851750454827</v>
      </c>
      <c r="DF25" s="60">
        <f t="shared" si="16"/>
        <v>4655.4713413309855</v>
      </c>
      <c r="DG25" s="60">
        <f t="shared" si="17"/>
        <v>4212.4098461002923</v>
      </c>
      <c r="DH25" s="13">
        <f t="shared" si="18"/>
        <v>0</v>
      </c>
      <c r="DI25" s="13">
        <f t="shared" si="19"/>
        <v>0</v>
      </c>
      <c r="DJ25" s="13">
        <f t="shared" si="20"/>
        <v>0</v>
      </c>
      <c r="DK25" s="13">
        <f t="shared" si="21"/>
        <v>0</v>
      </c>
      <c r="DL25" s="13">
        <f t="shared" si="22"/>
        <v>0</v>
      </c>
      <c r="DM25" s="13">
        <f t="shared" si="23"/>
        <v>0</v>
      </c>
      <c r="DN25" s="13">
        <f t="shared" si="24"/>
        <v>0</v>
      </c>
      <c r="DO25" s="13">
        <f t="shared" si="25"/>
        <v>0</v>
      </c>
      <c r="DP25" s="50">
        <f>DH25*'Useful Constants'!$B$8</f>
        <v>0</v>
      </c>
      <c r="DQ25" s="50">
        <f>DI25*'Useful Constants'!$B$8</f>
        <v>0</v>
      </c>
      <c r="DR25" s="50">
        <f>DJ25*'Useful Constants'!$B$10</f>
        <v>0</v>
      </c>
      <c r="DS25" s="50">
        <f>DK25*'Useful Constants'!$B$10</f>
        <v>0</v>
      </c>
      <c r="DT25" s="50">
        <f>DL25*'Useful Constants'!$B$10</f>
        <v>0</v>
      </c>
      <c r="DU25" s="50">
        <f>DM25*'Useful Constants'!$B$10</f>
        <v>0</v>
      </c>
      <c r="DV25" s="50">
        <f>DN25*'Useful Constants'!$B$10</f>
        <v>0</v>
      </c>
      <c r="DW25" s="50">
        <f>DO25*'Useful Constants'!$B$10</f>
        <v>0</v>
      </c>
      <c r="DX25" s="14">
        <f>DH25*'Useful Constants'!$B$9</f>
        <v>0</v>
      </c>
      <c r="DY25" s="14">
        <f>DI25*'Useful Constants'!$B$9</f>
        <v>0</v>
      </c>
      <c r="DZ25" s="14">
        <f>DJ25*'Useful Constants'!$B$11</f>
        <v>0</v>
      </c>
      <c r="EA25" s="14">
        <f>DK25*'Useful Constants'!$B$11</f>
        <v>0</v>
      </c>
      <c r="EB25" s="14">
        <f>DL25*'Useful Constants'!$B$11</f>
        <v>0</v>
      </c>
      <c r="EC25" s="14">
        <f>DM25*'Useful Constants'!$B$11</f>
        <v>0</v>
      </c>
      <c r="ED25" s="14">
        <f>DN25*'Useful Constants'!$B$11</f>
        <v>0</v>
      </c>
      <c r="EE25" s="14">
        <f>DO25*'Useful Constants'!$B$11</f>
        <v>0</v>
      </c>
      <c r="EF25" s="78">
        <f>(SUM(Data!DI25:DO25)*2+Data!DP25)/('Useful Constants'!$B$1*1000000)*$K25/100</f>
        <v>7.4865652774131055</v>
      </c>
      <c r="EG25" s="78">
        <f>(SUM(Data!DJ25:DP25)*2+Data!DQ25)/('Useful Constants'!$B$1*1000000)*$K25/100</f>
        <v>6.5775416120603349</v>
      </c>
      <c r="EH25" s="78">
        <f>(SUM(Data!DK25:DQ25)*2+Data!DR25)/('Useful Constants'!$B$1*1000000)*$K25/100</f>
        <v>5.6628995162211</v>
      </c>
      <c r="EI25" s="78">
        <f>(SUM(Data!DL25:DR25)*2+Data!DS25)/('Useful Constants'!$B$1*1000000)*$K25/100</f>
        <v>4.9727252221499079</v>
      </c>
      <c r="EJ25" s="78">
        <f>(SUM(Data!DM25:DS25)*2+Data!DT25)/('Useful Constants'!$B$1*1000000)*$K25/100</f>
        <v>4.5512469284742396</v>
      </c>
      <c r="EK25" s="78">
        <f>(SUM(Data!DN25:DT25)*2+Data!DU25)/('Useful Constants'!$B$1*1000000)*$K25/100</f>
        <v>4.2847568242135177</v>
      </c>
      <c r="EL25" s="78">
        <f>(SUM(Data!DO25:DU25)*2+Data!DV25)/('Useful Constants'!$B$1*1000000)*$K25/100</f>
        <v>3.8791173421635512</v>
      </c>
      <c r="EM25" s="78">
        <f>(SUM(Data!DP25:DV25)*2+Data!DW25)/('Useful Constants'!$B$1*1000000)*$K25/100</f>
        <v>3.7536107472216895</v>
      </c>
      <c r="EN25" s="79">
        <f>EF25*'Useful Constants'!$B$3</f>
        <v>628.87148330270088</v>
      </c>
      <c r="EO25" s="79">
        <f>EG25*'Useful Constants'!$B$3</f>
        <v>552.51349541306809</v>
      </c>
      <c r="EP25" s="79">
        <f>EH25*'Useful Constants'!$B$3</f>
        <v>475.6835593625724</v>
      </c>
      <c r="EQ25" s="79">
        <f>EI25*'Useful Constants'!$B$3</f>
        <v>417.70891866059225</v>
      </c>
      <c r="ER25" s="79">
        <f>EJ25*'Useful Constants'!$B$3</f>
        <v>382.30474199183612</v>
      </c>
      <c r="ES25" s="79">
        <f>EK25*'Useful Constants'!$B$3</f>
        <v>359.91957323393547</v>
      </c>
      <c r="ET25" s="79">
        <f>EL25*'Useful Constants'!$B$3</f>
        <v>325.84585674173832</v>
      </c>
      <c r="EU25" s="79">
        <f>EM25*'Useful Constants'!$B$3</f>
        <v>315.30330276662193</v>
      </c>
      <c r="EV25" s="78">
        <f>EF25*'Useful Constants'!$B$4</f>
        <v>209.62382776756695</v>
      </c>
      <c r="EW25" s="78">
        <f>EG25*'Useful Constants'!$B$4</f>
        <v>184.17116513768937</v>
      </c>
      <c r="EX25" s="78">
        <f>EH25*'Useful Constants'!$B$4</f>
        <v>158.56118645419079</v>
      </c>
      <c r="EY25" s="78">
        <f>EI25*'Useful Constants'!$B$4</f>
        <v>139.23630622019743</v>
      </c>
      <c r="EZ25" s="78">
        <f>EJ25*'Useful Constants'!$B$4</f>
        <v>127.43491399727871</v>
      </c>
      <c r="FA25" s="78">
        <f>EK25*'Useful Constants'!$B$4</f>
        <v>119.9731910779785</v>
      </c>
      <c r="FB25" s="78">
        <f>EL25*'Useful Constants'!$B$4</f>
        <v>108.61528558057944</v>
      </c>
      <c r="FC25" s="78">
        <f>EM25*'Useful Constants'!$B$4</f>
        <v>105.10110092220731</v>
      </c>
      <c r="FD25" s="40">
        <f t="shared" si="26"/>
        <v>0.27532949710730781</v>
      </c>
      <c r="FE25" s="40">
        <f t="shared" si="27"/>
        <v>0.33680010365773866</v>
      </c>
      <c r="FF25" s="40">
        <f t="shared" si="28"/>
        <v>0.44694394759956407</v>
      </c>
      <c r="FG25" s="40">
        <f t="shared" si="29"/>
        <v>0.49767184048776358</v>
      </c>
      <c r="FH25" s="40">
        <f t="shared" si="30"/>
        <v>0.50251669353544592</v>
      </c>
      <c r="FI25" s="40">
        <f t="shared" si="31"/>
        <v>0.51183291480810689</v>
      </c>
      <c r="FJ25" s="40">
        <f t="shared" si="32"/>
        <v>0.58019835832138644</v>
      </c>
      <c r="FK25" s="40">
        <f t="shared" si="33"/>
        <v>0.61981000915450835</v>
      </c>
      <c r="FL25" s="4">
        <f t="shared" si="34"/>
        <v>0.47716549434787925</v>
      </c>
      <c r="FM25" s="4">
        <f t="shared" si="35"/>
        <v>0.52302647793708967</v>
      </c>
      <c r="FN25" s="4">
        <f t="shared" si="36"/>
        <v>0.6015794288899079</v>
      </c>
      <c r="FO25" s="4">
        <f t="shared" si="37"/>
        <v>0.6390653645805463</v>
      </c>
      <c r="FP25" s="4">
        <f t="shared" si="38"/>
        <v>0.64442497981990066</v>
      </c>
      <c r="FQ25" s="4">
        <f t="shared" si="39"/>
        <v>0.65201195949794244</v>
      </c>
      <c r="FR25" s="4">
        <f t="shared" si="40"/>
        <v>0.69987923319532741</v>
      </c>
      <c r="FS25" s="4">
        <f t="shared" si="41"/>
        <v>0.72704079101887731</v>
      </c>
      <c r="FT25" s="38">
        <f t="shared" si="42"/>
        <v>0.36162302990256623</v>
      </c>
      <c r="FU25" s="38">
        <f t="shared" si="43"/>
        <v>0.41643720219088809</v>
      </c>
      <c r="FV25" s="38">
        <f t="shared" si="44"/>
        <v>0.51310110625014338</v>
      </c>
      <c r="FW25" s="38">
        <f t="shared" si="45"/>
        <v>0.55817416247014695</v>
      </c>
      <c r="FX25" s="38">
        <f t="shared" si="46"/>
        <v>0.56323861405734055</v>
      </c>
      <c r="FY25" s="38">
        <f t="shared" si="47"/>
        <v>0.5718166306855309</v>
      </c>
      <c r="FZ25" s="38">
        <f t="shared" si="48"/>
        <v>0.63142520605192065</v>
      </c>
      <c r="GA25" s="38">
        <f t="shared" si="49"/>
        <v>0.66571527030111288</v>
      </c>
    </row>
    <row r="26" spans="1:183" x14ac:dyDescent="0.25">
      <c r="A26" s="1" t="str">
        <f>Data!A26</f>
        <v>GA_SAVANNAH-IAP_722070_TY3A</v>
      </c>
      <c r="B26" s="1" t="str">
        <f>TY3A_REP_CITIES!B26</f>
        <v>Savannah</v>
      </c>
      <c r="C26" s="1" t="str">
        <f>TY3A_REP_CITIES!C26</f>
        <v>Chatham</v>
      </c>
      <c r="D26" s="2" t="str">
        <f>TY3A_REP_CITIES!A26</f>
        <v>GA</v>
      </c>
      <c r="E26" s="42">
        <f>TY3A_REP_CITIES!E26</f>
        <v>289430</v>
      </c>
      <c r="F26" s="2">
        <f>TY3A_REP_CITIES!G26</f>
        <v>2</v>
      </c>
      <c r="G26" s="2" t="str">
        <f>TY3A_REP_CITIES!H26</f>
        <v>Hot-Humid</v>
      </c>
      <c r="H26" s="2" t="str">
        <f>TY3A_REP_CITIES!I26</f>
        <v>Southeast</v>
      </c>
      <c r="I26" s="2">
        <f>Data!B26</f>
        <v>32.119999999999997</v>
      </c>
      <c r="J26" s="2">
        <f>Data!C26</f>
        <v>-81.2</v>
      </c>
      <c r="K26" s="2">
        <f>VLOOKUP(D26,Table1[],2,FALSE)</f>
        <v>1</v>
      </c>
      <c r="L26" s="2">
        <v>0.5</v>
      </c>
      <c r="M26" s="10">
        <f>Data!N26</f>
        <v>5734.4524600000004</v>
      </c>
      <c r="N26" s="10">
        <f>Data!Q26</f>
        <v>29308</v>
      </c>
      <c r="O26" s="10">
        <f>Data!O26</f>
        <v>6451542585.8094797</v>
      </c>
      <c r="P26" s="10">
        <f>Data!P26</f>
        <v>6720356860.2181997</v>
      </c>
      <c r="Q26" s="10">
        <f>Data!S26*15</f>
        <v>5070.6031909041376</v>
      </c>
      <c r="R26" s="48">
        <f>SUM(Data!U26:AA26)*2+Data!AB26</f>
        <v>104.57736775419117</v>
      </c>
      <c r="S26" s="48">
        <f>SUM(Data!V26:AB26)*2+Data!AC26</f>
        <v>98.126811017474296</v>
      </c>
      <c r="T26" s="48">
        <f>SUM(Data!W26:AC26)*2+Data!AD26</f>
        <v>82.751579875483557</v>
      </c>
      <c r="U26" s="48">
        <f>SUM(Data!X26:AD26)*2+Data!AE26</f>
        <v>73.708269277315694</v>
      </c>
      <c r="V26" s="48">
        <f>SUM(Data!Y26:AE26)*2+Data!AF26</f>
        <v>73.57800711693821</v>
      </c>
      <c r="W26" s="48">
        <f>SUM(Data!Z26:AF26)*2+Data!AG26</f>
        <v>70.508530271373729</v>
      </c>
      <c r="X26" s="48">
        <f>SUM(Data!AA26:AG26)*2+Data!AH26</f>
        <v>62.745601671896729</v>
      </c>
      <c r="Y26" s="48">
        <f>SUM(Data!AB26:AH26)*2+Data!AI26</f>
        <v>58.640954748665322</v>
      </c>
      <c r="Z26" s="80">
        <f>(SUM(Data!CS26:CY26)*2+Data!CZ26)/('Useful Constants'!$B$1*1000000)*$K26/100</f>
        <v>9.5533846825056695E-2</v>
      </c>
      <c r="AA26" s="80">
        <f>(SUM(Data!CT26:CZ26)*2+Data!DA26)/('Useful Constants'!$B$1*1000000)*$K26/100</f>
        <v>8.4031995185794683E-2</v>
      </c>
      <c r="AB26" s="80">
        <f>(SUM(Data!CU26:DA26)*2+Data!DB26)/('Useful Constants'!$B$1*1000000)*$K26/100</f>
        <v>7.4282217099953834E-2</v>
      </c>
      <c r="AC26" s="80">
        <f>(SUM(Data!CV26:DB26)*2+Data!DC26)/('Useful Constants'!$B$1*1000000)*$K26/100</f>
        <v>6.7271112448207063E-2</v>
      </c>
      <c r="AD26" s="80">
        <f>(SUM(Data!CW26:DC26)*2+Data!DD26)/('Useful Constants'!$B$1*1000000)*$K26/100</f>
        <v>6.2433289704974956E-2</v>
      </c>
      <c r="AE26" s="80">
        <f>(SUM(Data!CX26:DD26)*2+Data!DE26)/('Useful Constants'!$B$1*1000000)*$K26/100</f>
        <v>5.9679443133549545E-2</v>
      </c>
      <c r="AF26" s="80">
        <f>(SUM(Data!CY26:DE26)*2+Data!DF26)/('Useful Constants'!$B$1*1000000)*$K26/100</f>
        <v>5.510492378265041E-2</v>
      </c>
      <c r="AG26" s="80">
        <f>(SUM(Data!CZ26:DF26)*2+Data!DG26)/('Useful Constants'!$B$1*1000000)*$K26/100</f>
        <v>5.450765490414456E-2</v>
      </c>
      <c r="AH26" s="48">
        <f>Z26*'Useful Constants'!$B$3</f>
        <v>8.0248431333047616</v>
      </c>
      <c r="AI26" s="48">
        <f>AA26*'Useful Constants'!$B$3</f>
        <v>7.0586875956067532</v>
      </c>
      <c r="AJ26" s="48">
        <f>AB26*'Useful Constants'!$B$3</f>
        <v>6.2397062363961222</v>
      </c>
      <c r="AK26" s="48">
        <f>AC26*'Useful Constants'!$B$3</f>
        <v>5.650773445649393</v>
      </c>
      <c r="AL26" s="48">
        <f>AD26*'Useful Constants'!$B$3</f>
        <v>5.2443963352178962</v>
      </c>
      <c r="AM26" s="48">
        <f>AE26*'Useful Constants'!$B$3</f>
        <v>5.0130732232181616</v>
      </c>
      <c r="AN26" s="48">
        <f>AF26*'Useful Constants'!$B$3</f>
        <v>4.6288135977426341</v>
      </c>
      <c r="AO26" s="48">
        <f>AG26*'Useful Constants'!$B$3</f>
        <v>4.5786430119481434</v>
      </c>
      <c r="AP26" s="10">
        <f>Z26*'Useful Constants'!$B$4</f>
        <v>2.6749477111015874</v>
      </c>
      <c r="AQ26" s="10">
        <f>AA26*'Useful Constants'!$B$4</f>
        <v>2.3528958652022514</v>
      </c>
      <c r="AR26" s="10">
        <f>AB26*'Useful Constants'!$B$4</f>
        <v>2.0799020787987073</v>
      </c>
      <c r="AS26" s="10">
        <f>AC26*'Useful Constants'!$B$4</f>
        <v>1.8835911485497978</v>
      </c>
      <c r="AT26" s="10">
        <f>AD26*'Useful Constants'!$B$4</f>
        <v>1.7481321117392987</v>
      </c>
      <c r="AU26" s="10">
        <f>AE26*'Useful Constants'!$B$4</f>
        <v>1.6710244077393872</v>
      </c>
      <c r="AV26" s="10">
        <f>AF26*'Useful Constants'!$B$4</f>
        <v>1.5429378659142114</v>
      </c>
      <c r="AW26" s="10">
        <f>AG26*'Useful Constants'!$B$4</f>
        <v>1.5262143373160477</v>
      </c>
      <c r="AX26" s="48">
        <f>P26/1000000/'Useful Constants'!$B$1*K26/100*'Useful Constants'!$B$3*15</f>
        <v>1693.529928774986</v>
      </c>
      <c r="AY26" s="48">
        <f>P26/1000000/'Useful Constants'!$B$1*L26/100*'Useful Constants'!$B$3*15</f>
        <v>846.76496438749302</v>
      </c>
      <c r="AZ26" s="48">
        <f>P26/1000000/'Useful Constants'!$B$1*K26/100*'Useful Constants'!$B$4*15</f>
        <v>564.50997625832861</v>
      </c>
      <c r="BA26" s="48">
        <f>P26/1000000/'Useful Constants'!$B$1*L26/100*'Useful Constants'!$B$4*15</f>
        <v>282.2549881291643</v>
      </c>
      <c r="BB26" s="7">
        <f>Data!AN26</f>
        <v>5734.4524600000004</v>
      </c>
      <c r="BC26" s="7">
        <f>Data!AQ26</f>
        <v>5734.4524600000004</v>
      </c>
      <c r="BD26" s="7">
        <f>Data!AT26</f>
        <v>4332.55861</v>
      </c>
      <c r="BE26" s="6">
        <f>Data!AO26</f>
        <v>6123302303.6004295</v>
      </c>
      <c r="BF26" s="6">
        <f>Data!AP26</f>
        <v>1760348194.3656299</v>
      </c>
      <c r="BG26" s="6">
        <f>Data!AR26</f>
        <v>89755204.882566705</v>
      </c>
      <c r="BH26" s="6">
        <f>Data!AS26</f>
        <v>89755204.882566705</v>
      </c>
      <c r="BI26" s="8">
        <f t="shared" si="0"/>
        <v>0.9855537785124282</v>
      </c>
      <c r="BJ26" s="8">
        <f t="shared" si="1"/>
        <v>0.95148638453448631</v>
      </c>
      <c r="BK26" s="13">
        <f>BB26*'Useful Constants'!$B$5/'Useful Constants'!$B$6*'Useful Constants'!$B$7</f>
        <v>1.467446384514</v>
      </c>
      <c r="BL26" s="52">
        <f>1-VLOOKUP($G26,'Useful Constants'!$A$17:$X$23,10,FALSE)</f>
        <v>0</v>
      </c>
      <c r="BM26" s="52">
        <f>1-VLOOKUP($G26,'Useful Constants'!$A$17:$X$23,12,FALSE)</f>
        <v>0</v>
      </c>
      <c r="BN26" s="52">
        <f>1-VLOOKUP($G26,'Useful Constants'!$A$17:$X$23,14,FALSE)</f>
        <v>0</v>
      </c>
      <c r="BO26" s="52">
        <f>1-VLOOKUP($G26,'Useful Constants'!$A$17:$X$23,16,FALSE)</f>
        <v>0</v>
      </c>
      <c r="BP26" s="52">
        <f>1-VLOOKUP($G26,'Useful Constants'!$A$17:$X$23,18,FALSE)</f>
        <v>0</v>
      </c>
      <c r="BQ26" s="52">
        <f>1-VLOOKUP($G26,'Useful Constants'!$A$17:$X$23,20, FALSE)</f>
        <v>0</v>
      </c>
      <c r="BR26" s="52">
        <f>1-VLOOKUP($G26,'Useful Constants'!$A$17:$X$23,22, FALSE)</f>
        <v>0</v>
      </c>
      <c r="BS26" s="52">
        <f>1-VLOOKUP($G26,'Useful Constants'!$A$17:$X$23,24, FALSE)</f>
        <v>0</v>
      </c>
      <c r="BT26" s="13">
        <f t="shared" si="2"/>
        <v>0</v>
      </c>
      <c r="BU26" s="13">
        <f t="shared" si="3"/>
        <v>0</v>
      </c>
      <c r="BV26" s="13">
        <f t="shared" si="4"/>
        <v>0</v>
      </c>
      <c r="BW26" s="13">
        <f t="shared" si="5"/>
        <v>0</v>
      </c>
      <c r="BX26" s="13">
        <f t="shared" si="6"/>
        <v>0</v>
      </c>
      <c r="BY26" s="13">
        <f t="shared" si="7"/>
        <v>0</v>
      </c>
      <c r="BZ26" s="13">
        <f t="shared" si="8"/>
        <v>0</v>
      </c>
      <c r="CA26" s="13">
        <f t="shared" si="9"/>
        <v>0</v>
      </c>
      <c r="CB26" s="59">
        <f>+SUM(Data!BM26:BS26)*2+Data!BT26</f>
        <v>551.30166833745409</v>
      </c>
      <c r="CC26" s="59">
        <f>+SUM(Data!BN26:BT26)*2+Data!BU26</f>
        <v>517.55597072130047</v>
      </c>
      <c r="CD26" s="59">
        <f>+SUM(Data!BO26:BU26)*2+Data!BV26</f>
        <v>436.16121912343488</v>
      </c>
      <c r="CE26" s="59">
        <f>+SUM(Data!BP26:BV26)*2+Data!BW26</f>
        <v>388.70125206920039</v>
      </c>
      <c r="CF26" s="59">
        <f>+SUM(Data!BQ26:BW26)*2+Data!BX26</f>
        <v>388.06332311610601</v>
      </c>
      <c r="CG26" s="59">
        <f>+SUM(Data!BR26:BX26)*2+Data!BY26</f>
        <v>371.41962616350389</v>
      </c>
      <c r="CH26" s="59">
        <f>+SUM(Data!BS26:BY26)*2+Data!BZ26</f>
        <v>330.63781804163847</v>
      </c>
      <c r="CI26" s="59">
        <f>+SUM(Data!BT26:BZ26)*2+Data!CA26</f>
        <v>309.34369893789608</v>
      </c>
      <c r="CJ26" s="13">
        <f>+SUM(Data!AW26:BC26)*2+Data!BD26</f>
        <v>3087.0344444473653</v>
      </c>
      <c r="CK26" s="13">
        <f>+SUM(Data!AX26:BD26)*2+Data!BE26</f>
        <v>2900.4224633124259</v>
      </c>
      <c r="CL26" s="13">
        <f>+SUM(Data!AY26:BE26)*2+Data!BF26</f>
        <v>2455.3396912390135</v>
      </c>
      <c r="CM26" s="13">
        <f>+SUM(Data!AZ26:BF26)*2+Data!BG26</f>
        <v>2175.2699951084664</v>
      </c>
      <c r="CN26" s="13">
        <f>+SUM(Data!BA26:BG26)*2+Data!BH26</f>
        <v>2168.3949820224975</v>
      </c>
      <c r="CO26" s="13">
        <f>+SUM(Data!BB26:BH26)*2+Data!BI26</f>
        <v>2084.0944713134022</v>
      </c>
      <c r="CP26" s="13">
        <f>+SUM(Data!BC26:BI26)*2+Data!BJ26</f>
        <v>1863.5971454330365</v>
      </c>
      <c r="CQ26" s="13">
        <f>+SUM(Data!BD26:BJ26)*2+Data!BK26</f>
        <v>1732.2179197383405</v>
      </c>
      <c r="CR26" s="59">
        <f>+SUM(Data!CC26:CI26)*2+Data!CJ26</f>
        <v>173.51692238638759</v>
      </c>
      <c r="CS26" s="59">
        <f>+SUM(Data!CD26:CJ26)*2+Data!CK26</f>
        <v>160.89793378870135</v>
      </c>
      <c r="CT26" s="59">
        <f>+SUM(Data!CE26:CK26)*2+Data!CL26</f>
        <v>136.43197803003758</v>
      </c>
      <c r="CU26" s="59">
        <f>+SUM(Data!CF26:CL26)*2+Data!CM26</f>
        <v>118.67269312815246</v>
      </c>
      <c r="CV26" s="59">
        <f>+SUM(Data!CG26:CM26)*2+Data!CN26</f>
        <v>117.24542086295639</v>
      </c>
      <c r="CW26" s="59">
        <f>+SUM(Data!CH26:CN26)*2+Data!CO26</f>
        <v>111.0922575092968</v>
      </c>
      <c r="CX26" s="59">
        <f>+SUM(Data!CI26:CO26)*2+Data!CP26</f>
        <v>95.50151820131515</v>
      </c>
      <c r="CY26" s="59">
        <f>+SUM(Data!CJ26:CP26)*2+Data!CQ26</f>
        <v>89.141142250132589</v>
      </c>
      <c r="CZ26" s="60">
        <f t="shared" si="10"/>
        <v>3811.853035171207</v>
      </c>
      <c r="DA26" s="60">
        <f t="shared" si="11"/>
        <v>3578.8763678224277</v>
      </c>
      <c r="DB26" s="60">
        <f t="shared" si="12"/>
        <v>3027.9328883924859</v>
      </c>
      <c r="DC26" s="60">
        <f t="shared" si="13"/>
        <v>2682.6439403058193</v>
      </c>
      <c r="DD26" s="60">
        <f t="shared" si="14"/>
        <v>2673.70372600156</v>
      </c>
      <c r="DE26" s="60">
        <f t="shared" si="15"/>
        <v>2566.6063549862029</v>
      </c>
      <c r="DF26" s="60">
        <f t="shared" si="16"/>
        <v>2289.7364816759905</v>
      </c>
      <c r="DG26" s="60">
        <f t="shared" si="17"/>
        <v>2130.7027609263691</v>
      </c>
      <c r="DH26" s="13">
        <f t="shared" si="18"/>
        <v>0</v>
      </c>
      <c r="DI26" s="13">
        <f t="shared" si="19"/>
        <v>0</v>
      </c>
      <c r="DJ26" s="13">
        <f t="shared" si="20"/>
        <v>0</v>
      </c>
      <c r="DK26" s="13">
        <f t="shared" si="21"/>
        <v>0</v>
      </c>
      <c r="DL26" s="13">
        <f t="shared" si="22"/>
        <v>0</v>
      </c>
      <c r="DM26" s="13">
        <f t="shared" si="23"/>
        <v>0</v>
      </c>
      <c r="DN26" s="13">
        <f t="shared" si="24"/>
        <v>0</v>
      </c>
      <c r="DO26" s="13">
        <f t="shared" si="25"/>
        <v>0</v>
      </c>
      <c r="DP26" s="50">
        <f>DH26*'Useful Constants'!$B$8</f>
        <v>0</v>
      </c>
      <c r="DQ26" s="50">
        <f>DI26*'Useful Constants'!$B$8</f>
        <v>0</v>
      </c>
      <c r="DR26" s="50">
        <f>DJ26*'Useful Constants'!$B$10</f>
        <v>0</v>
      </c>
      <c r="DS26" s="50">
        <f>DK26*'Useful Constants'!$B$10</f>
        <v>0</v>
      </c>
      <c r="DT26" s="50">
        <f>DL26*'Useful Constants'!$B$10</f>
        <v>0</v>
      </c>
      <c r="DU26" s="50">
        <f>DM26*'Useful Constants'!$B$10</f>
        <v>0</v>
      </c>
      <c r="DV26" s="50">
        <f>DN26*'Useful Constants'!$B$10</f>
        <v>0</v>
      </c>
      <c r="DW26" s="50">
        <f>DO26*'Useful Constants'!$B$10</f>
        <v>0</v>
      </c>
      <c r="DX26" s="14">
        <f>DH26*'Useful Constants'!$B$9</f>
        <v>0</v>
      </c>
      <c r="DY26" s="14">
        <f>DI26*'Useful Constants'!$B$9</f>
        <v>0</v>
      </c>
      <c r="DZ26" s="14">
        <f>DJ26*'Useful Constants'!$B$11</f>
        <v>0</v>
      </c>
      <c r="EA26" s="14">
        <f>DK26*'Useful Constants'!$B$11</f>
        <v>0</v>
      </c>
      <c r="EB26" s="14">
        <f>DL26*'Useful Constants'!$B$11</f>
        <v>0</v>
      </c>
      <c r="EC26" s="14">
        <f>DM26*'Useful Constants'!$B$11</f>
        <v>0</v>
      </c>
      <c r="ED26" s="14">
        <f>DN26*'Useful Constants'!$B$11</f>
        <v>0</v>
      </c>
      <c r="EE26" s="14">
        <f>DO26*'Useful Constants'!$B$11</f>
        <v>0</v>
      </c>
      <c r="EF26" s="78">
        <f>(SUM(Data!DI26:DO26)*2+Data!DP26)/('Useful Constants'!$B$1*1000000)*$K26/100</f>
        <v>3.4521461203089596</v>
      </c>
      <c r="EG26" s="78">
        <f>(SUM(Data!DJ26:DP26)*2+Data!DQ26)/('Useful Constants'!$B$1*1000000)*$K26/100</f>
        <v>3.0500884611036048</v>
      </c>
      <c r="EH26" s="78">
        <f>(SUM(Data!DK26:DQ26)*2+Data!DR26)/('Useful Constants'!$B$1*1000000)*$K26/100</f>
        <v>2.7156954264774655</v>
      </c>
      <c r="EI26" s="78">
        <f>(SUM(Data!DL26:DR26)*2+Data!DS26)/('Useful Constants'!$B$1*1000000)*$K26/100</f>
        <v>2.4749726819696183</v>
      </c>
      <c r="EJ26" s="78">
        <f>(SUM(Data!DM26:DS26)*2+Data!DT26)/('Useful Constants'!$B$1*1000000)*$K26/100</f>
        <v>2.3067454248790331</v>
      </c>
      <c r="EK26" s="78">
        <f>(SUM(Data!DN26:DT26)*2+Data!DU26)/('Useful Constants'!$B$1*1000000)*$K26/100</f>
        <v>2.211692204613259</v>
      </c>
      <c r="EL26" s="78">
        <f>(SUM(Data!DO26:DU26)*2+Data!DV26)/('Useful Constants'!$B$1*1000000)*$K26/100</f>
        <v>2.048055941152187</v>
      </c>
      <c r="EM26" s="78">
        <f>(SUM(Data!DP26:DV26)*2+Data!DW26)/('Useful Constants'!$B$1*1000000)*$K26/100</f>
        <v>2.0303808591643793</v>
      </c>
      <c r="EN26" s="79">
        <f>EF26*'Useful Constants'!$B$3</f>
        <v>289.98027410595262</v>
      </c>
      <c r="EO26" s="79">
        <f>EG26*'Useful Constants'!$B$3</f>
        <v>256.20743073270279</v>
      </c>
      <c r="EP26" s="79">
        <f>EH26*'Useful Constants'!$B$3</f>
        <v>228.1184158241071</v>
      </c>
      <c r="EQ26" s="79">
        <f>EI26*'Useful Constants'!$B$3</f>
        <v>207.89770528544793</v>
      </c>
      <c r="ER26" s="79">
        <f>EJ26*'Useful Constants'!$B$3</f>
        <v>193.76661568983877</v>
      </c>
      <c r="ES26" s="79">
        <f>EK26*'Useful Constants'!$B$3</f>
        <v>185.78214518751375</v>
      </c>
      <c r="ET26" s="79">
        <f>EL26*'Useful Constants'!$B$3</f>
        <v>172.0366990567837</v>
      </c>
      <c r="EU26" s="79">
        <f>EM26*'Useful Constants'!$B$3</f>
        <v>170.55199216980785</v>
      </c>
      <c r="EV26" s="78">
        <f>EF26*'Useful Constants'!$B$4</f>
        <v>96.660091368650868</v>
      </c>
      <c r="EW26" s="78">
        <f>EG26*'Useful Constants'!$B$4</f>
        <v>85.40247691090093</v>
      </c>
      <c r="EX26" s="78">
        <f>EH26*'Useful Constants'!$B$4</f>
        <v>76.03947194136903</v>
      </c>
      <c r="EY26" s="78">
        <f>EI26*'Useful Constants'!$B$4</f>
        <v>69.299235095149314</v>
      </c>
      <c r="EZ26" s="78">
        <f>EJ26*'Useful Constants'!$B$4</f>
        <v>64.588871896612929</v>
      </c>
      <c r="FA26" s="78">
        <f>EK26*'Useful Constants'!$B$4</f>
        <v>61.927381729171252</v>
      </c>
      <c r="FB26" s="78">
        <f>EL26*'Useful Constants'!$B$4</f>
        <v>57.345566352261237</v>
      </c>
      <c r="FC26" s="78">
        <f>EM26*'Useful Constants'!$B$4</f>
        <v>56.850664056602618</v>
      </c>
      <c r="FD26" s="40">
        <f t="shared" si="26"/>
        <v>0.2634357406537649</v>
      </c>
      <c r="FE26" s="40">
        <f t="shared" si="27"/>
        <v>0.30759076862364915</v>
      </c>
      <c r="FF26" s="40">
        <f t="shared" si="28"/>
        <v>0.41243461335878351</v>
      </c>
      <c r="FG26" s="40">
        <f t="shared" si="29"/>
        <v>0.47852225490810474</v>
      </c>
      <c r="FH26" s="40">
        <f t="shared" si="30"/>
        <v>0.48024697749175094</v>
      </c>
      <c r="FI26" s="40">
        <f t="shared" si="31"/>
        <v>0.50076822014687705</v>
      </c>
      <c r="FJ26" s="40">
        <f t="shared" si="32"/>
        <v>0.55394878193598318</v>
      </c>
      <c r="FK26" s="40">
        <f t="shared" si="33"/>
        <v>0.58459712573202283</v>
      </c>
      <c r="FL26" s="4">
        <f t="shared" si="34"/>
        <v>0.46891523886430686</v>
      </c>
      <c r="FM26" s="4">
        <f t="shared" si="35"/>
        <v>0.50297534267724264</v>
      </c>
      <c r="FN26" s="4">
        <f t="shared" si="36"/>
        <v>0.57713011867063846</v>
      </c>
      <c r="FO26" s="4">
        <f t="shared" si="37"/>
        <v>0.6241293889222701</v>
      </c>
      <c r="FP26" s="4">
        <f t="shared" si="38"/>
        <v>0.62710343680949054</v>
      </c>
      <c r="FQ26" s="4">
        <f t="shared" si="39"/>
        <v>0.6419154024821393</v>
      </c>
      <c r="FR26" s="4">
        <f t="shared" si="40"/>
        <v>0.67938449945015889</v>
      </c>
      <c r="FS26" s="4">
        <f t="shared" si="41"/>
        <v>0.70012777383572233</v>
      </c>
      <c r="FT26" s="38">
        <f t="shared" si="42"/>
        <v>0.3512432616275995</v>
      </c>
      <c r="FU26" s="38">
        <f t="shared" si="43"/>
        <v>0.39109812533389815</v>
      </c>
      <c r="FV26" s="38">
        <f t="shared" si="44"/>
        <v>0.48286085969674597</v>
      </c>
      <c r="FW26" s="38">
        <f t="shared" si="45"/>
        <v>0.54080401534741462</v>
      </c>
      <c r="FX26" s="38">
        <f t="shared" si="46"/>
        <v>0.54306152402900731</v>
      </c>
      <c r="FY26" s="38">
        <f t="shared" si="47"/>
        <v>0.56114653993995589</v>
      </c>
      <c r="FZ26" s="38">
        <f t="shared" si="48"/>
        <v>0.60762006785560341</v>
      </c>
      <c r="GA26" s="38">
        <f t="shared" si="49"/>
        <v>0.63403755791091998</v>
      </c>
    </row>
    <row r="27" spans="1:183" x14ac:dyDescent="0.25">
      <c r="A27" s="1" t="str">
        <f>Data!A27</f>
        <v>IA_DES-MOINES-IAP_725460_TY3A</v>
      </c>
      <c r="B27" s="1" t="str">
        <f>TY3A_REP_CITIES!B27</f>
        <v>Des-Moines</v>
      </c>
      <c r="C27" s="1" t="str">
        <f>TY3A_REP_CITIES!C27</f>
        <v>Des Moines</v>
      </c>
      <c r="D27" s="2" t="str">
        <f>TY3A_REP_CITIES!A27</f>
        <v>IA</v>
      </c>
      <c r="E27" s="42">
        <f>TY3A_REP_CITIES!E27</f>
        <v>38967</v>
      </c>
      <c r="F27" s="2">
        <f>TY3A_REP_CITIES!G27</f>
        <v>5</v>
      </c>
      <c r="G27" s="2" t="str">
        <f>TY3A_REP_CITIES!H27</f>
        <v>Cold</v>
      </c>
      <c r="H27" s="2" t="str">
        <f>TY3A_REP_CITIES!I27</f>
        <v>Midwest</v>
      </c>
      <c r="I27" s="2">
        <f>Data!B27</f>
        <v>41.53</v>
      </c>
      <c r="J27" s="2">
        <f>Data!C27</f>
        <v>-93.67</v>
      </c>
      <c r="K27" s="2">
        <f>VLOOKUP(D27,Table1[],2,FALSE)</f>
        <v>2.2000000000000002</v>
      </c>
      <c r="L27" s="2">
        <v>0.5</v>
      </c>
      <c r="M27" s="10">
        <f>Data!N27</f>
        <v>5910.8598300000003</v>
      </c>
      <c r="N27" s="10">
        <f>Data!Q27</f>
        <v>29308</v>
      </c>
      <c r="O27" s="10">
        <f>Data!O27</f>
        <v>54664908183.771599</v>
      </c>
      <c r="P27" s="10">
        <f>Data!P27</f>
        <v>56942612691.429253</v>
      </c>
      <c r="Q27" s="10">
        <f>Data!S27*15</f>
        <v>42963.997242581754</v>
      </c>
      <c r="R27" s="48">
        <f>SUM(Data!U27:AA27)*2+Data!AB27</f>
        <v>747.09623413142367</v>
      </c>
      <c r="S27" s="48">
        <f>SUM(Data!V27:AB27)*2+Data!AC27</f>
        <v>743.55481002589113</v>
      </c>
      <c r="T27" s="48">
        <f>SUM(Data!W27:AC27)*2+Data!AD27</f>
        <v>718.09845534495969</v>
      </c>
      <c r="U27" s="48">
        <f>SUM(Data!X27:AD27)*2+Data!AE27</f>
        <v>670.05265705949694</v>
      </c>
      <c r="V27" s="48">
        <f>SUM(Data!Y27:AE27)*2+Data!AF27</f>
        <v>729.12226979357854</v>
      </c>
      <c r="W27" s="48">
        <f>SUM(Data!Z27:AF27)*2+Data!AG27</f>
        <v>794.79565402244577</v>
      </c>
      <c r="X27" s="48">
        <f>SUM(Data!AA27:AG27)*2+Data!AH27</f>
        <v>787.16157041754116</v>
      </c>
      <c r="Y27" s="48">
        <f>SUM(Data!AB27:AH27)*2+Data!AI27</f>
        <v>716.56361478453675</v>
      </c>
      <c r="Z27" s="80">
        <f>(SUM(Data!CS27:CY27)*2+Data!CZ27)/('Useful Constants'!$B$1*1000000)*$K27/100</f>
        <v>0.31849259057014939</v>
      </c>
      <c r="AA27" s="80">
        <f>(SUM(Data!CT27:CZ27)*2+Data!DA27)/('Useful Constants'!$B$1*1000000)*$K27/100</f>
        <v>0.21772298498766415</v>
      </c>
      <c r="AB27" s="80">
        <f>(SUM(Data!CU27:DA27)*2+Data!DB27)/('Useful Constants'!$B$1*1000000)*$K27/100</f>
        <v>0.13668450638661725</v>
      </c>
      <c r="AC27" s="80">
        <f>(SUM(Data!CV27:DB27)*2+Data!DC27)/('Useful Constants'!$B$1*1000000)*$K27/100</f>
        <v>9.8092983415018278E-2</v>
      </c>
      <c r="AD27" s="80">
        <f>(SUM(Data!CW27:DC27)*2+Data!DD27)/('Useful Constants'!$B$1*1000000)*$K27/100</f>
        <v>7.2536204045877656E-2</v>
      </c>
      <c r="AE27" s="80">
        <f>(SUM(Data!CX27:DD27)*2+Data!DE27)/('Useful Constants'!$B$1*1000000)*$K27/100</f>
        <v>5.6632262511564585E-2</v>
      </c>
      <c r="AF27" s="80">
        <f>(SUM(Data!CY27:DE27)*2+Data!DF27)/('Useful Constants'!$B$1*1000000)*$K27/100</f>
        <v>4.5377140356937143E-2</v>
      </c>
      <c r="AG27" s="80">
        <f>(SUM(Data!CZ27:DF27)*2+Data!DG27)/('Useful Constants'!$B$1*1000000)*$K27/100</f>
        <v>4.2201967052914055E-2</v>
      </c>
      <c r="AH27" s="48">
        <f>Z27*'Useful Constants'!$B$3</f>
        <v>26.753377607892549</v>
      </c>
      <c r="AI27" s="48">
        <f>AA27*'Useful Constants'!$B$3</f>
        <v>18.288730738963789</v>
      </c>
      <c r="AJ27" s="48">
        <f>AB27*'Useful Constants'!$B$3</f>
        <v>11.481498536475849</v>
      </c>
      <c r="AK27" s="48">
        <f>AC27*'Useful Constants'!$B$3</f>
        <v>8.2398106068615355</v>
      </c>
      <c r="AL27" s="48">
        <f>AD27*'Useful Constants'!$B$3</f>
        <v>6.0930411398537228</v>
      </c>
      <c r="AM27" s="48">
        <f>AE27*'Useful Constants'!$B$3</f>
        <v>4.7571100509714253</v>
      </c>
      <c r="AN27" s="48">
        <f>AF27*'Useful Constants'!$B$3</f>
        <v>3.8116797899827199</v>
      </c>
      <c r="AO27" s="48">
        <f>AG27*'Useful Constants'!$B$3</f>
        <v>3.5449652324447807</v>
      </c>
      <c r="AP27" s="10">
        <f>Z27*'Useful Constants'!$B$4</f>
        <v>8.9177925359641836</v>
      </c>
      <c r="AQ27" s="10">
        <f>AA27*'Useful Constants'!$B$4</f>
        <v>6.0962435796545966</v>
      </c>
      <c r="AR27" s="10">
        <f>AB27*'Useful Constants'!$B$4</f>
        <v>3.8271661788252831</v>
      </c>
      <c r="AS27" s="10">
        <f>AC27*'Useful Constants'!$B$4</f>
        <v>2.7466035356205118</v>
      </c>
      <c r="AT27" s="10">
        <f>AD27*'Useful Constants'!$B$4</f>
        <v>2.0310137132845743</v>
      </c>
      <c r="AU27" s="10">
        <f>AE27*'Useful Constants'!$B$4</f>
        <v>1.5857033503238083</v>
      </c>
      <c r="AV27" s="10">
        <f>AF27*'Useful Constants'!$B$4</f>
        <v>1.2705599299942401</v>
      </c>
      <c r="AW27" s="10">
        <f>AG27*'Useful Constants'!$B$4</f>
        <v>1.1816550774815935</v>
      </c>
      <c r="AX27" s="48">
        <f>P27/1000000/'Useful Constants'!$B$1*K27/100*'Useful Constants'!$B$3*15</f>
        <v>31568.984476128386</v>
      </c>
      <c r="AY27" s="48">
        <f>P27/1000000/'Useful Constants'!$B$1*L27/100*'Useful Constants'!$B$3*15</f>
        <v>7174.7691991200863</v>
      </c>
      <c r="AZ27" s="48">
        <f>P27/1000000/'Useful Constants'!$B$1*K27/100*'Useful Constants'!$B$4*15</f>
        <v>10522.994825376127</v>
      </c>
      <c r="BA27" s="48">
        <f>P27/1000000/'Useful Constants'!$B$1*L27/100*'Useful Constants'!$B$4*15</f>
        <v>2391.5897330400285</v>
      </c>
      <c r="BB27" s="7">
        <f>Data!AN27</f>
        <v>5910.8598300000003</v>
      </c>
      <c r="BC27" s="7">
        <f>Data!AQ27</f>
        <v>5910.8598300000003</v>
      </c>
      <c r="BD27" s="7">
        <f>Data!AT27</f>
        <v>9285.7360000000008</v>
      </c>
      <c r="BE27" s="6">
        <f>Data!AO27</f>
        <v>43194787036.415802</v>
      </c>
      <c r="BF27" s="6">
        <f>Data!AP27</f>
        <v>16117261434.0221</v>
      </c>
      <c r="BG27" s="6">
        <f>Data!AR27</f>
        <v>9516579355.8171291</v>
      </c>
      <c r="BH27" s="6">
        <f>Data!AS27</f>
        <v>9516579355.8171291</v>
      </c>
      <c r="BI27" s="8">
        <f t="shared" si="0"/>
        <v>0.81945868591220195</v>
      </c>
      <c r="BJ27" s="8">
        <f t="shared" si="1"/>
        <v>0.62874937728452607</v>
      </c>
      <c r="BK27" s="13">
        <f>BB27*'Useful Constants'!$B$5/'Useful Constants'!$B$6*'Useful Constants'!$B$7</f>
        <v>1.512589030497</v>
      </c>
      <c r="BL27" s="52">
        <f>1-VLOOKUP($G27,'Useful Constants'!$A$17:$X$23,10,FALSE)</f>
        <v>6.6471999999999865E-2</v>
      </c>
      <c r="BM27" s="52">
        <f>1-VLOOKUP($G27,'Useful Constants'!$A$17:$X$23,12,FALSE)</f>
        <v>4.945672000000001E-2</v>
      </c>
      <c r="BN27" s="52">
        <f>1-VLOOKUP($G27,'Useful Constants'!$A$17:$X$23,14,FALSE)</f>
        <v>3.4455679999999989E-2</v>
      </c>
      <c r="BO27" s="52">
        <f>1-VLOOKUP($G27,'Useful Constants'!$A$17:$X$23,16,FALSE)</f>
        <v>2.1468880000000024E-2</v>
      </c>
      <c r="BP27" s="52">
        <f>1-VLOOKUP($G27,'Useful Constants'!$A$17:$X$23,18,FALSE)</f>
        <v>0</v>
      </c>
      <c r="BQ27" s="52">
        <f>1-VLOOKUP($G27,'Useful Constants'!$A$17:$X$23,20, FALSE)</f>
        <v>0</v>
      </c>
      <c r="BR27" s="52">
        <f>1-VLOOKUP($G27,'Useful Constants'!$A$17:$X$23,22, FALSE)</f>
        <v>0</v>
      </c>
      <c r="BS27" s="52">
        <f>1-VLOOKUP($G27,'Useful Constants'!$A$17:$X$23,24, FALSE)</f>
        <v>0</v>
      </c>
      <c r="BT27" s="13">
        <f t="shared" si="2"/>
        <v>0.10054481803519638</v>
      </c>
      <c r="BU27" s="13">
        <f t="shared" si="3"/>
        <v>7.4807692156361599E-2</v>
      </c>
      <c r="BV27" s="13">
        <f t="shared" si="4"/>
        <v>5.2117283606314853E-2</v>
      </c>
      <c r="BW27" s="13">
        <f t="shared" si="5"/>
        <v>3.2473592385056468E-2</v>
      </c>
      <c r="BX27" s="13">
        <f t="shared" si="6"/>
        <v>0</v>
      </c>
      <c r="BY27" s="13">
        <f t="shared" si="7"/>
        <v>0</v>
      </c>
      <c r="BZ27" s="13">
        <f t="shared" si="8"/>
        <v>0</v>
      </c>
      <c r="CA27" s="13">
        <f t="shared" si="9"/>
        <v>0</v>
      </c>
      <c r="CB27" s="59">
        <f>+SUM(Data!BM27:BS27)*2+Data!BT27</f>
        <v>3712.3017226964462</v>
      </c>
      <c r="CC27" s="59">
        <f>+SUM(Data!BN27:BT27)*2+Data!BU27</f>
        <v>3691.2826961585824</v>
      </c>
      <c r="CD27" s="59">
        <f>+SUM(Data!BO27:BU27)*2+Data!BV27</f>
        <v>3563.6424196085072</v>
      </c>
      <c r="CE27" s="59">
        <f>+SUM(Data!BP27:BV27)*2+Data!BW27</f>
        <v>3322.393429905761</v>
      </c>
      <c r="CF27" s="59">
        <f>+SUM(Data!BQ27:BW27)*2+Data!BX27</f>
        <v>3616.1111900431279</v>
      </c>
      <c r="CG27" s="59">
        <f>+SUM(Data!BR27:BX27)*2+Data!BY27</f>
        <v>3940.2925412545596</v>
      </c>
      <c r="CH27" s="59">
        <f>+SUM(Data!BS27:BY27)*2+Data!BZ27</f>
        <v>3901.5863040202694</v>
      </c>
      <c r="CI27" s="59">
        <f>+SUM(Data!BT27:BZ27)*2+Data!CA27</f>
        <v>3551.4484148638567</v>
      </c>
      <c r="CJ27" s="13">
        <f>+SUM(Data!AW27:BC27)*2+Data!BD27</f>
        <v>23023.385247160524</v>
      </c>
      <c r="CK27" s="13">
        <f>+SUM(Data!AX27:BD27)*2+Data!BE27</f>
        <v>22933.704220831372</v>
      </c>
      <c r="CL27" s="13">
        <f>+SUM(Data!AY27:BE27)*2+Data!BF27</f>
        <v>22145.913844796363</v>
      </c>
      <c r="CM27" s="13">
        <f>+SUM(Data!AZ27:BF27)*2+Data!BG27</f>
        <v>20673.894117358424</v>
      </c>
      <c r="CN27" s="13">
        <f>+SUM(Data!BA27:BG27)*2+Data!BH27</f>
        <v>22516.80216477218</v>
      </c>
      <c r="CO27" s="13">
        <f>+SUM(Data!BB27:BH27)*2+Data!BI27</f>
        <v>24562.13181962521</v>
      </c>
      <c r="CP27" s="13">
        <f>+SUM(Data!BC27:BI27)*2+Data!BJ27</f>
        <v>24337.40093027108</v>
      </c>
      <c r="CQ27" s="13">
        <f>+SUM(Data!BD27:BJ27)*2+Data!BK27</f>
        <v>22153.643434344482</v>
      </c>
      <c r="CR27" s="59">
        <f>+SUM(Data!CC27:CI27)*2+Data!CJ27</f>
        <v>15356.945915113081</v>
      </c>
      <c r="CS27" s="59">
        <f>+SUM(Data!CD27:CJ27)*2+Data!CK27</f>
        <v>15473.938863553962</v>
      </c>
      <c r="CT27" s="59">
        <f>+SUM(Data!CE27:CK27)*2+Data!CL27</f>
        <v>15056.628764240921</v>
      </c>
      <c r="CU27" s="59">
        <f>+SUM(Data!CF27:CL27)*2+Data!CM27</f>
        <v>14348.966362244835</v>
      </c>
      <c r="CV27" s="59">
        <f>+SUM(Data!CG27:CM27)*2+Data!CN27</f>
        <v>15638.881522065283</v>
      </c>
      <c r="CW27" s="59">
        <f>+SUM(Data!CH27:CN27)*2+Data!CO27</f>
        <v>17255.825790429171</v>
      </c>
      <c r="CX27" s="59">
        <f>+SUM(Data!CI27:CO27)*2+Data!CP27</f>
        <v>17300.473058065701</v>
      </c>
      <c r="CY27" s="59">
        <f>+SUM(Data!CJ27:CP27)*2+Data!CQ27</f>
        <v>15784.775551936027</v>
      </c>
      <c r="CZ27" s="60">
        <f t="shared" si="10"/>
        <v>42092.632884970051</v>
      </c>
      <c r="DA27" s="60">
        <f t="shared" si="11"/>
        <v>42098.925780543912</v>
      </c>
      <c r="DB27" s="60">
        <f t="shared" si="12"/>
        <v>40766.185028645792</v>
      </c>
      <c r="DC27" s="60">
        <f t="shared" si="13"/>
        <v>38345.253909509018</v>
      </c>
      <c r="DD27" s="60">
        <f t="shared" si="14"/>
        <v>41771.794876880595</v>
      </c>
      <c r="DE27" s="60">
        <f t="shared" si="15"/>
        <v>45758.250151308937</v>
      </c>
      <c r="DF27" s="60">
        <f t="shared" si="16"/>
        <v>45539.460292357049</v>
      </c>
      <c r="DG27" s="60">
        <f t="shared" si="17"/>
        <v>41489.867401144365</v>
      </c>
      <c r="DH27" s="13">
        <f t="shared" si="18"/>
        <v>0.10337742530976037</v>
      </c>
      <c r="DI27" s="13">
        <f t="shared" si="19"/>
        <v>7.6915218104852301E-2</v>
      </c>
      <c r="DJ27" s="13">
        <f t="shared" si="20"/>
        <v>5.3585562126865591E-2</v>
      </c>
      <c r="DK27" s="13">
        <f t="shared" si="21"/>
        <v>3.3388457375800561E-2</v>
      </c>
      <c r="DL27" s="13">
        <f t="shared" si="22"/>
        <v>0</v>
      </c>
      <c r="DM27" s="13">
        <f t="shared" si="23"/>
        <v>0</v>
      </c>
      <c r="DN27" s="13">
        <f t="shared" si="24"/>
        <v>0</v>
      </c>
      <c r="DO27" s="13">
        <f t="shared" si="25"/>
        <v>0</v>
      </c>
      <c r="DP27" s="50">
        <f>DH27*'Useful Constants'!$B$8</f>
        <v>440.38783181957916</v>
      </c>
      <c r="DQ27" s="50">
        <f>DI27*'Useful Constants'!$B$8</f>
        <v>327.65882912667081</v>
      </c>
      <c r="DR27" s="50">
        <f>DJ27*'Useful Constants'!$B$10</f>
        <v>130.2129159682834</v>
      </c>
      <c r="DS27" s="50">
        <f>DK27*'Useful Constants'!$B$10</f>
        <v>81.133951423195356</v>
      </c>
      <c r="DT27" s="50">
        <f>DL27*'Useful Constants'!$B$10</f>
        <v>0</v>
      </c>
      <c r="DU27" s="50">
        <f>DM27*'Useful Constants'!$B$10</f>
        <v>0</v>
      </c>
      <c r="DV27" s="50">
        <f>DN27*'Useful Constants'!$B$10</f>
        <v>0</v>
      </c>
      <c r="DW27" s="50">
        <f>DO27*'Useful Constants'!$B$10</f>
        <v>0</v>
      </c>
      <c r="DX27" s="14">
        <f>DH27*'Useful Constants'!$B$9</f>
        <v>198.89816629597894</v>
      </c>
      <c r="DY27" s="14">
        <f>DI27*'Useful Constants'!$B$9</f>
        <v>147.98487963373583</v>
      </c>
      <c r="DZ27" s="14">
        <f>DJ27*'Useful Constants'!$B$11</f>
        <v>36.277425559888002</v>
      </c>
      <c r="EA27" s="14">
        <f>DK27*'Useful Constants'!$B$11</f>
        <v>22.60398564341698</v>
      </c>
      <c r="EB27" s="14">
        <f>DL27*'Useful Constants'!$B$11</f>
        <v>0</v>
      </c>
      <c r="EC27" s="14">
        <f>DM27*'Useful Constants'!$B$11</f>
        <v>0</v>
      </c>
      <c r="ED27" s="14">
        <f>DN27*'Useful Constants'!$B$11</f>
        <v>0</v>
      </c>
      <c r="EE27" s="14">
        <f>DO27*'Useful Constants'!$B$11</f>
        <v>0</v>
      </c>
      <c r="EF27" s="78">
        <f>(SUM(Data!DI27:DO27)*2+Data!DP27)/('Useful Constants'!$B$1*1000000)*$K27/100</f>
        <v>18.748609501700752</v>
      </c>
      <c r="EG27" s="78">
        <f>(SUM(Data!DJ27:DP27)*2+Data!DQ27)/('Useful Constants'!$B$1*1000000)*$K27/100</f>
        <v>13.166381163760621</v>
      </c>
      <c r="EH27" s="78">
        <f>(SUM(Data!DK27:DQ27)*2+Data!DR27)/('Useful Constants'!$B$1*1000000)*$K27/100</f>
        <v>8.6174724076898173</v>
      </c>
      <c r="EI27" s="78">
        <f>(SUM(Data!DL27:DR27)*2+Data!DS27)/('Useful Constants'!$B$1*1000000)*$K27/100</f>
        <v>6.309788942918507</v>
      </c>
      <c r="EJ27" s="78">
        <f>(SUM(Data!DM27:DS27)*2+Data!DT27)/('Useful Constants'!$B$1*1000000)*$K27/100</f>
        <v>4.7404600408196345</v>
      </c>
      <c r="EK27" s="78">
        <f>(SUM(Data!DN27:DT27)*2+Data!DU27)/('Useful Constants'!$B$1*1000000)*$K27/100</f>
        <v>3.6978567834070044</v>
      </c>
      <c r="EL27" s="78">
        <f>(SUM(Data!DO27:DU27)*2+Data!DV27)/('Useful Constants'!$B$1*1000000)*$K27/100</f>
        <v>3.0680320572067128</v>
      </c>
      <c r="EM27" s="78">
        <f>(SUM(Data!DP27:DV27)*2+Data!DW27)/('Useful Constants'!$B$1*1000000)*$K27/100</f>
        <v>2.9330945491978566</v>
      </c>
      <c r="EN27" s="79">
        <f>EF27*'Useful Constants'!$B$3</f>
        <v>1574.8831981428632</v>
      </c>
      <c r="EO27" s="79">
        <f>EG27*'Useful Constants'!$B$3</f>
        <v>1105.9760177558921</v>
      </c>
      <c r="EP27" s="79">
        <f>EH27*'Useful Constants'!$B$3</f>
        <v>723.86768224594471</v>
      </c>
      <c r="EQ27" s="79">
        <f>EI27*'Useful Constants'!$B$3</f>
        <v>530.02227120515454</v>
      </c>
      <c r="ER27" s="79">
        <f>EJ27*'Useful Constants'!$B$3</f>
        <v>398.19864342884932</v>
      </c>
      <c r="ES27" s="79">
        <f>EK27*'Useful Constants'!$B$3</f>
        <v>310.61996980618835</v>
      </c>
      <c r="ET27" s="79">
        <f>EL27*'Useful Constants'!$B$3</f>
        <v>257.71469280536388</v>
      </c>
      <c r="EU27" s="79">
        <f>EM27*'Useful Constants'!$B$3</f>
        <v>246.37994213261996</v>
      </c>
      <c r="EV27" s="78">
        <f>EF27*'Useful Constants'!$B$4</f>
        <v>524.9610660476211</v>
      </c>
      <c r="EW27" s="78">
        <f>EG27*'Useful Constants'!$B$4</f>
        <v>368.65867258529738</v>
      </c>
      <c r="EX27" s="78">
        <f>EH27*'Useful Constants'!$B$4</f>
        <v>241.28922741531488</v>
      </c>
      <c r="EY27" s="78">
        <f>EI27*'Useful Constants'!$B$4</f>
        <v>176.67409040171819</v>
      </c>
      <c r="EZ27" s="78">
        <f>EJ27*'Useful Constants'!$B$4</f>
        <v>132.73288114294976</v>
      </c>
      <c r="FA27" s="78">
        <f>EK27*'Useful Constants'!$B$4</f>
        <v>103.53998993539612</v>
      </c>
      <c r="FB27" s="78">
        <f>EL27*'Useful Constants'!$B$4</f>
        <v>85.904897601787951</v>
      </c>
      <c r="FC27" s="78">
        <f>EM27*'Useful Constants'!$B$4</f>
        <v>82.126647377539982</v>
      </c>
      <c r="FD27" s="40">
        <f t="shared" si="26"/>
        <v>3.7026312155868407E-2</v>
      </c>
      <c r="FE27" s="40">
        <f t="shared" si="27"/>
        <v>3.6804309473281491E-2</v>
      </c>
      <c r="FF27" s="40">
        <f t="shared" si="28"/>
        <v>6.6752993937040428E-2</v>
      </c>
      <c r="FG27" s="40">
        <f t="shared" si="29"/>
        <v>0.12120800160188008</v>
      </c>
      <c r="FH27" s="40">
        <f t="shared" si="30"/>
        <v>4.3973162295051008E-2</v>
      </c>
      <c r="FI27" s="40">
        <f t="shared" si="31"/>
        <v>-4.5692696766777098E-2</v>
      </c>
      <c r="FJ27" s="40">
        <f t="shared" si="32"/>
        <v>-4.0874379739318241E-2</v>
      </c>
      <c r="FK27" s="40">
        <f t="shared" si="33"/>
        <v>5.0152594500225751E-2</v>
      </c>
      <c r="FL27" s="4">
        <f t="shared" si="34"/>
        <v>0.4652394760559978</v>
      </c>
      <c r="FM27" s="4">
        <f t="shared" si="35"/>
        <v>0.47213805387047753</v>
      </c>
      <c r="FN27" s="4">
        <f t="shared" si="36"/>
        <v>0.4951284183177988</v>
      </c>
      <c r="FO27" s="4">
        <f t="shared" si="37"/>
        <v>0.52714794240264073</v>
      </c>
      <c r="FP27" s="4">
        <f t="shared" si="38"/>
        <v>0.48849495051772307</v>
      </c>
      <c r="FQ27" s="4">
        <f t="shared" si="39"/>
        <v>0.44163888449527122</v>
      </c>
      <c r="FR27" s="4">
        <f t="shared" si="40"/>
        <v>0.44487414263667507</v>
      </c>
      <c r="FS27" s="4">
        <f t="shared" si="41"/>
        <v>0.4936633366736034</v>
      </c>
      <c r="FT27" s="38">
        <f t="shared" si="42"/>
        <v>0.24398697489426888</v>
      </c>
      <c r="FU27" s="38">
        <f t="shared" si="43"/>
        <v>0.2474501289457309</v>
      </c>
      <c r="FV27" s="38">
        <f t="shared" si="44"/>
        <v>0.27485187764784191</v>
      </c>
      <c r="FW27" s="38">
        <f t="shared" si="45"/>
        <v>0.31841572633613813</v>
      </c>
      <c r="FX27" s="38">
        <f t="shared" si="46"/>
        <v>0.25976463773465602</v>
      </c>
      <c r="FY27" s="38">
        <f t="shared" si="47"/>
        <v>0.19079276658566796</v>
      </c>
      <c r="FZ27" s="38">
        <f t="shared" si="48"/>
        <v>0.1948514307594193</v>
      </c>
      <c r="GA27" s="38">
        <f t="shared" si="49"/>
        <v>0.26546480663890437</v>
      </c>
    </row>
    <row r="28" spans="1:183" x14ac:dyDescent="0.25">
      <c r="A28" s="1" t="str">
        <f>Data!A28</f>
        <v>IA_SIOUX-CITY-SIOUX-GATEWAY-AP_725570_TY3A</v>
      </c>
      <c r="B28" s="1" t="str">
        <f>TY3A_REP_CITIES!B28</f>
        <v>Sioux-City</v>
      </c>
      <c r="C28" s="1" t="str">
        <f>TY3A_REP_CITIES!C28</f>
        <v>Woodbury</v>
      </c>
      <c r="D28" s="2" t="str">
        <f>TY3A_REP_CITIES!A28</f>
        <v>IA</v>
      </c>
      <c r="E28" s="42">
        <f>TY3A_REP_CITIES!E28</f>
        <v>103107</v>
      </c>
      <c r="F28" s="2">
        <f>TY3A_REP_CITIES!G28</f>
        <v>6</v>
      </c>
      <c r="G28" s="2" t="str">
        <f>TY3A_REP_CITIES!H28</f>
        <v>Cold</v>
      </c>
      <c r="H28" s="2" t="str">
        <f>TY3A_REP_CITIES!I28</f>
        <v>Midwest</v>
      </c>
      <c r="I28" s="2">
        <f>Data!B28</f>
        <v>42.38</v>
      </c>
      <c r="J28" s="2">
        <f>Data!C28</f>
        <v>-96.38</v>
      </c>
      <c r="K28" s="2">
        <f>VLOOKUP(D28,Table1[],2,FALSE)</f>
        <v>2.2000000000000002</v>
      </c>
      <c r="L28" s="2">
        <v>0.5</v>
      </c>
      <c r="M28" s="10">
        <f>Data!N28</f>
        <v>6163.0136400000001</v>
      </c>
      <c r="N28" s="10">
        <f>Data!Q28</f>
        <v>29308</v>
      </c>
      <c r="O28" s="10">
        <f>Data!O28</f>
        <v>63301847917.517197</v>
      </c>
      <c r="P28" s="10">
        <f>Data!P28</f>
        <v>65939424914.080002</v>
      </c>
      <c r="Q28" s="10">
        <f>Data!S28*15</f>
        <v>49752.217825656124</v>
      </c>
      <c r="R28" s="48">
        <f>SUM(Data!U28:AA28)*2+Data!AB28</f>
        <v>934.01710888068806</v>
      </c>
      <c r="S28" s="48">
        <f>SUM(Data!V28:AB28)*2+Data!AC28</f>
        <v>930.53125565306266</v>
      </c>
      <c r="T28" s="48">
        <f>SUM(Data!W28:AC28)*2+Data!AD28</f>
        <v>898.3578997677298</v>
      </c>
      <c r="U28" s="48">
        <f>SUM(Data!X28:AD28)*2+Data!AE28</f>
        <v>838.22979125744155</v>
      </c>
      <c r="V28" s="48">
        <f>SUM(Data!Y28:AE28)*2+Data!AF28</f>
        <v>911.68497405395624</v>
      </c>
      <c r="W28" s="48">
        <f>SUM(Data!Z28:AF28)*2+Data!AG28</f>
        <v>993.94795798634868</v>
      </c>
      <c r="X28" s="48">
        <f>SUM(Data!AA28:AG28)*2+Data!AH28</f>
        <v>984.79738819971601</v>
      </c>
      <c r="Y28" s="48">
        <f>SUM(Data!AB28:AH28)*2+Data!AI28</f>
        <v>896.36317859828603</v>
      </c>
      <c r="Z28" s="80">
        <f>(SUM(Data!CS28:CY28)*2+Data!CZ28)/('Useful Constants'!$B$1*1000000)*$K28/100</f>
        <v>0.39036536004486438</v>
      </c>
      <c r="AA28" s="80">
        <f>(SUM(Data!CT28:CZ28)*2+Data!DA28)/('Useful Constants'!$B$1*1000000)*$K28/100</f>
        <v>0.26581788478238366</v>
      </c>
      <c r="AB28" s="80">
        <f>(SUM(Data!CU28:DA28)*2+Data!DB28)/('Useful Constants'!$B$1*1000000)*$K28/100</f>
        <v>0.16501907671464863</v>
      </c>
      <c r="AC28" s="80">
        <f>(SUM(Data!CV28:DB28)*2+Data!DC28)/('Useful Constants'!$B$1*1000000)*$K28/100</f>
        <v>0.11742418430189895</v>
      </c>
      <c r="AD28" s="80">
        <f>(SUM(Data!CW28:DC28)*2+Data!DD28)/('Useful Constants'!$B$1*1000000)*$K28/100</f>
        <v>8.710101812027235E-2</v>
      </c>
      <c r="AE28" s="80">
        <f>(SUM(Data!CX28:DD28)*2+Data!DE28)/('Useful Constants'!$B$1*1000000)*$K28/100</f>
        <v>6.7991190605941651E-2</v>
      </c>
      <c r="AF28" s="80">
        <f>(SUM(Data!CY28:DE28)*2+Data!DF28)/('Useful Constants'!$B$1*1000000)*$K28/100</f>
        <v>5.387355974972019E-2</v>
      </c>
      <c r="AG28" s="80">
        <f>(SUM(Data!CZ28:DF28)*2+Data!DG28)/('Useful Constants'!$B$1*1000000)*$K28/100</f>
        <v>4.9758507921021052E-2</v>
      </c>
      <c r="AH28" s="48">
        <f>Z28*'Useful Constants'!$B$3</f>
        <v>32.790690243768609</v>
      </c>
      <c r="AI28" s="48">
        <f>AA28*'Useful Constants'!$B$3</f>
        <v>22.328702321720229</v>
      </c>
      <c r="AJ28" s="48">
        <f>AB28*'Useful Constants'!$B$3</f>
        <v>13.861602444030485</v>
      </c>
      <c r="AK28" s="48">
        <f>AC28*'Useful Constants'!$B$3</f>
        <v>9.8636314813595121</v>
      </c>
      <c r="AL28" s="48">
        <f>AD28*'Useful Constants'!$B$3</f>
        <v>7.3164855221028775</v>
      </c>
      <c r="AM28" s="48">
        <f>AE28*'Useful Constants'!$B$3</f>
        <v>5.7112600108990987</v>
      </c>
      <c r="AN28" s="48">
        <f>AF28*'Useful Constants'!$B$3</f>
        <v>4.525379018976496</v>
      </c>
      <c r="AO28" s="48">
        <f>AG28*'Useful Constants'!$B$3</f>
        <v>4.1797146653657684</v>
      </c>
      <c r="AP28" s="10">
        <f>Z28*'Useful Constants'!$B$4</f>
        <v>10.930230081256203</v>
      </c>
      <c r="AQ28" s="10">
        <f>AA28*'Useful Constants'!$B$4</f>
        <v>7.442900773906743</v>
      </c>
      <c r="AR28" s="10">
        <f>AB28*'Useful Constants'!$B$4</f>
        <v>4.6205341480101616</v>
      </c>
      <c r="AS28" s="10">
        <f>AC28*'Useful Constants'!$B$4</f>
        <v>3.2878771604531707</v>
      </c>
      <c r="AT28" s="10">
        <f>AD28*'Useful Constants'!$B$4</f>
        <v>2.4388285073676257</v>
      </c>
      <c r="AU28" s="10">
        <f>AE28*'Useful Constants'!$B$4</f>
        <v>1.9037533369663662</v>
      </c>
      <c r="AV28" s="10">
        <f>AF28*'Useful Constants'!$B$4</f>
        <v>1.5084596729921653</v>
      </c>
      <c r="AW28" s="10">
        <f>AG28*'Useful Constants'!$B$4</f>
        <v>1.3932382217885895</v>
      </c>
      <c r="AX28" s="48">
        <f>P28/1000000/'Useful Constants'!$B$1*K28/100*'Useful Constants'!$B$3*15</f>
        <v>36556.817172365947</v>
      </c>
      <c r="AY28" s="48">
        <f>P28/1000000/'Useful Constants'!$B$1*L28/100*'Useful Constants'!$B$3*15</f>
        <v>8308.3675391740799</v>
      </c>
      <c r="AZ28" s="48">
        <f>P28/1000000/'Useful Constants'!$B$1*K28/100*'Useful Constants'!$B$4*15</f>
        <v>12185.605724121982</v>
      </c>
      <c r="BA28" s="48">
        <f>P28/1000000/'Useful Constants'!$B$1*L28/100*'Useful Constants'!$B$4*15</f>
        <v>2769.45584639136</v>
      </c>
      <c r="BB28" s="7">
        <f>Data!AN28</f>
        <v>6163.0136400000001</v>
      </c>
      <c r="BC28" s="7">
        <f>Data!AQ28</f>
        <v>6163.0136400000001</v>
      </c>
      <c r="BD28" s="7">
        <f>Data!AT28</f>
        <v>9991.9028799999996</v>
      </c>
      <c r="BE28" s="6">
        <f>Data!AO28</f>
        <v>47488610674.980797</v>
      </c>
      <c r="BF28" s="6">
        <f>Data!AP28</f>
        <v>18179344896.339401</v>
      </c>
      <c r="BG28" s="6">
        <f>Data!AR28</f>
        <v>13408680944.867599</v>
      </c>
      <c r="BH28" s="6">
        <f>Data!AS28</f>
        <v>13408680944.867599</v>
      </c>
      <c r="BI28" s="8">
        <f t="shared" si="0"/>
        <v>0.77981482282379078</v>
      </c>
      <c r="BJ28" s="8">
        <f t="shared" si="1"/>
        <v>0.5755138034813243</v>
      </c>
      <c r="BK28" s="13">
        <f>BB28*'Useful Constants'!$B$5/'Useful Constants'!$B$6*'Useful Constants'!$B$7</f>
        <v>1.5771151904759999</v>
      </c>
      <c r="BL28" s="52">
        <f>1-VLOOKUP($G28,'Useful Constants'!$A$17:$X$23,10,FALSE)</f>
        <v>6.6471999999999865E-2</v>
      </c>
      <c r="BM28" s="52">
        <f>1-VLOOKUP($G28,'Useful Constants'!$A$17:$X$23,12,FALSE)</f>
        <v>4.945672000000001E-2</v>
      </c>
      <c r="BN28" s="52">
        <f>1-VLOOKUP($G28,'Useful Constants'!$A$17:$X$23,14,FALSE)</f>
        <v>3.4455679999999989E-2</v>
      </c>
      <c r="BO28" s="52">
        <f>1-VLOOKUP($G28,'Useful Constants'!$A$17:$X$23,16,FALSE)</f>
        <v>2.1468880000000024E-2</v>
      </c>
      <c r="BP28" s="52">
        <f>1-VLOOKUP($G28,'Useful Constants'!$A$17:$X$23,18,FALSE)</f>
        <v>0</v>
      </c>
      <c r="BQ28" s="52">
        <f>1-VLOOKUP($G28,'Useful Constants'!$A$17:$X$23,20, FALSE)</f>
        <v>0</v>
      </c>
      <c r="BR28" s="52">
        <f>1-VLOOKUP($G28,'Useful Constants'!$A$17:$X$23,22, FALSE)</f>
        <v>0</v>
      </c>
      <c r="BS28" s="52">
        <f>1-VLOOKUP($G28,'Useful Constants'!$A$17:$X$23,24, FALSE)</f>
        <v>0</v>
      </c>
      <c r="BT28" s="13">
        <f t="shared" si="2"/>
        <v>0.10483400094132045</v>
      </c>
      <c r="BU28" s="13">
        <f t="shared" si="3"/>
        <v>7.7998944383118204E-2</v>
      </c>
      <c r="BV28" s="13">
        <f t="shared" si="4"/>
        <v>5.4340576326180084E-2</v>
      </c>
      <c r="BW28" s="13">
        <f t="shared" si="5"/>
        <v>3.3858896770506422E-2</v>
      </c>
      <c r="BX28" s="13">
        <f t="shared" si="6"/>
        <v>0</v>
      </c>
      <c r="BY28" s="13">
        <f t="shared" si="7"/>
        <v>0</v>
      </c>
      <c r="BZ28" s="13">
        <f t="shared" si="8"/>
        <v>0</v>
      </c>
      <c r="CA28" s="13">
        <f t="shared" si="9"/>
        <v>0</v>
      </c>
      <c r="CB28" s="59">
        <f>+SUM(Data!BM28:BS28)*2+Data!BT28</f>
        <v>4417.6486153766155</v>
      </c>
      <c r="CC28" s="59">
        <f>+SUM(Data!BN28:BT28)*2+Data!BU28</f>
        <v>4399.9772643475662</v>
      </c>
      <c r="CD28" s="59">
        <f>+SUM(Data!BO28:BU28)*2+Data!BV28</f>
        <v>4245.9259261595525</v>
      </c>
      <c r="CE28" s="59">
        <f>+SUM(Data!BP28:BV28)*2+Data!BW28</f>
        <v>3956.9338999828401</v>
      </c>
      <c r="CF28" s="59">
        <f>+SUM(Data!BQ28:BW28)*2+Data!BX28</f>
        <v>4305.7550269242574</v>
      </c>
      <c r="CG28" s="59">
        <f>+SUM(Data!BR28:BX28)*2+Data!BY28</f>
        <v>4690.6177390239836</v>
      </c>
      <c r="CH28" s="59">
        <f>+SUM(Data!BS28:BY28)*2+Data!BZ28</f>
        <v>4642.2361414751376</v>
      </c>
      <c r="CI28" s="59">
        <f>+SUM(Data!BT28:BZ28)*2+Data!CA28</f>
        <v>4225.466815030939</v>
      </c>
      <c r="CJ28" s="13">
        <f>+SUM(Data!AW28:BC28)*2+Data!BD28</f>
        <v>25997.618352907572</v>
      </c>
      <c r="CK28" s="13">
        <f>+SUM(Data!AX28:BD28)*2+Data!BE28</f>
        <v>25943.206245954618</v>
      </c>
      <c r="CL28" s="13">
        <f>+SUM(Data!AY28:BE28)*2+Data!BF28</f>
        <v>25033.648872236859</v>
      </c>
      <c r="CM28" s="13">
        <f>+SUM(Data!AZ28:BF28)*2+Data!BG28</f>
        <v>23341.98428308481</v>
      </c>
      <c r="CN28" s="13">
        <f>+SUM(Data!BA28:BG28)*2+Data!BH28</f>
        <v>25413.774392069052</v>
      </c>
      <c r="CO28" s="13">
        <f>+SUM(Data!BB28:BH28)*2+Data!BI28</f>
        <v>27698.644278756703</v>
      </c>
      <c r="CP28" s="13">
        <f>+SUM(Data!BC28:BI28)*2+Data!BJ28</f>
        <v>27410.926201675651</v>
      </c>
      <c r="CQ28" s="13">
        <f>+SUM(Data!BD28:BJ28)*2+Data!BK28</f>
        <v>24959.108908396873</v>
      </c>
      <c r="CR28" s="59">
        <f>+SUM(Data!CC28:CI28)*2+Data!CJ28</f>
        <v>20496.096815852878</v>
      </c>
      <c r="CS28" s="59">
        <f>+SUM(Data!CD28:CJ28)*2+Data!CK28</f>
        <v>20592.701292714297</v>
      </c>
      <c r="CT28" s="59">
        <f>+SUM(Data!CE28:CK28)*2+Data!CL28</f>
        <v>19970.204046082214</v>
      </c>
      <c r="CU28" s="59">
        <f>+SUM(Data!CF28:CL28)*2+Data!CM28</f>
        <v>18934.462594923429</v>
      </c>
      <c r="CV28" s="59">
        <f>+SUM(Data!CG28:CM28)*2+Data!CN28</f>
        <v>20587.774464096005</v>
      </c>
      <c r="CW28" s="59">
        <f>+SUM(Data!CH28:CN28)*2+Data!CO28</f>
        <v>22708.96335807666</v>
      </c>
      <c r="CX28" s="59">
        <f>+SUM(Data!CI28:CO28)*2+Data!CP28</f>
        <v>22802.291166132636</v>
      </c>
      <c r="CY28" s="59">
        <f>+SUM(Data!CJ28:CP28)*2+Data!CQ28</f>
        <v>20773.18010363981</v>
      </c>
      <c r="CZ28" s="60">
        <f t="shared" si="10"/>
        <v>50911.363784137066</v>
      </c>
      <c r="DA28" s="60">
        <f t="shared" si="11"/>
        <v>50935.884803016481</v>
      </c>
      <c r="DB28" s="60">
        <f t="shared" si="12"/>
        <v>49249.778844478627</v>
      </c>
      <c r="DC28" s="60">
        <f t="shared" si="13"/>
        <v>46233.380777991079</v>
      </c>
      <c r="DD28" s="60">
        <f t="shared" si="14"/>
        <v>50307.303883089313</v>
      </c>
      <c r="DE28" s="60">
        <f t="shared" si="15"/>
        <v>55098.22537585735</v>
      </c>
      <c r="DF28" s="60">
        <f t="shared" si="16"/>
        <v>54855.453509283427</v>
      </c>
      <c r="DG28" s="60">
        <f t="shared" si="17"/>
        <v>49957.755827067624</v>
      </c>
      <c r="DH28" s="13">
        <f t="shared" si="18"/>
        <v>0.10778744557915432</v>
      </c>
      <c r="DI28" s="13">
        <f t="shared" si="19"/>
        <v>8.0196376151213819E-2</v>
      </c>
      <c r="DJ28" s="13">
        <f t="shared" si="20"/>
        <v>5.5871490746370836E-2</v>
      </c>
      <c r="DK28" s="13">
        <f t="shared" si="21"/>
        <v>3.4812789364625736E-2</v>
      </c>
      <c r="DL28" s="13">
        <f t="shared" si="22"/>
        <v>0</v>
      </c>
      <c r="DM28" s="13">
        <f t="shared" si="23"/>
        <v>0</v>
      </c>
      <c r="DN28" s="13">
        <f t="shared" si="24"/>
        <v>0</v>
      </c>
      <c r="DO28" s="13">
        <f t="shared" si="25"/>
        <v>0</v>
      </c>
      <c r="DP28" s="50">
        <f>DH28*'Useful Constants'!$B$8</f>
        <v>459.17451816719739</v>
      </c>
      <c r="DQ28" s="50">
        <f>DI28*'Useful Constants'!$B$8</f>
        <v>341.63656240417089</v>
      </c>
      <c r="DR28" s="50">
        <f>DJ28*'Useful Constants'!$B$10</f>
        <v>135.76772251368112</v>
      </c>
      <c r="DS28" s="50">
        <f>DK28*'Useful Constants'!$B$10</f>
        <v>84.595078156040543</v>
      </c>
      <c r="DT28" s="50">
        <f>DL28*'Useful Constants'!$B$10</f>
        <v>0</v>
      </c>
      <c r="DU28" s="50">
        <f>DM28*'Useful Constants'!$B$10</f>
        <v>0</v>
      </c>
      <c r="DV28" s="50">
        <f>DN28*'Useful Constants'!$B$10</f>
        <v>0</v>
      </c>
      <c r="DW28" s="50">
        <f>DO28*'Useful Constants'!$B$10</f>
        <v>0</v>
      </c>
      <c r="DX28" s="14">
        <f>DH28*'Useful Constants'!$B$9</f>
        <v>207.38304529429291</v>
      </c>
      <c r="DY28" s="14">
        <f>DI28*'Useful Constants'!$B$9</f>
        <v>154.29782771493538</v>
      </c>
      <c r="DZ28" s="14">
        <f>DJ28*'Useful Constants'!$B$11</f>
        <v>37.824999235293056</v>
      </c>
      <c r="EA28" s="14">
        <f>DK28*'Useful Constants'!$B$11</f>
        <v>23.568258399851622</v>
      </c>
      <c r="EB28" s="14">
        <f>DL28*'Useful Constants'!$B$11</f>
        <v>0</v>
      </c>
      <c r="EC28" s="14">
        <f>DM28*'Useful Constants'!$B$11</f>
        <v>0</v>
      </c>
      <c r="ED28" s="14">
        <f>DN28*'Useful Constants'!$B$11</f>
        <v>0</v>
      </c>
      <c r="EE28" s="14">
        <f>DO28*'Useful Constants'!$B$11</f>
        <v>0</v>
      </c>
      <c r="EF28" s="78">
        <f>(SUM(Data!DI28:DO28)*2+Data!DP28)/('Useful Constants'!$B$1*1000000)*$K28/100</f>
        <v>21.916065643101955</v>
      </c>
      <c r="EG28" s="78">
        <f>(SUM(Data!DJ28:DP28)*2+Data!DQ28)/('Useful Constants'!$B$1*1000000)*$K28/100</f>
        <v>15.279696399226077</v>
      </c>
      <c r="EH28" s="78">
        <f>(SUM(Data!DK28:DQ28)*2+Data!DR28)/('Useful Constants'!$B$1*1000000)*$K28/100</f>
        <v>9.9114804378362482</v>
      </c>
      <c r="EI28" s="78">
        <f>(SUM(Data!DL28:DR28)*2+Data!DS28)/('Useful Constants'!$B$1*1000000)*$K28/100</f>
        <v>7.133556938948681</v>
      </c>
      <c r="EJ28" s="78">
        <f>(SUM(Data!DM28:DS28)*2+Data!DT28)/('Useful Constants'!$B$1*1000000)*$K28/100</f>
        <v>5.3879101699333161</v>
      </c>
      <c r="EK28" s="78">
        <f>(SUM(Data!DN28:DT28)*2+Data!DU28)/('Useful Constants'!$B$1*1000000)*$K28/100</f>
        <v>4.2495544897311248</v>
      </c>
      <c r="EL28" s="78">
        <f>(SUM(Data!DO28:DU28)*2+Data!DV28)/('Useful Constants'!$B$1*1000000)*$K28/100</f>
        <v>3.4137778422492033</v>
      </c>
      <c r="EM28" s="78">
        <f>(SUM(Data!DP28:DV28)*2+Data!DW28)/('Useful Constants'!$B$1*1000000)*$K28/100</f>
        <v>3.167101757781889</v>
      </c>
      <c r="EN28" s="79">
        <f>EF28*'Useful Constants'!$B$3</f>
        <v>1840.9495140205643</v>
      </c>
      <c r="EO28" s="79">
        <f>EG28*'Useful Constants'!$B$3</f>
        <v>1283.4944975349906</v>
      </c>
      <c r="EP28" s="79">
        <f>EH28*'Useful Constants'!$B$3</f>
        <v>832.56435677824481</v>
      </c>
      <c r="EQ28" s="79">
        <f>EI28*'Useful Constants'!$B$3</f>
        <v>599.2187828716892</v>
      </c>
      <c r="ER28" s="79">
        <f>EJ28*'Useful Constants'!$B$3</f>
        <v>452.58445427439852</v>
      </c>
      <c r="ES28" s="79">
        <f>EK28*'Useful Constants'!$B$3</f>
        <v>356.96257713741448</v>
      </c>
      <c r="ET28" s="79">
        <f>EL28*'Useful Constants'!$B$3</f>
        <v>286.75733874893308</v>
      </c>
      <c r="EU28" s="79">
        <f>EM28*'Useful Constants'!$B$3</f>
        <v>266.03654765367867</v>
      </c>
      <c r="EV28" s="78">
        <f>EF28*'Useful Constants'!$B$4</f>
        <v>613.64983800685479</v>
      </c>
      <c r="EW28" s="78">
        <f>EG28*'Useful Constants'!$B$4</f>
        <v>427.83149917833015</v>
      </c>
      <c r="EX28" s="78">
        <f>EH28*'Useful Constants'!$B$4</f>
        <v>277.52145225941496</v>
      </c>
      <c r="EY28" s="78">
        <f>EI28*'Useful Constants'!$B$4</f>
        <v>199.73959429056308</v>
      </c>
      <c r="EZ28" s="78">
        <f>EJ28*'Useful Constants'!$B$4</f>
        <v>150.86148475813286</v>
      </c>
      <c r="FA28" s="78">
        <f>EK28*'Useful Constants'!$B$4</f>
        <v>118.98752571247149</v>
      </c>
      <c r="FB28" s="78">
        <f>EL28*'Useful Constants'!$B$4</f>
        <v>95.585779582977693</v>
      </c>
      <c r="FC28" s="78">
        <f>EM28*'Useful Constants'!$B$4</f>
        <v>88.678849217892889</v>
      </c>
      <c r="FD28" s="40">
        <f t="shared" si="26"/>
        <v>-4.4416171351258386E-3</v>
      </c>
      <c r="FE28" s="40">
        <f t="shared" si="27"/>
        <v>-4.994514431354043E-3</v>
      </c>
      <c r="FF28" s="40">
        <f t="shared" si="28"/>
        <v>2.7656090002588146E-2</v>
      </c>
      <c r="FG28" s="40">
        <f t="shared" si="29"/>
        <v>8.6124299035967009E-2</v>
      </c>
      <c r="FH28" s="40">
        <f t="shared" si="30"/>
        <v>7.0385204635835148E-3</v>
      </c>
      <c r="FI28" s="40">
        <f t="shared" si="31"/>
        <v>-8.5761348172983004E-2</v>
      </c>
      <c r="FJ28" s="40">
        <f t="shared" si="32"/>
        <v>-8.117226206682486E-2</v>
      </c>
      <c r="FK28" s="40">
        <f t="shared" si="33"/>
        <v>1.3639576143875756E-2</v>
      </c>
      <c r="FL28" s="4">
        <f t="shared" si="34"/>
        <v>0.4433025326139538</v>
      </c>
      <c r="FM28" s="4">
        <f t="shared" si="35"/>
        <v>0.45002750342334263</v>
      </c>
      <c r="FN28" s="4">
        <f t="shared" si="36"/>
        <v>0.47431896147297054</v>
      </c>
      <c r="FO28" s="4">
        <f t="shared" si="37"/>
        <v>0.50854291210398095</v>
      </c>
      <c r="FP28" s="4">
        <f t="shared" si="38"/>
        <v>0.46868537841262387</v>
      </c>
      <c r="FQ28" s="4">
        <f t="shared" si="39"/>
        <v>0.42002831989362255</v>
      </c>
      <c r="FR28" s="4">
        <f t="shared" si="40"/>
        <v>0.42323920547997218</v>
      </c>
      <c r="FS28" s="4">
        <f t="shared" si="41"/>
        <v>0.47419521904095124</v>
      </c>
      <c r="FT28" s="38">
        <f t="shared" si="42"/>
        <v>0.21202373110437861</v>
      </c>
      <c r="FU28" s="38">
        <f t="shared" si="43"/>
        <v>0.2152058017624629</v>
      </c>
      <c r="FV28" s="38">
        <f t="shared" si="44"/>
        <v>0.24455219450081878</v>
      </c>
      <c r="FW28" s="38">
        <f t="shared" si="45"/>
        <v>0.29126558058866897</v>
      </c>
      <c r="FX28" s="38">
        <f t="shared" si="46"/>
        <v>0.23107152684562857</v>
      </c>
      <c r="FY28" s="38">
        <f t="shared" si="47"/>
        <v>0.15959541089096047</v>
      </c>
      <c r="FZ28" s="38">
        <f t="shared" si="48"/>
        <v>0.16352503696165707</v>
      </c>
      <c r="GA28" s="38">
        <f t="shared" si="49"/>
        <v>0.23715559246175261</v>
      </c>
    </row>
    <row r="29" spans="1:183" x14ac:dyDescent="0.25">
      <c r="A29" s="1" t="str">
        <f>Data!A29</f>
        <v>ID_BOISE-AIR-TERMINAL_726810_TY3A</v>
      </c>
      <c r="B29" s="1" t="str">
        <f>TY3A_REP_CITIES!B29</f>
        <v>Boise</v>
      </c>
      <c r="C29" s="1" t="str">
        <f>TY3A_REP_CITIES!C29</f>
        <v>Ada</v>
      </c>
      <c r="D29" s="2" t="str">
        <f>TY3A_REP_CITIES!A29</f>
        <v>ID</v>
      </c>
      <c r="E29" s="42">
        <f>TY3A_REP_CITIES!E29</f>
        <v>481587</v>
      </c>
      <c r="F29" s="2">
        <f>TY3A_REP_CITIES!G29</f>
        <v>5</v>
      </c>
      <c r="G29" s="2" t="str">
        <f>TY3A_REP_CITIES!H29</f>
        <v>Cold</v>
      </c>
      <c r="H29" s="2" t="str">
        <f>TY3A_REP_CITIES!I29</f>
        <v>Rocky Mountains</v>
      </c>
      <c r="I29" s="2">
        <f>Data!B29</f>
        <v>43.62</v>
      </c>
      <c r="J29" s="2">
        <f>Data!C29</f>
        <v>-116.21</v>
      </c>
      <c r="K29" s="2">
        <f>VLOOKUP(D29,Table1[],2,FALSE)</f>
        <v>2.1</v>
      </c>
      <c r="L29" s="2">
        <v>0.5</v>
      </c>
      <c r="M29" s="10">
        <f>Data!N29</f>
        <v>4880.9875400000001</v>
      </c>
      <c r="N29" s="10">
        <f>Data!Q29</f>
        <v>29308</v>
      </c>
      <c r="O29" s="10">
        <f>Data!O29</f>
        <v>37456489157.962898</v>
      </c>
      <c r="P29" s="10">
        <f>Data!P29</f>
        <v>39017176206.21125</v>
      </c>
      <c r="Q29" s="10">
        <f>Data!S29*15</f>
        <v>29439.004845474876</v>
      </c>
      <c r="R29" s="48">
        <f>SUM(Data!U29:AA29)*2+Data!AB29</f>
        <v>375.15354516335003</v>
      </c>
      <c r="S29" s="48">
        <f>SUM(Data!V29:AB29)*2+Data!AC29</f>
        <v>383.83506321563993</v>
      </c>
      <c r="T29" s="48">
        <f>SUM(Data!W29:AC29)*2+Data!AD29</f>
        <v>331.06275403906233</v>
      </c>
      <c r="U29" s="48">
        <f>SUM(Data!X29:AD29)*2+Data!AE29</f>
        <v>351.76772600420975</v>
      </c>
      <c r="V29" s="48">
        <f>SUM(Data!Y29:AE29)*2+Data!AF29</f>
        <v>333.2249511661451</v>
      </c>
      <c r="W29" s="48">
        <f>SUM(Data!Z29:AF29)*2+Data!AG29</f>
        <v>299.14195781953191</v>
      </c>
      <c r="X29" s="48">
        <f>SUM(Data!AA29:AG29)*2+Data!AH29</f>
        <v>263.75846281046364</v>
      </c>
      <c r="Y29" s="48">
        <f>SUM(Data!AB29:AH29)*2+Data!AI29</f>
        <v>222.94594269997521</v>
      </c>
      <c r="Z29" s="80">
        <f>(SUM(Data!CS29:CY29)*2+Data!CZ29)/('Useful Constants'!$B$1*1000000)*$K29/100</f>
        <v>0.62218332347716154</v>
      </c>
      <c r="AA29" s="80">
        <f>(SUM(Data!CT29:CZ29)*2+Data!DA29)/('Useful Constants'!$B$1*1000000)*$K29/100</f>
        <v>0.60786628114032693</v>
      </c>
      <c r="AB29" s="80">
        <f>(SUM(Data!CU29:DA29)*2+Data!DB29)/('Useful Constants'!$B$1*1000000)*$K29/100</f>
        <v>0.57711426833302026</v>
      </c>
      <c r="AC29" s="80">
        <f>(SUM(Data!CV29:DB29)*2+Data!DC29)/('Useful Constants'!$B$1*1000000)*$K29/100</f>
        <v>0.54853197129705433</v>
      </c>
      <c r="AD29" s="80">
        <f>(SUM(Data!CW29:DC29)*2+Data!DD29)/('Useful Constants'!$B$1*1000000)*$K29/100</f>
        <v>0.52072955407543531</v>
      </c>
      <c r="AE29" s="80">
        <f>(SUM(Data!CX29:DD29)*2+Data!DE29)/('Useful Constants'!$B$1*1000000)*$K29/100</f>
        <v>0.48565752496488473</v>
      </c>
      <c r="AF29" s="80">
        <f>(SUM(Data!CY29:DE29)*2+Data!DF29)/('Useful Constants'!$B$1*1000000)*$K29/100</f>
        <v>0.44496488602742829</v>
      </c>
      <c r="AG29" s="80">
        <f>(SUM(Data!CZ29:DF29)*2+Data!DG29)/('Useful Constants'!$B$1*1000000)*$K29/100</f>
        <v>0.40513468269948538</v>
      </c>
      <c r="AH29" s="48">
        <f>Z29*'Useful Constants'!$B$3</f>
        <v>52.26339917208157</v>
      </c>
      <c r="AI29" s="48">
        <f>AA29*'Useful Constants'!$B$3</f>
        <v>51.060767615787462</v>
      </c>
      <c r="AJ29" s="48">
        <f>AB29*'Useful Constants'!$B$3</f>
        <v>48.477598539973705</v>
      </c>
      <c r="AK29" s="48">
        <f>AC29*'Useful Constants'!$B$3</f>
        <v>46.076685588952564</v>
      </c>
      <c r="AL29" s="48">
        <f>AD29*'Useful Constants'!$B$3</f>
        <v>43.741282542336563</v>
      </c>
      <c r="AM29" s="48">
        <f>AE29*'Useful Constants'!$B$3</f>
        <v>40.795232097050317</v>
      </c>
      <c r="AN29" s="48">
        <f>AF29*'Useful Constants'!$B$3</f>
        <v>37.377050426303974</v>
      </c>
      <c r="AO29" s="48">
        <f>AG29*'Useful Constants'!$B$3</f>
        <v>34.031313346756775</v>
      </c>
      <c r="AP29" s="10">
        <f>Z29*'Useful Constants'!$B$4</f>
        <v>17.421133057360525</v>
      </c>
      <c r="AQ29" s="10">
        <f>AA29*'Useful Constants'!$B$4</f>
        <v>17.020255871929155</v>
      </c>
      <c r="AR29" s="10">
        <f>AB29*'Useful Constants'!$B$4</f>
        <v>16.159199513324566</v>
      </c>
      <c r="AS29" s="10">
        <f>AC29*'Useful Constants'!$B$4</f>
        <v>15.358895196317521</v>
      </c>
      <c r="AT29" s="10">
        <f>AD29*'Useful Constants'!$B$4</f>
        <v>14.580427514112188</v>
      </c>
      <c r="AU29" s="10">
        <f>AE29*'Useful Constants'!$B$4</f>
        <v>13.598410699016773</v>
      </c>
      <c r="AV29" s="10">
        <f>AF29*'Useful Constants'!$B$4</f>
        <v>12.459016808767991</v>
      </c>
      <c r="AW29" s="10">
        <f>AG29*'Useful Constants'!$B$4</f>
        <v>11.343771115585591</v>
      </c>
      <c r="AX29" s="48">
        <f>P29/1000000/'Useful Constants'!$B$1*K29/100*'Useful Constants'!$B$3*15</f>
        <v>20647.889648326993</v>
      </c>
      <c r="AY29" s="48">
        <f>P29/1000000/'Useful Constants'!$B$1*L29/100*'Useful Constants'!$B$3*15</f>
        <v>4916.1642019826177</v>
      </c>
      <c r="AZ29" s="48">
        <f>P29/1000000/'Useful Constants'!$B$1*K29/100*'Useful Constants'!$B$4*15</f>
        <v>6882.6298827756646</v>
      </c>
      <c r="BA29" s="48">
        <f>P29/1000000/'Useful Constants'!$B$1*L29/100*'Useful Constants'!$B$4*15</f>
        <v>1638.7214006608726</v>
      </c>
      <c r="BB29" s="7">
        <f>Data!AN29</f>
        <v>4880.9875400000001</v>
      </c>
      <c r="BC29" s="7">
        <f>Data!AQ29</f>
        <v>4880.9875400000001</v>
      </c>
      <c r="BD29" s="7">
        <f>Data!AT29</f>
        <v>6845.1482999999998</v>
      </c>
      <c r="BE29" s="6">
        <f>Data!AO29</f>
        <v>33447648564.287601</v>
      </c>
      <c r="BF29" s="6">
        <f>Data!AP29</f>
        <v>10805267864.958401</v>
      </c>
      <c r="BG29" s="6">
        <f>Data!AR29</f>
        <v>2091148976.7481799</v>
      </c>
      <c r="BH29" s="6">
        <f>Data!AS29</f>
        <v>2091148976.7481799</v>
      </c>
      <c r="BI29" s="8">
        <f t="shared" si="0"/>
        <v>0.94115870199790574</v>
      </c>
      <c r="BJ29" s="8">
        <f t="shared" si="1"/>
        <v>0.83785038880059504</v>
      </c>
      <c r="BK29" s="13">
        <f>BB29*'Useful Constants'!$B$5/'Useful Constants'!$B$6*'Useful Constants'!$B$7</f>
        <v>1.2490447114859999</v>
      </c>
      <c r="BL29" s="52">
        <f>1-VLOOKUP($G29,'Useful Constants'!$A$17:$X$23,10,FALSE)</f>
        <v>6.6471999999999865E-2</v>
      </c>
      <c r="BM29" s="52">
        <f>1-VLOOKUP($G29,'Useful Constants'!$A$17:$X$23,12,FALSE)</f>
        <v>4.945672000000001E-2</v>
      </c>
      <c r="BN29" s="52">
        <f>1-VLOOKUP($G29,'Useful Constants'!$A$17:$X$23,14,FALSE)</f>
        <v>3.4455679999999989E-2</v>
      </c>
      <c r="BO29" s="52">
        <f>1-VLOOKUP($G29,'Useful Constants'!$A$17:$X$23,16,FALSE)</f>
        <v>2.1468880000000024E-2</v>
      </c>
      <c r="BP29" s="52">
        <f>1-VLOOKUP($G29,'Useful Constants'!$A$17:$X$23,18,FALSE)</f>
        <v>0</v>
      </c>
      <c r="BQ29" s="52">
        <f>1-VLOOKUP($G29,'Useful Constants'!$A$17:$X$23,20, FALSE)</f>
        <v>0</v>
      </c>
      <c r="BR29" s="52">
        <f>1-VLOOKUP($G29,'Useful Constants'!$A$17:$X$23,22, FALSE)</f>
        <v>0</v>
      </c>
      <c r="BS29" s="52">
        <f>1-VLOOKUP($G29,'Useful Constants'!$A$17:$X$23,24, FALSE)</f>
        <v>0</v>
      </c>
      <c r="BT29" s="13">
        <f t="shared" si="2"/>
        <v>8.3026500061897213E-2</v>
      </c>
      <c r="BU29" s="13">
        <f t="shared" si="3"/>
        <v>6.1773654563443893E-2</v>
      </c>
      <c r="BV29" s="13">
        <f t="shared" si="4"/>
        <v>4.3036684884653925E-2</v>
      </c>
      <c r="BW29" s="13">
        <f t="shared" si="5"/>
        <v>2.6815591025527583E-2</v>
      </c>
      <c r="BX29" s="13">
        <f t="shared" si="6"/>
        <v>0</v>
      </c>
      <c r="BY29" s="13">
        <f t="shared" si="7"/>
        <v>0</v>
      </c>
      <c r="BZ29" s="13">
        <f t="shared" si="8"/>
        <v>0</v>
      </c>
      <c r="CA29" s="13">
        <f t="shared" si="9"/>
        <v>0</v>
      </c>
      <c r="CB29" s="59">
        <f>+SUM(Data!BM29:BS29)*2+Data!BT29</f>
        <v>2365.7578057083501</v>
      </c>
      <c r="CC29" s="59">
        <f>+SUM(Data!BN29:BT29)*2+Data!BU29</f>
        <v>2420.8820121298063</v>
      </c>
      <c r="CD29" s="59">
        <f>+SUM(Data!BO29:BU29)*2+Data!BV29</f>
        <v>2089.498513282535</v>
      </c>
      <c r="CE29" s="59">
        <f>+SUM(Data!BP29:BV29)*2+Data!BW29</f>
        <v>2220.8518984283528</v>
      </c>
      <c r="CF29" s="59">
        <f>+SUM(Data!BQ29:BW29)*2+Data!BX29</f>
        <v>2103.5959413636542</v>
      </c>
      <c r="CG29" s="59">
        <f>+SUM(Data!BR29:BX29)*2+Data!BY29</f>
        <v>1889.0307390999767</v>
      </c>
      <c r="CH29" s="59">
        <f>+SUM(Data!BS29:BY29)*2+Data!BZ29</f>
        <v>1666.7854666326148</v>
      </c>
      <c r="CI29" s="59">
        <f>+SUM(Data!BT29:BZ29)*2+Data!CA29</f>
        <v>1408.5790030550659</v>
      </c>
      <c r="CJ29" s="13">
        <f>+SUM(Data!AW29:BC29)*2+Data!BD29</f>
        <v>10620.080989505832</v>
      </c>
      <c r="CK29" s="13">
        <f>+SUM(Data!AX29:BD29)*2+Data!BE29</f>
        <v>10880.023264314548</v>
      </c>
      <c r="CL29" s="13">
        <f>+SUM(Data!AY29:BE29)*2+Data!BF29</f>
        <v>9404.3762880150662</v>
      </c>
      <c r="CM29" s="13">
        <f>+SUM(Data!AZ29:BF29)*2+Data!BG29</f>
        <v>9984.878016001745</v>
      </c>
      <c r="CN29" s="13">
        <f>+SUM(Data!BA29:BG29)*2+Data!BH29</f>
        <v>9438.2249698606392</v>
      </c>
      <c r="CO29" s="13">
        <f>+SUM(Data!BB29:BH29)*2+Data!BI29</f>
        <v>8467.5109876738479</v>
      </c>
      <c r="CP29" s="13">
        <f>+SUM(Data!BC29:BI29)*2+Data!BJ29</f>
        <v>7479.6739017758282</v>
      </c>
      <c r="CQ29" s="13">
        <f>+SUM(Data!BD29:BJ29)*2+Data!BK29</f>
        <v>6306.68750422629</v>
      </c>
      <c r="CR29" s="59">
        <f>+SUM(Data!CC29:CI29)*2+Data!CJ29</f>
        <v>2195.9841708799941</v>
      </c>
      <c r="CS29" s="59">
        <f>+SUM(Data!CD29:CJ29)*2+Data!CK29</f>
        <v>2279.4655051852701</v>
      </c>
      <c r="CT29" s="59">
        <f>+SUM(Data!CE29:CK29)*2+Data!CL29</f>
        <v>2010.8684107280908</v>
      </c>
      <c r="CU29" s="59">
        <f>+SUM(Data!CF29:CL29)*2+Data!CM29</f>
        <v>2136.6360574992527</v>
      </c>
      <c r="CV29" s="59">
        <f>+SUM(Data!CG29:CM29)*2+Data!CN29</f>
        <v>1970.9457403412443</v>
      </c>
      <c r="CW29" s="59">
        <f>+SUM(Data!CH29:CN29)*2+Data!CO29</f>
        <v>1773.3792255672026</v>
      </c>
      <c r="CX29" s="59">
        <f>+SUM(Data!CI29:CO29)*2+Data!CP29</f>
        <v>1583.4568081895327</v>
      </c>
      <c r="CY29" s="59">
        <f>+SUM(Data!CJ29:CP29)*2+Data!CQ29</f>
        <v>1311.5154894921991</v>
      </c>
      <c r="CZ29" s="60">
        <f t="shared" si="10"/>
        <v>15181.822966094176</v>
      </c>
      <c r="DA29" s="60">
        <f t="shared" si="11"/>
        <v>15580.370781629625</v>
      </c>
      <c r="DB29" s="60">
        <f t="shared" si="12"/>
        <v>13504.743212025693</v>
      </c>
      <c r="DC29" s="60">
        <f t="shared" si="13"/>
        <v>14342.36597192935</v>
      </c>
      <c r="DD29" s="60">
        <f t="shared" si="14"/>
        <v>13512.766651565536</v>
      </c>
      <c r="DE29" s="60">
        <f t="shared" si="15"/>
        <v>12129.920952341028</v>
      </c>
      <c r="DF29" s="60">
        <f t="shared" si="16"/>
        <v>10729.916176597975</v>
      </c>
      <c r="DG29" s="60">
        <f t="shared" si="17"/>
        <v>9026.7819967735559</v>
      </c>
      <c r="DH29" s="13">
        <f t="shared" si="18"/>
        <v>8.5365571061802856E-2</v>
      </c>
      <c r="DI29" s="13">
        <f t="shared" si="19"/>
        <v>6.3513978000416665E-2</v>
      </c>
      <c r="DJ29" s="13">
        <f t="shared" si="20"/>
        <v>4.4249139480123129E-2</v>
      </c>
      <c r="DK29" s="13">
        <f t="shared" si="21"/>
        <v>2.7571055500922551E-2</v>
      </c>
      <c r="DL29" s="13">
        <f t="shared" si="22"/>
        <v>0</v>
      </c>
      <c r="DM29" s="13">
        <f t="shared" si="23"/>
        <v>0</v>
      </c>
      <c r="DN29" s="13">
        <f t="shared" si="24"/>
        <v>0</v>
      </c>
      <c r="DO29" s="13">
        <f t="shared" si="25"/>
        <v>0</v>
      </c>
      <c r="DP29" s="50">
        <f>DH29*'Useful Constants'!$B$8</f>
        <v>363.65733272328015</v>
      </c>
      <c r="DQ29" s="50">
        <f>DI29*'Useful Constants'!$B$8</f>
        <v>270.56954628177499</v>
      </c>
      <c r="DR29" s="50">
        <f>DJ29*'Useful Constants'!$B$10</f>
        <v>107.52540893669921</v>
      </c>
      <c r="DS29" s="50">
        <f>DK29*'Useful Constants'!$B$10</f>
        <v>66.997664867241795</v>
      </c>
      <c r="DT29" s="50">
        <f>DL29*'Useful Constants'!$B$10</f>
        <v>0</v>
      </c>
      <c r="DU29" s="50">
        <f>DM29*'Useful Constants'!$B$10</f>
        <v>0</v>
      </c>
      <c r="DV29" s="50">
        <f>DN29*'Useful Constants'!$B$10</f>
        <v>0</v>
      </c>
      <c r="DW29" s="50">
        <f>DO29*'Useful Constants'!$B$10</f>
        <v>0</v>
      </c>
      <c r="DX29" s="14">
        <f>DH29*'Useful Constants'!$B$9</f>
        <v>164.24335872290868</v>
      </c>
      <c r="DY29" s="14">
        <f>DI29*'Useful Constants'!$B$9</f>
        <v>122.20089367280167</v>
      </c>
      <c r="DZ29" s="14">
        <f>DJ29*'Useful Constants'!$B$11</f>
        <v>29.956667428043357</v>
      </c>
      <c r="EA29" s="14">
        <f>DK29*'Useful Constants'!$B$11</f>
        <v>18.665604574124568</v>
      </c>
      <c r="EB29" s="14">
        <f>DL29*'Useful Constants'!$B$11</f>
        <v>0</v>
      </c>
      <c r="EC29" s="14">
        <f>DM29*'Useful Constants'!$B$11</f>
        <v>0</v>
      </c>
      <c r="ED29" s="14">
        <f>DN29*'Useful Constants'!$B$11</f>
        <v>0</v>
      </c>
      <c r="EE29" s="14">
        <f>DO29*'Useful Constants'!$B$11</f>
        <v>0</v>
      </c>
      <c r="EF29" s="78">
        <f>(SUM(Data!DI29:DO29)*2+Data!DP29)/('Useful Constants'!$B$1*1000000)*$K29/100</f>
        <v>25.29339323511774</v>
      </c>
      <c r="EG29" s="78">
        <f>(SUM(Data!DJ29:DP29)*2+Data!DQ29)/('Useful Constants'!$B$1*1000000)*$K29/100</f>
        <v>24.899056381931437</v>
      </c>
      <c r="EH29" s="78">
        <f>(SUM(Data!DK29:DQ29)*2+Data!DR29)/('Useful Constants'!$B$1*1000000)*$K29/100</f>
        <v>23.777926448648515</v>
      </c>
      <c r="EI29" s="78">
        <f>(SUM(Data!DL29:DR29)*2+Data!DS29)/('Useful Constants'!$B$1*1000000)*$K29/100</f>
        <v>22.757697244397264</v>
      </c>
      <c r="EJ29" s="78">
        <f>(SUM(Data!DM29:DS29)*2+Data!DT29)/('Useful Constants'!$B$1*1000000)*$K29/100</f>
        <v>21.700250022447072</v>
      </c>
      <c r="EK29" s="78">
        <f>(SUM(Data!DN29:DT29)*2+Data!DU29)/('Useful Constants'!$B$1*1000000)*$K29/100</f>
        <v>20.333488390204913</v>
      </c>
      <c r="EL29" s="78">
        <f>(SUM(Data!DO29:DU29)*2+Data!DV29)/('Useful Constants'!$B$1*1000000)*$K29/100</f>
        <v>18.7210937364455</v>
      </c>
      <c r="EM29" s="78">
        <f>(SUM(Data!DP29:DV29)*2+Data!DW29)/('Useful Constants'!$B$1*1000000)*$K29/100</f>
        <v>17.161681847481308</v>
      </c>
      <c r="EN29" s="79">
        <f>EF29*'Useful Constants'!$B$3</f>
        <v>2124.6450317498902</v>
      </c>
      <c r="EO29" s="79">
        <f>EG29*'Useful Constants'!$B$3</f>
        <v>2091.5207360822405</v>
      </c>
      <c r="EP29" s="79">
        <f>EH29*'Useful Constants'!$B$3</f>
        <v>1997.3458216864751</v>
      </c>
      <c r="EQ29" s="79">
        <f>EI29*'Useful Constants'!$B$3</f>
        <v>1911.6465685293701</v>
      </c>
      <c r="ER29" s="79">
        <f>EJ29*'Useful Constants'!$B$3</f>
        <v>1822.8210018855541</v>
      </c>
      <c r="ES29" s="79">
        <f>EK29*'Useful Constants'!$B$3</f>
        <v>1708.0130247772126</v>
      </c>
      <c r="ET29" s="79">
        <f>EL29*'Useful Constants'!$B$3</f>
        <v>1572.5718738614221</v>
      </c>
      <c r="EU29" s="79">
        <f>EM29*'Useful Constants'!$B$3</f>
        <v>1441.5812751884298</v>
      </c>
      <c r="EV29" s="78">
        <f>EF29*'Useful Constants'!$B$4</f>
        <v>708.2150105832967</v>
      </c>
      <c r="EW29" s="78">
        <f>EG29*'Useful Constants'!$B$4</f>
        <v>697.17357869408022</v>
      </c>
      <c r="EX29" s="78">
        <f>EH29*'Useful Constants'!$B$4</f>
        <v>665.78194056215841</v>
      </c>
      <c r="EY29" s="78">
        <f>EI29*'Useful Constants'!$B$4</f>
        <v>637.21552284312338</v>
      </c>
      <c r="EZ29" s="78">
        <f>EJ29*'Useful Constants'!$B$4</f>
        <v>607.60700062851799</v>
      </c>
      <c r="FA29" s="78">
        <f>EK29*'Useful Constants'!$B$4</f>
        <v>569.33767492573759</v>
      </c>
      <c r="FB29" s="78">
        <f>EL29*'Useful Constants'!$B$4</f>
        <v>524.19062462047395</v>
      </c>
      <c r="FC29" s="78">
        <f>EM29*'Useful Constants'!$B$4</f>
        <v>480.52709172947664</v>
      </c>
      <c r="FD29" s="40">
        <f t="shared" si="26"/>
        <v>0.49078478865057168</v>
      </c>
      <c r="FE29" s="40">
        <f t="shared" si="27"/>
        <v>0.47756917753867462</v>
      </c>
      <c r="FF29" s="40">
        <f t="shared" si="28"/>
        <v>0.54636504714399148</v>
      </c>
      <c r="FG29" s="40">
        <f t="shared" si="29"/>
        <v>0.51856347674379011</v>
      </c>
      <c r="FH29" s="40">
        <f t="shared" si="30"/>
        <v>0.54612849813855457</v>
      </c>
      <c r="FI29" s="40">
        <f t="shared" si="31"/>
        <v>0.59210904994936442</v>
      </c>
      <c r="FJ29" s="40">
        <f t="shared" si="32"/>
        <v>0.6387569713554242</v>
      </c>
      <c r="FK29" s="40">
        <f t="shared" si="33"/>
        <v>0.69567807386518188</v>
      </c>
      <c r="FL29" s="4">
        <f t="shared" si="34"/>
        <v>0.68122003056062685</v>
      </c>
      <c r="FM29" s="4">
        <f t="shared" si="35"/>
        <v>0.67635059379076801</v>
      </c>
      <c r="FN29" s="4">
        <f t="shared" si="36"/>
        <v>0.71814947815978114</v>
      </c>
      <c r="FO29" s="4">
        <f t="shared" si="37"/>
        <v>0.705401730118141</v>
      </c>
      <c r="FP29" s="4">
        <f t="shared" si="38"/>
        <v>0.72308449349787074</v>
      </c>
      <c r="FQ29" s="4">
        <f t="shared" si="39"/>
        <v>0.74996051883968318</v>
      </c>
      <c r="FR29" s="4">
        <f t="shared" si="40"/>
        <v>0.77754873339330555</v>
      </c>
      <c r="FS29" s="4">
        <f t="shared" si="41"/>
        <v>0.81056177232517557</v>
      </c>
      <c r="FT29" s="38">
        <f t="shared" si="42"/>
        <v>0.58140666182374456</v>
      </c>
      <c r="FU29" s="38">
        <f t="shared" si="43"/>
        <v>0.57249146638063342</v>
      </c>
      <c r="FV29" s="38">
        <f t="shared" si="44"/>
        <v>0.62930358610907589</v>
      </c>
      <c r="FW29" s="38">
        <f t="shared" si="45"/>
        <v>0.60868165548120179</v>
      </c>
      <c r="FX29" s="38">
        <f t="shared" si="46"/>
        <v>0.63140038319521641</v>
      </c>
      <c r="FY29" s="38">
        <f t="shared" si="47"/>
        <v>0.66819359316486138</v>
      </c>
      <c r="FZ29" s="38">
        <f t="shared" si="48"/>
        <v>0.70567167140970921</v>
      </c>
      <c r="GA29" s="38">
        <f t="shared" si="49"/>
        <v>0.75108267458085576</v>
      </c>
    </row>
    <row r="30" spans="1:183" x14ac:dyDescent="0.25">
      <c r="A30" s="1" t="str">
        <f>Data!A30</f>
        <v>ID_IDAHO-FALLS-FANNING-FIELD_725785_TY3A</v>
      </c>
      <c r="B30" s="1" t="str">
        <f>TY3A_REP_CITIES!B30</f>
        <v>Idaho-Falls</v>
      </c>
      <c r="C30" s="1" t="str">
        <f>TY3A_REP_CITIES!C30</f>
        <v>Bonneville</v>
      </c>
      <c r="D30" s="2" t="str">
        <f>TY3A_REP_CITIES!A30</f>
        <v>ID</v>
      </c>
      <c r="E30" s="42">
        <f>TY3A_REP_CITIES!E30</f>
        <v>119062</v>
      </c>
      <c r="F30" s="2">
        <f>TY3A_REP_CITIES!G30</f>
        <v>6</v>
      </c>
      <c r="G30" s="2" t="str">
        <f>TY3A_REP_CITIES!H30</f>
        <v>Cold</v>
      </c>
      <c r="H30" s="2" t="str">
        <f>TY3A_REP_CITIES!I30</f>
        <v>Rocky Mountains</v>
      </c>
      <c r="I30" s="2">
        <f>Data!B30</f>
        <v>43.52</v>
      </c>
      <c r="J30" s="2">
        <f>Data!C30</f>
        <v>-112.07</v>
      </c>
      <c r="K30" s="2">
        <f>VLOOKUP(D30,Table1[],2,FALSE)</f>
        <v>2.1</v>
      </c>
      <c r="L30" s="2">
        <v>0.5</v>
      </c>
      <c r="M30" s="10">
        <f>Data!N30</f>
        <v>4931.5295299999998</v>
      </c>
      <c r="N30" s="10">
        <f>Data!Q30</f>
        <v>29308</v>
      </c>
      <c r="O30" s="10">
        <f>Data!O30</f>
        <v>55675776263.022598</v>
      </c>
      <c r="P30" s="10">
        <f>Data!P30</f>
        <v>57995600273.982002</v>
      </c>
      <c r="Q30" s="10">
        <f>Data!S30*15</f>
        <v>43758.491092704629</v>
      </c>
      <c r="R30" s="48">
        <f>SUM(Data!U30:AA30)*2+Data!AB30</f>
        <v>563.79210224528299</v>
      </c>
      <c r="S30" s="48">
        <f>SUM(Data!V30:AB30)*2+Data!AC30</f>
        <v>574.88120673791923</v>
      </c>
      <c r="T30" s="48">
        <f>SUM(Data!W30:AC30)*2+Data!AD30</f>
        <v>492.83785090628248</v>
      </c>
      <c r="U30" s="48">
        <f>SUM(Data!X30:AD30)*2+Data!AE30</f>
        <v>523.71092218109493</v>
      </c>
      <c r="V30" s="48">
        <f>SUM(Data!Y30:AE30)*2+Data!AF30</f>
        <v>500.47664588294106</v>
      </c>
      <c r="W30" s="48">
        <f>SUM(Data!Z30:AF30)*2+Data!AG30</f>
        <v>449.8395109017244</v>
      </c>
      <c r="X30" s="48">
        <f>SUM(Data!AA30:AG30)*2+Data!AH30</f>
        <v>395.74541840088676</v>
      </c>
      <c r="Y30" s="48">
        <f>SUM(Data!AB30:AH30)*2+Data!AI30</f>
        <v>335.6539781500361</v>
      </c>
      <c r="Z30" s="80">
        <f>(SUM(Data!CS30:CY30)*2+Data!CZ30)/('Useful Constants'!$B$1*1000000)*$K30/100</f>
        <v>0.93529767828901822</v>
      </c>
      <c r="AA30" s="80">
        <f>(SUM(Data!CT30:CZ30)*2+Data!DA30)/('Useful Constants'!$B$1*1000000)*$K30/100</f>
        <v>0.90915276123519784</v>
      </c>
      <c r="AB30" s="80">
        <f>(SUM(Data!CU30:DA30)*2+Data!DB30)/('Useful Constants'!$B$1*1000000)*$K30/100</f>
        <v>0.86196469015186428</v>
      </c>
      <c r="AC30" s="80">
        <f>(SUM(Data!CV30:DB30)*2+Data!DC30)/('Useful Constants'!$B$1*1000000)*$K30/100</f>
        <v>0.81478027691910071</v>
      </c>
      <c r="AD30" s="80">
        <f>(SUM(Data!CW30:DC30)*2+Data!DD30)/('Useful Constants'!$B$1*1000000)*$K30/100</f>
        <v>0.77210912073521387</v>
      </c>
      <c r="AE30" s="80">
        <f>(SUM(Data!CX30:DD30)*2+Data!DE30)/('Useful Constants'!$B$1*1000000)*$K30/100</f>
        <v>0.71794257330655109</v>
      </c>
      <c r="AF30" s="80">
        <f>(SUM(Data!CY30:DE30)*2+Data!DF30)/('Useful Constants'!$B$1*1000000)*$K30/100</f>
        <v>0.65899604521260702</v>
      </c>
      <c r="AG30" s="80">
        <f>(SUM(Data!CZ30:DF30)*2+Data!DG30)/('Useful Constants'!$B$1*1000000)*$K30/100</f>
        <v>0.59855071373957014</v>
      </c>
      <c r="AH30" s="48">
        <f>Z30*'Useful Constants'!$B$3</f>
        <v>78.565004976277535</v>
      </c>
      <c r="AI30" s="48">
        <f>AA30*'Useful Constants'!$B$3</f>
        <v>76.368831943756618</v>
      </c>
      <c r="AJ30" s="48">
        <f>AB30*'Useful Constants'!$B$3</f>
        <v>72.405033972756598</v>
      </c>
      <c r="AK30" s="48">
        <f>AC30*'Useful Constants'!$B$3</f>
        <v>68.441543261204458</v>
      </c>
      <c r="AL30" s="48">
        <f>AD30*'Useful Constants'!$B$3</f>
        <v>64.857166141757972</v>
      </c>
      <c r="AM30" s="48">
        <f>AE30*'Useful Constants'!$B$3</f>
        <v>60.307176157750291</v>
      </c>
      <c r="AN30" s="48">
        <f>AF30*'Useful Constants'!$B$3</f>
        <v>55.355667797858992</v>
      </c>
      <c r="AO30" s="48">
        <f>AG30*'Useful Constants'!$B$3</f>
        <v>50.278259954123889</v>
      </c>
      <c r="AP30" s="10">
        <f>Z30*'Useful Constants'!$B$4</f>
        <v>26.188334992092511</v>
      </c>
      <c r="AQ30" s="10">
        <f>AA30*'Useful Constants'!$B$4</f>
        <v>25.456277314585538</v>
      </c>
      <c r="AR30" s="10">
        <f>AB30*'Useful Constants'!$B$4</f>
        <v>24.135011324252201</v>
      </c>
      <c r="AS30" s="10">
        <f>AC30*'Useful Constants'!$B$4</f>
        <v>22.813847753734819</v>
      </c>
      <c r="AT30" s="10">
        <f>AD30*'Useful Constants'!$B$4</f>
        <v>21.619055380585987</v>
      </c>
      <c r="AU30" s="10">
        <f>AE30*'Useful Constants'!$B$4</f>
        <v>20.102392052583429</v>
      </c>
      <c r="AV30" s="10">
        <f>AF30*'Useful Constants'!$B$4</f>
        <v>18.451889265952996</v>
      </c>
      <c r="AW30" s="10">
        <f>AG30*'Useful Constants'!$B$4</f>
        <v>16.759419984707964</v>
      </c>
      <c r="AX30" s="48">
        <f>P30/1000000/'Useful Constants'!$B$1*K30/100*'Useful Constants'!$B$3*15</f>
        <v>30691.27166499128</v>
      </c>
      <c r="AY30" s="48">
        <f>P30/1000000/'Useful Constants'!$B$1*L30/100*'Useful Constants'!$B$3*15</f>
        <v>7307.4456345217332</v>
      </c>
      <c r="AZ30" s="48">
        <f>P30/1000000/'Useful Constants'!$B$1*K30/100*'Useful Constants'!$B$4*15</f>
        <v>10230.423888330426</v>
      </c>
      <c r="BA30" s="48">
        <f>P30/1000000/'Useful Constants'!$B$1*L30/100*'Useful Constants'!$B$4*15</f>
        <v>2435.8152115072444</v>
      </c>
      <c r="BB30" s="7">
        <f>Data!AN30</f>
        <v>4931.5295299999998</v>
      </c>
      <c r="BC30" s="7">
        <f>Data!AQ30</f>
        <v>4931.5295299999998</v>
      </c>
      <c r="BD30" s="7">
        <f>Data!AT30</f>
        <v>9092.8590299999996</v>
      </c>
      <c r="BE30" s="6">
        <f>Data!AO30</f>
        <v>42251356906.029701</v>
      </c>
      <c r="BF30" s="6">
        <f>Data!AP30</f>
        <v>16294406687.6861</v>
      </c>
      <c r="BG30" s="6">
        <f>Data!AR30</f>
        <v>10594777148.3955</v>
      </c>
      <c r="BH30" s="6">
        <f>Data!AS30</f>
        <v>10594777148.3955</v>
      </c>
      <c r="BI30" s="8">
        <f t="shared" si="0"/>
        <v>0.79951651453852524</v>
      </c>
      <c r="BJ30" s="8">
        <f t="shared" si="1"/>
        <v>0.60598368425824956</v>
      </c>
      <c r="BK30" s="13">
        <f>BB30*'Useful Constants'!$B$5/'Useful Constants'!$B$6*'Useful Constants'!$B$7</f>
        <v>1.2619784067269999</v>
      </c>
      <c r="BL30" s="52">
        <f>1-VLOOKUP($G30,'Useful Constants'!$A$17:$X$23,10,FALSE)</f>
        <v>6.6471999999999865E-2</v>
      </c>
      <c r="BM30" s="52">
        <f>1-VLOOKUP($G30,'Useful Constants'!$A$17:$X$23,12,FALSE)</f>
        <v>4.945672000000001E-2</v>
      </c>
      <c r="BN30" s="52">
        <f>1-VLOOKUP($G30,'Useful Constants'!$A$17:$X$23,14,FALSE)</f>
        <v>3.4455679999999989E-2</v>
      </c>
      <c r="BO30" s="52">
        <f>1-VLOOKUP($G30,'Useful Constants'!$A$17:$X$23,16,FALSE)</f>
        <v>2.1468880000000024E-2</v>
      </c>
      <c r="BP30" s="52">
        <f>1-VLOOKUP($G30,'Useful Constants'!$A$17:$X$23,18,FALSE)</f>
        <v>0</v>
      </c>
      <c r="BQ30" s="52">
        <f>1-VLOOKUP($G30,'Useful Constants'!$A$17:$X$23,20, FALSE)</f>
        <v>0</v>
      </c>
      <c r="BR30" s="52">
        <f>1-VLOOKUP($G30,'Useful Constants'!$A$17:$X$23,22, FALSE)</f>
        <v>0</v>
      </c>
      <c r="BS30" s="52">
        <f>1-VLOOKUP($G30,'Useful Constants'!$A$17:$X$23,24, FALSE)</f>
        <v>0</v>
      </c>
      <c r="BT30" s="13">
        <f t="shared" si="2"/>
        <v>8.3886228651956968E-2</v>
      </c>
      <c r="BU30" s="13">
        <f t="shared" si="3"/>
        <v>6.2413312707543363E-2</v>
      </c>
      <c r="BV30" s="13">
        <f t="shared" si="4"/>
        <v>4.3482324149095343E-2</v>
      </c>
      <c r="BW30" s="13">
        <f t="shared" si="5"/>
        <v>2.7093262976613183E-2</v>
      </c>
      <c r="BX30" s="13">
        <f t="shared" si="6"/>
        <v>0</v>
      </c>
      <c r="BY30" s="13">
        <f t="shared" si="7"/>
        <v>0</v>
      </c>
      <c r="BZ30" s="13">
        <f t="shared" si="8"/>
        <v>0</v>
      </c>
      <c r="CA30" s="13">
        <f t="shared" si="9"/>
        <v>0</v>
      </c>
      <c r="CB30" s="59">
        <f>+SUM(Data!BM30:BS30)*2+Data!BT30</f>
        <v>3364.4236820545984</v>
      </c>
      <c r="CC30" s="59">
        <f>+SUM(Data!BN30:BT30)*2+Data!BU30</f>
        <v>3429.354334230311</v>
      </c>
      <c r="CD30" s="59">
        <f>+SUM(Data!BO30:BU30)*2+Data!BV30</f>
        <v>2939.3072015549537</v>
      </c>
      <c r="CE30" s="59">
        <f>+SUM(Data!BP30:BV30)*2+Data!BW30</f>
        <v>3123.3358329473208</v>
      </c>
      <c r="CF30" s="59">
        <f>+SUM(Data!BQ30:BW30)*2+Data!BX30</f>
        <v>2986.6134023046325</v>
      </c>
      <c r="CG30" s="59">
        <f>+SUM(Data!BR30:BX30)*2+Data!BY30</f>
        <v>2685.0979202290519</v>
      </c>
      <c r="CH30" s="59">
        <f>+SUM(Data!BS30:BY30)*2+Data!BZ30</f>
        <v>2363.7828802801214</v>
      </c>
      <c r="CI30" s="59">
        <f>+SUM(Data!BT30:BZ30)*2+Data!CA30</f>
        <v>2005.4721188231269</v>
      </c>
      <c r="CJ30" s="13">
        <f>+SUM(Data!AW30:BC30)*2+Data!BD30</f>
        <v>15464.808438266185</v>
      </c>
      <c r="CK30" s="13">
        <f>+SUM(Data!AX30:BD30)*2+Data!BE30</f>
        <v>15780.06898619305</v>
      </c>
      <c r="CL30" s="13">
        <f>+SUM(Data!AY30:BE30)*2+Data!BF30</f>
        <v>13555.253228738105</v>
      </c>
      <c r="CM30" s="13">
        <f>+SUM(Data!AZ30:BF30)*2+Data!BG30</f>
        <v>14396.688603289131</v>
      </c>
      <c r="CN30" s="13">
        <f>+SUM(Data!BA30:BG30)*2+Data!BH30</f>
        <v>13744.022079149034</v>
      </c>
      <c r="CO30" s="13">
        <f>+SUM(Data!BB30:BH30)*2+Data!BI30</f>
        <v>12344.183135917652</v>
      </c>
      <c r="CP30" s="13">
        <f>+SUM(Data!BC30:BI30)*2+Data!BJ30</f>
        <v>10875.444808742826</v>
      </c>
      <c r="CQ30" s="13">
        <f>+SUM(Data!BD30:BJ30)*2+Data!BK30</f>
        <v>9218.282443783608</v>
      </c>
      <c r="CR30" s="59">
        <f>+SUM(Data!CC30:CI30)*2+Data!CJ30</f>
        <v>10759.265264779035</v>
      </c>
      <c r="CS30" s="59">
        <f>+SUM(Data!CD30:CJ30)*2+Data!CK30</f>
        <v>11061.316851308005</v>
      </c>
      <c r="CT30" s="59">
        <f>+SUM(Data!CE30:CK30)*2+Data!CL30</f>
        <v>9575.9394927507929</v>
      </c>
      <c r="CU30" s="59">
        <f>+SUM(Data!CF30:CL30)*2+Data!CM30</f>
        <v>10225.788232083587</v>
      </c>
      <c r="CV30" s="59">
        <f>+SUM(Data!CG30:CM30)*2+Data!CN30</f>
        <v>9677.0884947381728</v>
      </c>
      <c r="CW30" s="59">
        <f>+SUM(Data!CH30:CN30)*2+Data!CO30</f>
        <v>8665.680428323838</v>
      </c>
      <c r="CX30" s="59">
        <f>+SUM(Data!CI30:CO30)*2+Data!CP30</f>
        <v>7640.2235987022677</v>
      </c>
      <c r="CY30" s="59">
        <f>+SUM(Data!CJ30:CP30)*2+Data!CQ30</f>
        <v>6402.5425630438076</v>
      </c>
      <c r="CZ30" s="60">
        <f t="shared" si="10"/>
        <v>29588.497385099818</v>
      </c>
      <c r="DA30" s="60">
        <f t="shared" si="11"/>
        <v>30270.740171731366</v>
      </c>
      <c r="DB30" s="60">
        <f t="shared" si="12"/>
        <v>26070.499923043852</v>
      </c>
      <c r="DC30" s="60">
        <f t="shared" si="13"/>
        <v>27745.812668320039</v>
      </c>
      <c r="DD30" s="60">
        <f t="shared" si="14"/>
        <v>26407.723976191839</v>
      </c>
      <c r="DE30" s="60">
        <f t="shared" si="15"/>
        <v>23694.961484470543</v>
      </c>
      <c r="DF30" s="60">
        <f t="shared" si="16"/>
        <v>20879.451287725216</v>
      </c>
      <c r="DG30" s="60">
        <f t="shared" si="17"/>
        <v>17626.297125650541</v>
      </c>
      <c r="DH30" s="13">
        <f t="shared" si="18"/>
        <v>8.6249520427293336E-2</v>
      </c>
      <c r="DI30" s="13">
        <f t="shared" si="19"/>
        <v>6.417165696694753E-2</v>
      </c>
      <c r="DJ30" s="13">
        <f t="shared" si="20"/>
        <v>4.4707333553921765E-2</v>
      </c>
      <c r="DK30" s="13">
        <f t="shared" si="21"/>
        <v>2.7856550188216318E-2</v>
      </c>
      <c r="DL30" s="13">
        <f t="shared" si="22"/>
        <v>0</v>
      </c>
      <c r="DM30" s="13">
        <f t="shared" si="23"/>
        <v>0</v>
      </c>
      <c r="DN30" s="13">
        <f t="shared" si="24"/>
        <v>0</v>
      </c>
      <c r="DO30" s="13">
        <f t="shared" si="25"/>
        <v>0</v>
      </c>
      <c r="DP30" s="50">
        <f>DH30*'Useful Constants'!$B$8</f>
        <v>367.42295702026962</v>
      </c>
      <c r="DQ30" s="50">
        <f>DI30*'Useful Constants'!$B$8</f>
        <v>273.3712586791965</v>
      </c>
      <c r="DR30" s="50">
        <f>DJ30*'Useful Constants'!$B$10</f>
        <v>108.63882053602988</v>
      </c>
      <c r="DS30" s="50">
        <f>DK30*'Useful Constants'!$B$10</f>
        <v>67.691416957365647</v>
      </c>
      <c r="DT30" s="50">
        <f>DL30*'Useful Constants'!$B$10</f>
        <v>0</v>
      </c>
      <c r="DU30" s="50">
        <f>DM30*'Useful Constants'!$B$10</f>
        <v>0</v>
      </c>
      <c r="DV30" s="50">
        <f>DN30*'Useful Constants'!$B$10</f>
        <v>0</v>
      </c>
      <c r="DW30" s="50">
        <f>DO30*'Useful Constants'!$B$10</f>
        <v>0</v>
      </c>
      <c r="DX30" s="14">
        <f>DH30*'Useful Constants'!$B$9</f>
        <v>165.94407730211239</v>
      </c>
      <c r="DY30" s="14">
        <f>DI30*'Useful Constants'!$B$9</f>
        <v>123.46626800440704</v>
      </c>
      <c r="DZ30" s="14">
        <f>DJ30*'Useful Constants'!$B$11</f>
        <v>30.266864816005036</v>
      </c>
      <c r="EA30" s="14">
        <f>DK30*'Useful Constants'!$B$11</f>
        <v>18.858884477422446</v>
      </c>
      <c r="EB30" s="14">
        <f>DL30*'Useful Constants'!$B$11</f>
        <v>0</v>
      </c>
      <c r="EC30" s="14">
        <f>DM30*'Useful Constants'!$B$11</f>
        <v>0</v>
      </c>
      <c r="ED30" s="14">
        <f>DN30*'Useful Constants'!$B$11</f>
        <v>0</v>
      </c>
      <c r="EE30" s="14">
        <f>DO30*'Useful Constants'!$B$11</f>
        <v>0</v>
      </c>
      <c r="EF30" s="78">
        <f>(SUM(Data!DI30:DO30)*2+Data!DP30)/('Useful Constants'!$B$1*1000000)*$K30/100</f>
        <v>49.935844911142283</v>
      </c>
      <c r="EG30" s="78">
        <f>(SUM(Data!DJ30:DP30)*2+Data!DQ30)/('Useful Constants'!$B$1*1000000)*$K30/100</f>
        <v>49.050856522172779</v>
      </c>
      <c r="EH30" s="78">
        <f>(SUM(Data!DK30:DQ30)*2+Data!DR30)/('Useful Constants'!$B$1*1000000)*$K30/100</f>
        <v>47.069184586421599</v>
      </c>
      <c r="EI30" s="78">
        <f>(SUM(Data!DL30:DR30)*2+Data!DS30)/('Useful Constants'!$B$1*1000000)*$K30/100</f>
        <v>44.633520855824692</v>
      </c>
      <c r="EJ30" s="78">
        <f>(SUM(Data!DM30:DS30)*2+Data!DT30)/('Useful Constants'!$B$1*1000000)*$K30/100</f>
        <v>42.356628285072091</v>
      </c>
      <c r="EK30" s="78">
        <f>(SUM(Data!DN30:DT30)*2+Data!DU30)/('Useful Constants'!$B$1*1000000)*$K30/100</f>
        <v>39.264232293390634</v>
      </c>
      <c r="EL30" s="78">
        <f>(SUM(Data!DO30:DU30)*2+Data!DV30)/('Useful Constants'!$B$1*1000000)*$K30/100</f>
        <v>36.129775499413405</v>
      </c>
      <c r="EM30" s="78">
        <f>(SUM(Data!DP30:DV30)*2+Data!DW30)/('Useful Constants'!$B$1*1000000)*$K30/100</f>
        <v>32.713168212828997</v>
      </c>
      <c r="EN30" s="79">
        <f>EF30*'Useful Constants'!$B$3</f>
        <v>4194.610972535952</v>
      </c>
      <c r="EO30" s="79">
        <f>EG30*'Useful Constants'!$B$3</f>
        <v>4120.2719478625131</v>
      </c>
      <c r="EP30" s="79">
        <f>EH30*'Useful Constants'!$B$3</f>
        <v>3953.8115052594144</v>
      </c>
      <c r="EQ30" s="79">
        <f>EI30*'Useful Constants'!$B$3</f>
        <v>3749.2157518892741</v>
      </c>
      <c r="ER30" s="79">
        <f>EJ30*'Useful Constants'!$B$3</f>
        <v>3557.9567759460556</v>
      </c>
      <c r="ES30" s="79">
        <f>EK30*'Useful Constants'!$B$3</f>
        <v>3298.1955126448133</v>
      </c>
      <c r="ET30" s="79">
        <f>EL30*'Useful Constants'!$B$3</f>
        <v>3034.901141950726</v>
      </c>
      <c r="EU30" s="79">
        <f>EM30*'Useful Constants'!$B$3</f>
        <v>2747.9061298776355</v>
      </c>
      <c r="EV30" s="78">
        <f>EF30*'Useful Constants'!$B$4</f>
        <v>1398.2036575119839</v>
      </c>
      <c r="EW30" s="78">
        <f>EG30*'Useful Constants'!$B$4</f>
        <v>1373.4239826208377</v>
      </c>
      <c r="EX30" s="78">
        <f>EH30*'Useful Constants'!$B$4</f>
        <v>1317.9371684198047</v>
      </c>
      <c r="EY30" s="78">
        <f>EI30*'Useful Constants'!$B$4</f>
        <v>1249.7385839630913</v>
      </c>
      <c r="EZ30" s="78">
        <f>EJ30*'Useful Constants'!$B$4</f>
        <v>1185.9855919820186</v>
      </c>
      <c r="FA30" s="78">
        <f>EK30*'Useful Constants'!$B$4</f>
        <v>1099.3985042149377</v>
      </c>
      <c r="FB30" s="78">
        <f>EL30*'Useful Constants'!$B$4</f>
        <v>1011.6337139835754</v>
      </c>
      <c r="FC30" s="78">
        <f>EM30*'Useful Constants'!$B$4</f>
        <v>915.96870995921188</v>
      </c>
      <c r="FD30" s="40">
        <f t="shared" si="26"/>
        <v>0.33242389037234588</v>
      </c>
      <c r="FE30" s="40">
        <f t="shared" si="27"/>
        <v>0.31720194964478277</v>
      </c>
      <c r="FF30" s="40">
        <f t="shared" si="28"/>
        <v>0.41085385353589571</v>
      </c>
      <c r="FG30" s="40">
        <f t="shared" si="29"/>
        <v>0.37343195672624596</v>
      </c>
      <c r="FH30" s="40">
        <f t="shared" si="30"/>
        <v>0.40333619771325951</v>
      </c>
      <c r="FI30" s="40">
        <f t="shared" si="31"/>
        <v>0.4640159182455626</v>
      </c>
      <c r="FJ30" s="40">
        <f t="shared" si="32"/>
        <v>0.52712462183614728</v>
      </c>
      <c r="FK30" s="40">
        <f t="shared" si="33"/>
        <v>0.60025765104807161</v>
      </c>
      <c r="FL30" s="4">
        <f t="shared" si="34"/>
        <v>0.58554961900996361</v>
      </c>
      <c r="FM30" s="4">
        <f t="shared" si="35"/>
        <v>0.57935891486988966</v>
      </c>
      <c r="FN30" s="4">
        <f t="shared" si="36"/>
        <v>0.633964370820154</v>
      </c>
      <c r="FO30" s="4">
        <f t="shared" si="37"/>
        <v>0.61672173883993431</v>
      </c>
      <c r="FP30" s="4">
        <f t="shared" si="38"/>
        <v>0.6359966547462419</v>
      </c>
      <c r="FQ30" s="4">
        <f t="shared" si="39"/>
        <v>0.67188495398808756</v>
      </c>
      <c r="FR30" s="4">
        <f t="shared" si="40"/>
        <v>0.70910054492782626</v>
      </c>
      <c r="FS30" s="4">
        <f t="shared" si="41"/>
        <v>0.75196707723630218</v>
      </c>
      <c r="FT30" s="38">
        <f t="shared" si="42"/>
        <v>0.45360338102562603</v>
      </c>
      <c r="FU30" s="38">
        <f t="shared" si="43"/>
        <v>0.44291814605955798</v>
      </c>
      <c r="FV30" s="38">
        <f t="shared" si="44"/>
        <v>0.51847762737434611</v>
      </c>
      <c r="FW30" s="38">
        <f t="shared" si="45"/>
        <v>0.49071843062136761</v>
      </c>
      <c r="FX30" s="38">
        <f t="shared" si="46"/>
        <v>0.51544780354166753</v>
      </c>
      <c r="FY30" s="38">
        <f t="shared" si="47"/>
        <v>0.56420594274506719</v>
      </c>
      <c r="FZ30" s="38">
        <f t="shared" si="48"/>
        <v>0.61485752873102251</v>
      </c>
      <c r="GA30" s="38">
        <f t="shared" si="49"/>
        <v>0.67342024161542291</v>
      </c>
    </row>
    <row r="31" spans="1:183" x14ac:dyDescent="0.25">
      <c r="A31" s="1" t="str">
        <f>Data!A31</f>
        <v>IL_BELLEVILLE-SCOTT-AFB_724338_TY3A</v>
      </c>
      <c r="B31" s="1" t="str">
        <f>TY3A_REP_CITIES!B31</f>
        <v>Belleville</v>
      </c>
      <c r="C31" s="1" t="str">
        <f>TY3A_REP_CITIES!C31</f>
        <v>St Clair</v>
      </c>
      <c r="D31" s="2" t="str">
        <f>TY3A_REP_CITIES!A31</f>
        <v>IL</v>
      </c>
      <c r="E31" s="42">
        <f>TY3A_REP_CITIES!E31</f>
        <v>89512</v>
      </c>
      <c r="F31" s="2">
        <f>TY3A_REP_CITIES!G31</f>
        <v>4</v>
      </c>
      <c r="G31" s="2" t="str">
        <f>TY3A_REP_CITIES!H31</f>
        <v>Mixed-Humid</v>
      </c>
      <c r="H31" s="2" t="str">
        <f>TY3A_REP_CITIES!I31</f>
        <v>Midwest</v>
      </c>
      <c r="I31" s="2">
        <f>Data!B31</f>
        <v>38.549999999999997</v>
      </c>
      <c r="J31" s="2">
        <f>Data!C31</f>
        <v>-89.85</v>
      </c>
      <c r="K31" s="2">
        <f>VLOOKUP(D31,Table1[],2,FALSE)</f>
        <v>2.1</v>
      </c>
      <c r="L31" s="2">
        <v>0.5</v>
      </c>
      <c r="M31" s="10">
        <f>Data!N31</f>
        <v>5178.8955100000003</v>
      </c>
      <c r="N31" s="10">
        <f>Data!Q31</f>
        <v>29308</v>
      </c>
      <c r="O31" s="10">
        <f>Data!O31</f>
        <v>37436585314.926598</v>
      </c>
      <c r="P31" s="10">
        <f>Data!P31</f>
        <v>38996443036.382088</v>
      </c>
      <c r="Q31" s="10">
        <f>Data!S31*15</f>
        <v>29423.361379022124</v>
      </c>
      <c r="R31" s="48">
        <f>SUM(Data!U31:AA31)*2+Data!AB31</f>
        <v>333.19924082525216</v>
      </c>
      <c r="S31" s="48">
        <f>SUM(Data!V31:AB31)*2+Data!AC31</f>
        <v>314.3768671160297</v>
      </c>
      <c r="T31" s="48">
        <f>SUM(Data!W31:AC31)*2+Data!AD31</f>
        <v>287.36387231786404</v>
      </c>
      <c r="U31" s="48">
        <f>SUM(Data!X31:AD31)*2+Data!AE31</f>
        <v>287.28658195439658</v>
      </c>
      <c r="V31" s="48">
        <f>SUM(Data!Y31:AE31)*2+Data!AF31</f>
        <v>287.7906612433905</v>
      </c>
      <c r="W31" s="48">
        <f>SUM(Data!Z31:AF31)*2+Data!AG31</f>
        <v>273.17369644163517</v>
      </c>
      <c r="X31" s="48">
        <f>SUM(Data!AA31:AG31)*2+Data!AH31</f>
        <v>291.03705936753869</v>
      </c>
      <c r="Y31" s="48">
        <f>SUM(Data!AB31:AH31)*2+Data!AI31</f>
        <v>314.63550319009687</v>
      </c>
      <c r="Z31" s="80">
        <f>(SUM(Data!CS31:CY31)*2+Data!CZ31)/('Useful Constants'!$B$1*1000000)*$K31/100</f>
        <v>0.3296176673029016</v>
      </c>
      <c r="AA31" s="80">
        <f>(SUM(Data!CT31:CZ31)*2+Data!DA31)/('Useful Constants'!$B$1*1000000)*$K31/100</f>
        <v>0.27589059306440955</v>
      </c>
      <c r="AB31" s="80">
        <f>(SUM(Data!CU31:DA31)*2+Data!DB31)/('Useful Constants'!$B$1*1000000)*$K31/100</f>
        <v>0.2319010444298075</v>
      </c>
      <c r="AC31" s="80">
        <f>(SUM(Data!CV31:DB31)*2+Data!DC31)/('Useful Constants'!$B$1*1000000)*$K31/100</f>
        <v>0.20238621088599931</v>
      </c>
      <c r="AD31" s="80">
        <f>(SUM(Data!CW31:DC31)*2+Data!DD31)/('Useful Constants'!$B$1*1000000)*$K31/100</f>
        <v>0.19350484311391411</v>
      </c>
      <c r="AE31" s="80">
        <f>(SUM(Data!CX31:DD31)*2+Data!DE31)/('Useful Constants'!$B$1*1000000)*$K31/100</f>
        <v>0.20491090068626325</v>
      </c>
      <c r="AF31" s="80">
        <f>(SUM(Data!CY31:DE31)*2+Data!DF31)/('Useful Constants'!$B$1*1000000)*$K31/100</f>
        <v>0.23358378083866127</v>
      </c>
      <c r="AG31" s="80">
        <f>(SUM(Data!CZ31:DF31)*2+Data!DG31)/('Useful Constants'!$B$1*1000000)*$K31/100</f>
        <v>0.29039394159530219</v>
      </c>
      <c r="AH31" s="48">
        <f>Z31*'Useful Constants'!$B$3</f>
        <v>27.687884053443735</v>
      </c>
      <c r="AI31" s="48">
        <f>AA31*'Useful Constants'!$B$3</f>
        <v>23.174809817410402</v>
      </c>
      <c r="AJ31" s="48">
        <f>AB31*'Useful Constants'!$B$3</f>
        <v>19.47968773210383</v>
      </c>
      <c r="AK31" s="48">
        <f>AC31*'Useful Constants'!$B$3</f>
        <v>17.000441714423943</v>
      </c>
      <c r="AL31" s="48">
        <f>AD31*'Useful Constants'!$B$3</f>
        <v>16.254406821568786</v>
      </c>
      <c r="AM31" s="48">
        <f>AE31*'Useful Constants'!$B$3</f>
        <v>17.212515657646112</v>
      </c>
      <c r="AN31" s="48">
        <f>AF31*'Useful Constants'!$B$3</f>
        <v>19.621037590447546</v>
      </c>
      <c r="AO31" s="48">
        <f>AG31*'Useful Constants'!$B$3</f>
        <v>24.393091094005385</v>
      </c>
      <c r="AP31" s="10">
        <f>Z31*'Useful Constants'!$B$4</f>
        <v>9.2292946844812445</v>
      </c>
      <c r="AQ31" s="10">
        <f>AA31*'Useful Constants'!$B$4</f>
        <v>7.7249366058034674</v>
      </c>
      <c r="AR31" s="10">
        <f>AB31*'Useful Constants'!$B$4</f>
        <v>6.4932292440346098</v>
      </c>
      <c r="AS31" s="10">
        <f>AC31*'Useful Constants'!$B$4</f>
        <v>5.6668139048079809</v>
      </c>
      <c r="AT31" s="10">
        <f>AD31*'Useful Constants'!$B$4</f>
        <v>5.418135607189595</v>
      </c>
      <c r="AU31" s="10">
        <f>AE31*'Useful Constants'!$B$4</f>
        <v>5.7375052192153708</v>
      </c>
      <c r="AV31" s="10">
        <f>AF31*'Useful Constants'!$B$4</f>
        <v>6.540345863482516</v>
      </c>
      <c r="AW31" s="10">
        <f>AG31*'Useful Constants'!$B$4</f>
        <v>8.1310303646684616</v>
      </c>
      <c r="AX31" s="48">
        <f>P31/1000000/'Useful Constants'!$B$1*K31/100*'Useful Constants'!$B$3*15</f>
        <v>20636.917654853398</v>
      </c>
      <c r="AY31" s="48">
        <f>P31/1000000/'Useful Constants'!$B$1*L31/100*'Useful Constants'!$B$3*15</f>
        <v>4913.5518225841424</v>
      </c>
      <c r="AZ31" s="48">
        <f>P31/1000000/'Useful Constants'!$B$1*K31/100*'Useful Constants'!$B$4*15</f>
        <v>6878.9725516177996</v>
      </c>
      <c r="BA31" s="48">
        <f>P31/1000000/'Useful Constants'!$B$1*L31/100*'Useful Constants'!$B$4*15</f>
        <v>1637.8506075280475</v>
      </c>
      <c r="BB31" s="7">
        <f>Data!AN31</f>
        <v>5178.8955100000003</v>
      </c>
      <c r="BC31" s="7">
        <f>Data!AQ31</f>
        <v>5178.8955100000003</v>
      </c>
      <c r="BD31" s="7">
        <f>Data!AT31</f>
        <v>7097.4315399999996</v>
      </c>
      <c r="BE31" s="6">
        <f>Data!AO31</f>
        <v>30943573237.1595</v>
      </c>
      <c r="BF31" s="6">
        <f>Data!AP31</f>
        <v>10689387697.878</v>
      </c>
      <c r="BG31" s="6">
        <f>Data!AR31</f>
        <v>5014583083.2240696</v>
      </c>
      <c r="BH31" s="6">
        <f>Data!AS31</f>
        <v>5014583083.2240696</v>
      </c>
      <c r="BI31" s="8">
        <f t="shared" si="0"/>
        <v>0.86054393227103654</v>
      </c>
      <c r="BJ31" s="8">
        <f t="shared" si="1"/>
        <v>0.68068056460863091</v>
      </c>
      <c r="BK31" s="13">
        <f>BB31*'Useful Constants'!$B$5/'Useful Constants'!$B$6*'Useful Constants'!$B$7</f>
        <v>1.3252793610090001</v>
      </c>
      <c r="BL31" s="52">
        <f>1-VLOOKUP($G31,'Useful Constants'!$A$17:$X$23,10,FALSE)</f>
        <v>0</v>
      </c>
      <c r="BM31" s="52">
        <f>1-VLOOKUP($G31,'Useful Constants'!$A$17:$X$23,12,FALSE)</f>
        <v>0</v>
      </c>
      <c r="BN31" s="52">
        <f>1-VLOOKUP($G31,'Useful Constants'!$A$17:$X$23,14,FALSE)</f>
        <v>0</v>
      </c>
      <c r="BO31" s="52">
        <f>1-VLOOKUP($G31,'Useful Constants'!$A$17:$X$23,16,FALSE)</f>
        <v>0</v>
      </c>
      <c r="BP31" s="52">
        <f>1-VLOOKUP($G31,'Useful Constants'!$A$17:$X$23,18,FALSE)</f>
        <v>0</v>
      </c>
      <c r="BQ31" s="52">
        <f>1-VLOOKUP($G31,'Useful Constants'!$A$17:$X$23,20, FALSE)</f>
        <v>0</v>
      </c>
      <c r="BR31" s="52">
        <f>1-VLOOKUP($G31,'Useful Constants'!$A$17:$X$23,22, FALSE)</f>
        <v>0</v>
      </c>
      <c r="BS31" s="52">
        <f>1-VLOOKUP($G31,'Useful Constants'!$A$17:$X$23,24, FALSE)</f>
        <v>0</v>
      </c>
      <c r="BT31" s="13">
        <f t="shared" si="2"/>
        <v>0</v>
      </c>
      <c r="BU31" s="13">
        <f t="shared" si="3"/>
        <v>0</v>
      </c>
      <c r="BV31" s="13">
        <f t="shared" si="4"/>
        <v>0</v>
      </c>
      <c r="BW31" s="13">
        <f t="shared" si="5"/>
        <v>0</v>
      </c>
      <c r="BX31" s="13">
        <f t="shared" si="6"/>
        <v>0</v>
      </c>
      <c r="BY31" s="13">
        <f t="shared" si="7"/>
        <v>0</v>
      </c>
      <c r="BZ31" s="13">
        <f t="shared" si="8"/>
        <v>0</v>
      </c>
      <c r="CA31" s="13">
        <f t="shared" si="9"/>
        <v>0</v>
      </c>
      <c r="CB31" s="59">
        <f>+SUM(Data!BM31:BS31)*2+Data!BT31</f>
        <v>1916.7989426904992</v>
      </c>
      <c r="CC31" s="59">
        <f>+SUM(Data!BN31:BT31)*2+Data!BU31</f>
        <v>1809.4948129692718</v>
      </c>
      <c r="CD31" s="59">
        <f>+SUM(Data!BO31:BU31)*2+Data!BV31</f>
        <v>1653.7535150005713</v>
      </c>
      <c r="CE31" s="59">
        <f>+SUM(Data!BP31:BV31)*2+Data!BW31</f>
        <v>1651.2624397255099</v>
      </c>
      <c r="CF31" s="59">
        <f>+SUM(Data!BQ31:BW31)*2+Data!BX31</f>
        <v>1653.2550591634943</v>
      </c>
      <c r="CG31" s="59">
        <f>+SUM(Data!BR31:BX31)*2+Data!BY31</f>
        <v>1568.8775960354094</v>
      </c>
      <c r="CH31" s="59">
        <f>+SUM(Data!BS31:BY31)*2+Data!BZ31</f>
        <v>1671.8207119187805</v>
      </c>
      <c r="CI31" s="59">
        <f>+SUM(Data!BT31:BZ31)*2+Data!CA31</f>
        <v>1807.3852392468057</v>
      </c>
      <c r="CJ31" s="13">
        <f>+SUM(Data!AW31:BC31)*2+Data!BD31</f>
        <v>11306.693576601119</v>
      </c>
      <c r="CK31" s="13">
        <f>+SUM(Data!AX31:BD31)*2+Data!BE31</f>
        <v>10672.07631523457</v>
      </c>
      <c r="CL31" s="13">
        <f>+SUM(Data!AY31:BE31)*2+Data!BF31</f>
        <v>9753.0566898040761</v>
      </c>
      <c r="CM31" s="13">
        <f>+SUM(Data!AZ31:BF31)*2+Data!BG31</f>
        <v>9728.9686383133867</v>
      </c>
      <c r="CN31" s="13">
        <f>+SUM(Data!BA31:BG31)*2+Data!BH31</f>
        <v>9738.4724674643367</v>
      </c>
      <c r="CO31" s="13">
        <f>+SUM(Data!BB31:BH31)*2+Data!BI31</f>
        <v>9238.1128607719911</v>
      </c>
      <c r="CP31" s="13">
        <f>+SUM(Data!BC31:BI31)*2+Data!BJ31</f>
        <v>9837.9464341609546</v>
      </c>
      <c r="CQ31" s="13">
        <f>+SUM(Data!BD31:BJ31)*2+Data!BK31</f>
        <v>10626.718053586021</v>
      </c>
      <c r="CR31" s="59">
        <f>+SUM(Data!CC31:CI31)*2+Data!CJ31</f>
        <v>5444.7075759624722</v>
      </c>
      <c r="CS31" s="59">
        <f>+SUM(Data!CD31:CJ31)*2+Data!CK31</f>
        <v>5195.3028372694698</v>
      </c>
      <c r="CT31" s="59">
        <f>+SUM(Data!CE31:CK31)*2+Data!CL31</f>
        <v>4739.4911799576957</v>
      </c>
      <c r="CU31" s="59">
        <f>+SUM(Data!CF31:CL31)*2+Data!CM31</f>
        <v>4819.9285172284444</v>
      </c>
      <c r="CV31" s="59">
        <f>+SUM(Data!CG31:CM31)*2+Data!CN31</f>
        <v>4863.2405575071389</v>
      </c>
      <c r="CW31" s="59">
        <f>+SUM(Data!CH31:CN31)*2+Data!CO31</f>
        <v>4658.4249221503924</v>
      </c>
      <c r="CX31" s="59">
        <f>+SUM(Data!CI31:CO31)*2+Data!CP31</f>
        <v>4957.6951468432362</v>
      </c>
      <c r="CY31" s="59">
        <f>+SUM(Data!CJ31:CP31)*2+Data!CQ31</f>
        <v>5306.8202502401282</v>
      </c>
      <c r="CZ31" s="60">
        <f t="shared" si="10"/>
        <v>18668.200095254091</v>
      </c>
      <c r="DA31" s="60">
        <f t="shared" si="11"/>
        <v>17676.873965473311</v>
      </c>
      <c r="DB31" s="60">
        <f t="shared" si="12"/>
        <v>16146.301384762344</v>
      </c>
      <c r="DC31" s="60">
        <f t="shared" si="13"/>
        <v>16200.159595267342</v>
      </c>
      <c r="DD31" s="60">
        <f t="shared" si="14"/>
        <v>16254.968084134969</v>
      </c>
      <c r="DE31" s="60">
        <f t="shared" si="15"/>
        <v>15465.415378957792</v>
      </c>
      <c r="DF31" s="60">
        <f t="shared" si="16"/>
        <v>16467.462292922974</v>
      </c>
      <c r="DG31" s="60">
        <f t="shared" si="17"/>
        <v>17740.923543072953</v>
      </c>
      <c r="DH31" s="13">
        <f t="shared" si="18"/>
        <v>0</v>
      </c>
      <c r="DI31" s="13">
        <f t="shared" si="19"/>
        <v>0</v>
      </c>
      <c r="DJ31" s="13">
        <f t="shared" si="20"/>
        <v>0</v>
      </c>
      <c r="DK31" s="13">
        <f t="shared" si="21"/>
        <v>0</v>
      </c>
      <c r="DL31" s="13">
        <f t="shared" si="22"/>
        <v>0</v>
      </c>
      <c r="DM31" s="13">
        <f t="shared" si="23"/>
        <v>0</v>
      </c>
      <c r="DN31" s="13">
        <f t="shared" si="24"/>
        <v>0</v>
      </c>
      <c r="DO31" s="13">
        <f t="shared" si="25"/>
        <v>0</v>
      </c>
      <c r="DP31" s="50">
        <f>DH31*'Useful Constants'!$B$8</f>
        <v>0</v>
      </c>
      <c r="DQ31" s="50">
        <f>DI31*'Useful Constants'!$B$8</f>
        <v>0</v>
      </c>
      <c r="DR31" s="50">
        <f>DJ31*'Useful Constants'!$B$10</f>
        <v>0</v>
      </c>
      <c r="DS31" s="50">
        <f>DK31*'Useful Constants'!$B$10</f>
        <v>0</v>
      </c>
      <c r="DT31" s="50">
        <f>DL31*'Useful Constants'!$B$10</f>
        <v>0</v>
      </c>
      <c r="DU31" s="50">
        <f>DM31*'Useful Constants'!$B$10</f>
        <v>0</v>
      </c>
      <c r="DV31" s="50">
        <f>DN31*'Useful Constants'!$B$10</f>
        <v>0</v>
      </c>
      <c r="DW31" s="50">
        <f>DO31*'Useful Constants'!$B$10</f>
        <v>0</v>
      </c>
      <c r="DX31" s="14">
        <f>DH31*'Useful Constants'!$B$9</f>
        <v>0</v>
      </c>
      <c r="DY31" s="14">
        <f>DI31*'Useful Constants'!$B$9</f>
        <v>0</v>
      </c>
      <c r="DZ31" s="14">
        <f>DJ31*'Useful Constants'!$B$11</f>
        <v>0</v>
      </c>
      <c r="EA31" s="14">
        <f>DK31*'Useful Constants'!$B$11</f>
        <v>0</v>
      </c>
      <c r="EB31" s="14">
        <f>DL31*'Useful Constants'!$B$11</f>
        <v>0</v>
      </c>
      <c r="EC31" s="14">
        <f>DM31*'Useful Constants'!$B$11</f>
        <v>0</v>
      </c>
      <c r="ED31" s="14">
        <f>DN31*'Useful Constants'!$B$11</f>
        <v>0</v>
      </c>
      <c r="EE31" s="14">
        <f>DO31*'Useful Constants'!$B$11</f>
        <v>0</v>
      </c>
      <c r="EF31" s="78">
        <f>(SUM(Data!DI31:DO31)*2+Data!DP31)/('Useful Constants'!$B$1*1000000)*$K31/100</f>
        <v>18.304247451102771</v>
      </c>
      <c r="EG31" s="78">
        <f>(SUM(Data!DJ31:DP31)*2+Data!DQ31)/('Useful Constants'!$B$1*1000000)*$K31/100</f>
        <v>15.454380040289937</v>
      </c>
      <c r="EH31" s="78">
        <f>(SUM(Data!DK31:DQ31)*2+Data!DR31)/('Useful Constants'!$B$1*1000000)*$K31/100</f>
        <v>13.083852105271562</v>
      </c>
      <c r="EI31" s="78">
        <f>(SUM(Data!DL31:DR31)*2+Data!DS31)/('Useful Constants'!$B$1*1000000)*$K31/100</f>
        <v>11.466848156296551</v>
      </c>
      <c r="EJ31" s="78">
        <f>(SUM(Data!DM31:DS31)*2+Data!DT31)/('Useful Constants'!$B$1*1000000)*$K31/100</f>
        <v>11.079153726943614</v>
      </c>
      <c r="EK31" s="78">
        <f>(SUM(Data!DN31:DT31)*2+Data!DU31)/('Useful Constants'!$B$1*1000000)*$K31/100</f>
        <v>11.895780470071811</v>
      </c>
      <c r="EL31" s="78">
        <f>(SUM(Data!DO31:DU31)*2+Data!DV31)/('Useful Constants'!$B$1*1000000)*$K31/100</f>
        <v>13.816671132013346</v>
      </c>
      <c r="EM31" s="78">
        <f>(SUM(Data!DP31:DV31)*2+Data!DW31)/('Useful Constants'!$B$1*1000000)*$K31/100</f>
        <v>17.380835670610686</v>
      </c>
      <c r="EN31" s="79">
        <f>EF31*'Useful Constants'!$B$3</f>
        <v>1537.5567858926329</v>
      </c>
      <c r="EO31" s="79">
        <f>EG31*'Useful Constants'!$B$3</f>
        <v>1298.1679233843547</v>
      </c>
      <c r="EP31" s="79">
        <f>EH31*'Useful Constants'!$B$3</f>
        <v>1099.0435768428113</v>
      </c>
      <c r="EQ31" s="79">
        <f>EI31*'Useful Constants'!$B$3</f>
        <v>963.21524512891028</v>
      </c>
      <c r="ER31" s="79">
        <f>EJ31*'Useful Constants'!$B$3</f>
        <v>930.64891306326365</v>
      </c>
      <c r="ES31" s="79">
        <f>EK31*'Useful Constants'!$B$3</f>
        <v>999.24555948603211</v>
      </c>
      <c r="ET31" s="79">
        <f>EL31*'Useful Constants'!$B$3</f>
        <v>1160.6003750891209</v>
      </c>
      <c r="EU31" s="79">
        <f>EM31*'Useful Constants'!$B$3</f>
        <v>1459.9901963312977</v>
      </c>
      <c r="EV31" s="78">
        <f>EF31*'Useful Constants'!$B$4</f>
        <v>512.51892863087755</v>
      </c>
      <c r="EW31" s="78">
        <f>EG31*'Useful Constants'!$B$4</f>
        <v>432.72264112811825</v>
      </c>
      <c r="EX31" s="78">
        <f>EH31*'Useful Constants'!$B$4</f>
        <v>366.34785894760375</v>
      </c>
      <c r="EY31" s="78">
        <f>EI31*'Useful Constants'!$B$4</f>
        <v>321.07174837630345</v>
      </c>
      <c r="EZ31" s="78">
        <f>EJ31*'Useful Constants'!$B$4</f>
        <v>310.2163043544212</v>
      </c>
      <c r="FA31" s="78">
        <f>EK31*'Useful Constants'!$B$4</f>
        <v>333.0818531620107</v>
      </c>
      <c r="FB31" s="78">
        <f>EL31*'Useful Constants'!$B$4</f>
        <v>386.8667916963737</v>
      </c>
      <c r="FC31" s="78">
        <f>EM31*'Useful Constants'!$B$4</f>
        <v>486.66339877709925</v>
      </c>
      <c r="FD31" s="40">
        <f t="shared" si="26"/>
        <v>0.37263582529754602</v>
      </c>
      <c r="FE31" s="40">
        <f t="shared" si="27"/>
        <v>0.40557436415767456</v>
      </c>
      <c r="FF31" s="40">
        <f t="shared" si="28"/>
        <v>0.45654973925504805</v>
      </c>
      <c r="FG31" s="40">
        <f t="shared" si="29"/>
        <v>0.45473556764748257</v>
      </c>
      <c r="FH31" s="40">
        <f t="shared" si="30"/>
        <v>0.45290010760586763</v>
      </c>
      <c r="FI31" s="40">
        <f t="shared" si="31"/>
        <v>0.47921818691447876</v>
      </c>
      <c r="FJ31" s="40">
        <f t="shared" si="32"/>
        <v>0.44580865982978291</v>
      </c>
      <c r="FK31" s="40">
        <f t="shared" si="33"/>
        <v>0.40342573800978893</v>
      </c>
      <c r="FL31" s="4">
        <f t="shared" si="34"/>
        <v>0.63484485656977385</v>
      </c>
      <c r="FM31" s="4">
        <f t="shared" si="35"/>
        <v>0.65694146449147484</v>
      </c>
      <c r="FN31" s="4">
        <f t="shared" si="36"/>
        <v>0.68804025740223573</v>
      </c>
      <c r="FO31" s="4">
        <f t="shared" si="37"/>
        <v>0.68950869713734975</v>
      </c>
      <c r="FP31" s="4">
        <f t="shared" si="38"/>
        <v>0.68910496813113542</v>
      </c>
      <c r="FQ31" s="4">
        <f t="shared" si="39"/>
        <v>0.70207375021673935</v>
      </c>
      <c r="FR31" s="4">
        <f t="shared" si="40"/>
        <v>0.68113908617541197</v>
      </c>
      <c r="FS31" s="4">
        <f t="shared" si="41"/>
        <v>0.65286709220840933</v>
      </c>
      <c r="FT31" s="38">
        <f t="shared" si="42"/>
        <v>0.4989704859757022</v>
      </c>
      <c r="FU31" s="38">
        <f t="shared" si="43"/>
        <v>0.52669852384709881</v>
      </c>
      <c r="FV31" s="38">
        <f t="shared" si="44"/>
        <v>0.56811656483233841</v>
      </c>
      <c r="FW31" s="38">
        <f t="shared" si="45"/>
        <v>0.5678818889479671</v>
      </c>
      <c r="FX31" s="38">
        <f t="shared" si="46"/>
        <v>0.56673517719608002</v>
      </c>
      <c r="FY31" s="38">
        <f t="shared" si="47"/>
        <v>0.58663341122286417</v>
      </c>
      <c r="FZ31" s="38">
        <f t="shared" si="48"/>
        <v>0.55922291922922218</v>
      </c>
      <c r="GA31" s="38">
        <f t="shared" si="49"/>
        <v>0.5236230758133894</v>
      </c>
    </row>
    <row r="32" spans="1:183" x14ac:dyDescent="0.25">
      <c r="A32" s="1" t="str">
        <f>Data!A32</f>
        <v>IL_CHICAGO-MIDWAY-AP_725340_TY3A</v>
      </c>
      <c r="B32" s="1" t="str">
        <f>TY3A_REP_CITIES!B32</f>
        <v>Chicago</v>
      </c>
      <c r="C32" s="1" t="str">
        <f>TY3A_REP_CITIES!C32</f>
        <v>Cook</v>
      </c>
      <c r="D32" s="2" t="str">
        <f>TY3A_REP_CITIES!A32</f>
        <v>IL</v>
      </c>
      <c r="E32" s="42">
        <f>TY3A_REP_CITIES!E32</f>
        <v>5150233</v>
      </c>
      <c r="F32" s="2">
        <f>TY3A_REP_CITIES!G32</f>
        <v>5</v>
      </c>
      <c r="G32" s="2" t="str">
        <f>TY3A_REP_CITIES!H32</f>
        <v>Cold</v>
      </c>
      <c r="H32" s="2" t="str">
        <f>TY3A_REP_CITIES!I32</f>
        <v>Midwest</v>
      </c>
      <c r="I32" s="2">
        <f>Data!B32</f>
        <v>41.78</v>
      </c>
      <c r="J32" s="2">
        <f>Data!C32</f>
        <v>-87.75</v>
      </c>
      <c r="K32" s="2">
        <f>VLOOKUP(D32,Table1[],2,FALSE)</f>
        <v>2.1</v>
      </c>
      <c r="L32" s="2">
        <v>0.5</v>
      </c>
      <c r="M32" s="10">
        <f>Data!N32</f>
        <v>5330.4991399999999</v>
      </c>
      <c r="N32" s="10">
        <f>Data!Q32</f>
        <v>29308</v>
      </c>
      <c r="O32" s="10">
        <f>Data!O32</f>
        <v>44242423038.504303</v>
      </c>
      <c r="P32" s="10">
        <f>Data!P32</f>
        <v>46085857331.775169</v>
      </c>
      <c r="Q32" s="10">
        <f>Data!S32*15</f>
        <v>34772.423563600001</v>
      </c>
      <c r="R32" s="48">
        <f>SUM(Data!U32:AA32)*2+Data!AB32</f>
        <v>408.31578775722301</v>
      </c>
      <c r="S32" s="48">
        <f>SUM(Data!V32:AB32)*2+Data!AC32</f>
        <v>385.52935797080443</v>
      </c>
      <c r="T32" s="48">
        <f>SUM(Data!W32:AC32)*2+Data!AD32</f>
        <v>352.11634815729059</v>
      </c>
      <c r="U32" s="48">
        <f>SUM(Data!X32:AD32)*2+Data!AE32</f>
        <v>353.83399432563391</v>
      </c>
      <c r="V32" s="48">
        <f>SUM(Data!Y32:AE32)*2+Data!AF32</f>
        <v>354.11489094400628</v>
      </c>
      <c r="W32" s="48">
        <f>SUM(Data!Z32:AF32)*2+Data!AG32</f>
        <v>337.82198056170972</v>
      </c>
      <c r="X32" s="48">
        <f>SUM(Data!AA32:AG32)*2+Data!AH32</f>
        <v>359.96200421745959</v>
      </c>
      <c r="Y32" s="48">
        <f>SUM(Data!AB32:AH32)*2+Data!AI32</f>
        <v>388.10179732165449</v>
      </c>
      <c r="Z32" s="80">
        <f>(SUM(Data!CS32:CY32)*2+Data!CZ32)/('Useful Constants'!$B$1*1000000)*$K32/100</f>
        <v>0.40866270134352656</v>
      </c>
      <c r="AA32" s="80">
        <f>(SUM(Data!CT32:CZ32)*2+Data!DA32)/('Useful Constants'!$B$1*1000000)*$K32/100</f>
        <v>0.34235062760329432</v>
      </c>
      <c r="AB32" s="80">
        <f>(SUM(Data!CU32:DA32)*2+Data!DB32)/('Useful Constants'!$B$1*1000000)*$K32/100</f>
        <v>0.28748672691373278</v>
      </c>
      <c r="AC32" s="80">
        <f>(SUM(Data!CV32:DB32)*2+Data!DC32)/('Useful Constants'!$B$1*1000000)*$K32/100</f>
        <v>0.25033681051638806</v>
      </c>
      <c r="AD32" s="80">
        <f>(SUM(Data!CW32:DC32)*2+Data!DD32)/('Useful Constants'!$B$1*1000000)*$K32/100</f>
        <v>0.23679624058054091</v>
      </c>
      <c r="AE32" s="80">
        <f>(SUM(Data!CX32:DD32)*2+Data!DE32)/('Useful Constants'!$B$1*1000000)*$K32/100</f>
        <v>0.2486943758175946</v>
      </c>
      <c r="AF32" s="80">
        <f>(SUM(Data!CY32:DE32)*2+Data!DF32)/('Useful Constants'!$B$1*1000000)*$K32/100</f>
        <v>0.28045627861811001</v>
      </c>
      <c r="AG32" s="80">
        <f>(SUM(Data!CZ32:DF32)*2+Data!DG32)/('Useful Constants'!$B$1*1000000)*$K32/100</f>
        <v>0.34607606431412385</v>
      </c>
      <c r="AH32" s="48">
        <f>Z32*'Useful Constants'!$B$3</f>
        <v>34.32766691285623</v>
      </c>
      <c r="AI32" s="48">
        <f>AA32*'Useful Constants'!$B$3</f>
        <v>28.757452718676724</v>
      </c>
      <c r="AJ32" s="48">
        <f>AB32*'Useful Constants'!$B$3</f>
        <v>24.148885060753553</v>
      </c>
      <c r="AK32" s="48">
        <f>AC32*'Useful Constants'!$B$3</f>
        <v>21.028292083376598</v>
      </c>
      <c r="AL32" s="48">
        <f>AD32*'Useful Constants'!$B$3</f>
        <v>19.890884208765435</v>
      </c>
      <c r="AM32" s="48">
        <f>AE32*'Useful Constants'!$B$3</f>
        <v>20.890327568677947</v>
      </c>
      <c r="AN32" s="48">
        <f>AF32*'Useful Constants'!$B$3</f>
        <v>23.55832740392124</v>
      </c>
      <c r="AO32" s="48">
        <f>AG32*'Useful Constants'!$B$3</f>
        <v>29.070389402386404</v>
      </c>
      <c r="AP32" s="10">
        <f>Z32*'Useful Constants'!$B$4</f>
        <v>11.442555637618744</v>
      </c>
      <c r="AQ32" s="10">
        <f>AA32*'Useful Constants'!$B$4</f>
        <v>9.5858175728922408</v>
      </c>
      <c r="AR32" s="10">
        <f>AB32*'Useful Constants'!$B$4</f>
        <v>8.0496283535845183</v>
      </c>
      <c r="AS32" s="10">
        <f>AC32*'Useful Constants'!$B$4</f>
        <v>7.0094306944588656</v>
      </c>
      <c r="AT32" s="10">
        <f>AD32*'Useful Constants'!$B$4</f>
        <v>6.6302947362551459</v>
      </c>
      <c r="AU32" s="10">
        <f>AE32*'Useful Constants'!$B$4</f>
        <v>6.9634425228926489</v>
      </c>
      <c r="AV32" s="10">
        <f>AF32*'Useful Constants'!$B$4</f>
        <v>7.8527758013070805</v>
      </c>
      <c r="AW32" s="10">
        <f>AG32*'Useful Constants'!$B$4</f>
        <v>9.6901298007954679</v>
      </c>
      <c r="AX32" s="48">
        <f>P32/1000000/'Useful Constants'!$B$1*K32/100*'Useful Constants'!$B$3*15</f>
        <v>24388.635699975421</v>
      </c>
      <c r="AY32" s="48">
        <f>P32/1000000/'Useful Constants'!$B$1*L32/100*'Useful Constants'!$B$3*15</f>
        <v>5806.8180238036721</v>
      </c>
      <c r="AZ32" s="48">
        <f>P32/1000000/'Useful Constants'!$B$1*K32/100*'Useful Constants'!$B$4*15</f>
        <v>8129.5452333251396</v>
      </c>
      <c r="BA32" s="48">
        <f>P32/1000000/'Useful Constants'!$B$1*L32/100*'Useful Constants'!$B$4*15</f>
        <v>1935.6060079345573</v>
      </c>
      <c r="BB32" s="7">
        <f>Data!AN32</f>
        <v>5330.4991399999999</v>
      </c>
      <c r="BC32" s="7">
        <f>Data!AQ32</f>
        <v>5330.4991399999999</v>
      </c>
      <c r="BD32" s="7">
        <f>Data!AT32</f>
        <v>8687.4067400000004</v>
      </c>
      <c r="BE32" s="6">
        <f>Data!AO32</f>
        <v>33759756252.696899</v>
      </c>
      <c r="BF32" s="6">
        <f>Data!AP32</f>
        <v>11978433614.2369</v>
      </c>
      <c r="BG32" s="6">
        <f>Data!AR32</f>
        <v>8797111649.9695702</v>
      </c>
      <c r="BH32" s="6">
        <f>Data!AS32</f>
        <v>8797111649.9695702</v>
      </c>
      <c r="BI32" s="8">
        <f t="shared" si="0"/>
        <v>0.79328573545191805</v>
      </c>
      <c r="BJ32" s="8">
        <f t="shared" si="1"/>
        <v>0.57656410274218717</v>
      </c>
      <c r="BK32" s="13">
        <f>BB32*'Useful Constants'!$B$5/'Useful Constants'!$B$6*'Useful Constants'!$B$7</f>
        <v>1.3640747299260001</v>
      </c>
      <c r="BL32" s="52">
        <f>1-VLOOKUP($G32,'Useful Constants'!$A$17:$X$23,10,FALSE)</f>
        <v>6.6471999999999865E-2</v>
      </c>
      <c r="BM32" s="52">
        <f>1-VLOOKUP($G32,'Useful Constants'!$A$17:$X$23,12,FALSE)</f>
        <v>4.945672000000001E-2</v>
      </c>
      <c r="BN32" s="52">
        <f>1-VLOOKUP($G32,'Useful Constants'!$A$17:$X$23,14,FALSE)</f>
        <v>3.4455679999999989E-2</v>
      </c>
      <c r="BO32" s="52">
        <f>1-VLOOKUP($G32,'Useful Constants'!$A$17:$X$23,16,FALSE)</f>
        <v>2.1468880000000024E-2</v>
      </c>
      <c r="BP32" s="52">
        <f>1-VLOOKUP($G32,'Useful Constants'!$A$17:$X$23,18,FALSE)</f>
        <v>0</v>
      </c>
      <c r="BQ32" s="52">
        <f>1-VLOOKUP($G32,'Useful Constants'!$A$17:$X$23,20, FALSE)</f>
        <v>0</v>
      </c>
      <c r="BR32" s="52">
        <f>1-VLOOKUP($G32,'Useful Constants'!$A$17:$X$23,22, FALSE)</f>
        <v>0</v>
      </c>
      <c r="BS32" s="52">
        <f>1-VLOOKUP($G32,'Useful Constants'!$A$17:$X$23,24, FALSE)</f>
        <v>0</v>
      </c>
      <c r="BT32" s="13">
        <f t="shared" si="2"/>
        <v>9.0672775447640894E-2</v>
      </c>
      <c r="BU32" s="13">
        <f t="shared" si="3"/>
        <v>6.7462661977025815E-2</v>
      </c>
      <c r="BV32" s="13">
        <f t="shared" si="4"/>
        <v>4.700012239041667E-2</v>
      </c>
      <c r="BW32" s="13">
        <f t="shared" si="5"/>
        <v>2.9285156687813736E-2</v>
      </c>
      <c r="BX32" s="13">
        <f t="shared" si="6"/>
        <v>0</v>
      </c>
      <c r="BY32" s="13">
        <f t="shared" si="7"/>
        <v>0</v>
      </c>
      <c r="BZ32" s="13">
        <f t="shared" si="8"/>
        <v>0</v>
      </c>
      <c r="CA32" s="13">
        <f t="shared" si="9"/>
        <v>0</v>
      </c>
      <c r="CB32" s="59">
        <f>+SUM(Data!BM32:BS32)*2+Data!BT32</f>
        <v>2215.8283751252379</v>
      </c>
      <c r="CC32" s="59">
        <f>+SUM(Data!BN32:BT32)*2+Data!BU32</f>
        <v>2092.620262440465</v>
      </c>
      <c r="CD32" s="59">
        <f>+SUM(Data!BO32:BU32)*2+Data!BV32</f>
        <v>1910.3583013008974</v>
      </c>
      <c r="CE32" s="59">
        <f>+SUM(Data!BP32:BV32)*2+Data!BW32</f>
        <v>1912.3788049124557</v>
      </c>
      <c r="CF32" s="59">
        <f>+SUM(Data!BQ32:BW32)*2+Data!BX32</f>
        <v>1910.7194308054943</v>
      </c>
      <c r="CG32" s="59">
        <f>+SUM(Data!BR32:BX32)*2+Data!BY32</f>
        <v>1821.8280372964241</v>
      </c>
      <c r="CH32" s="59">
        <f>+SUM(Data!BS32:BY32)*2+Data!BZ32</f>
        <v>1942.6632498609949</v>
      </c>
      <c r="CI32" s="59">
        <f>+SUM(Data!BT32:BZ32)*2+Data!CA32</f>
        <v>2094.8170984668432</v>
      </c>
      <c r="CJ32" s="13">
        <f>+SUM(Data!AW32:BC32)*2+Data!BD32</f>
        <v>12610.852464994385</v>
      </c>
      <c r="CK32" s="13">
        <f>+SUM(Data!AX32:BD32)*2+Data!BE32</f>
        <v>11948.181959964804</v>
      </c>
      <c r="CL32" s="13">
        <f>+SUM(Data!AY32:BE32)*2+Data!BF32</f>
        <v>10907.977761325992</v>
      </c>
      <c r="CM32" s="13">
        <f>+SUM(Data!AZ32:BF32)*2+Data!BG32</f>
        <v>10926.274244390333</v>
      </c>
      <c r="CN32" s="13">
        <f>+SUM(Data!BA32:BG32)*2+Data!BH32</f>
        <v>10920.593285155233</v>
      </c>
      <c r="CO32" s="13">
        <f>+SUM(Data!BB32:BH32)*2+Data!BI32</f>
        <v>10416.772253047082</v>
      </c>
      <c r="CP32" s="13">
        <f>+SUM(Data!BC32:BI32)*2+Data!BJ32</f>
        <v>11099.826323586049</v>
      </c>
      <c r="CQ32" s="13">
        <f>+SUM(Data!BD32:BJ32)*2+Data!BK32</f>
        <v>11945.082702731932</v>
      </c>
      <c r="CR32" s="59">
        <f>+SUM(Data!CC32:CI32)*2+Data!CJ32</f>
        <v>9641.9942300833573</v>
      </c>
      <c r="CS32" s="59">
        <f>+SUM(Data!CD32:CJ32)*2+Data!CK32</f>
        <v>9098.8389139376141</v>
      </c>
      <c r="CT32" s="59">
        <f>+SUM(Data!CE32:CK32)*2+Data!CL32</f>
        <v>8315.8994485557014</v>
      </c>
      <c r="CU32" s="59">
        <f>+SUM(Data!CF32:CL32)*2+Data!CM32</f>
        <v>8654.6428612762174</v>
      </c>
      <c r="CV32" s="59">
        <f>+SUM(Data!CG32:CM32)*2+Data!CN32</f>
        <v>8776.9493069834461</v>
      </c>
      <c r="CW32" s="59">
        <f>+SUM(Data!CH32:CN32)*2+Data!CO32</f>
        <v>8457.9599016724405</v>
      </c>
      <c r="CX32" s="59">
        <f>+SUM(Data!CI32:CO32)*2+Data!CP32</f>
        <v>8961.3490468936016</v>
      </c>
      <c r="CY32" s="59">
        <f>+SUM(Data!CJ32:CP32)*2+Data!CQ32</f>
        <v>9620.2338287486036</v>
      </c>
      <c r="CZ32" s="60">
        <f t="shared" si="10"/>
        <v>24468.675070202982</v>
      </c>
      <c r="DA32" s="60">
        <f t="shared" si="11"/>
        <v>23139.641136342885</v>
      </c>
      <c r="DB32" s="60">
        <f t="shared" si="12"/>
        <v>21134.235511182589</v>
      </c>
      <c r="DC32" s="60">
        <f t="shared" si="13"/>
        <v>21493.295910579007</v>
      </c>
      <c r="DD32" s="60">
        <f t="shared" si="14"/>
        <v>21608.262022944175</v>
      </c>
      <c r="DE32" s="60">
        <f t="shared" si="15"/>
        <v>20696.560192015946</v>
      </c>
      <c r="DF32" s="60">
        <f t="shared" si="16"/>
        <v>22003.838620340644</v>
      </c>
      <c r="DG32" s="60">
        <f t="shared" si="17"/>
        <v>23660.133629947377</v>
      </c>
      <c r="DH32" s="13">
        <f t="shared" si="18"/>
        <v>9.3227261778781156E-2</v>
      </c>
      <c r="DI32" s="13">
        <f t="shared" si="19"/>
        <v>6.9363259449992359E-2</v>
      </c>
      <c r="DJ32" s="13">
        <f t="shared" si="20"/>
        <v>4.832423725968709E-2</v>
      </c>
      <c r="DK32" s="13">
        <f t="shared" si="21"/>
        <v>3.0110195207865651E-2</v>
      </c>
      <c r="DL32" s="13">
        <f t="shared" si="22"/>
        <v>0</v>
      </c>
      <c r="DM32" s="13">
        <f t="shared" si="23"/>
        <v>0</v>
      </c>
      <c r="DN32" s="13">
        <f t="shared" si="24"/>
        <v>0</v>
      </c>
      <c r="DO32" s="13">
        <f t="shared" si="25"/>
        <v>0</v>
      </c>
      <c r="DP32" s="50">
        <f>DH32*'Useful Constants'!$B$8</f>
        <v>397.14813517760774</v>
      </c>
      <c r="DQ32" s="50">
        <f>DI32*'Useful Constants'!$B$8</f>
        <v>295.48748525696743</v>
      </c>
      <c r="DR32" s="50">
        <f>DJ32*'Useful Constants'!$B$10</f>
        <v>117.42789654103963</v>
      </c>
      <c r="DS32" s="50">
        <f>DK32*'Useful Constants'!$B$10</f>
        <v>73.167774355113536</v>
      </c>
      <c r="DT32" s="50">
        <f>DL32*'Useful Constants'!$B$10</f>
        <v>0</v>
      </c>
      <c r="DU32" s="50">
        <f>DM32*'Useful Constants'!$B$10</f>
        <v>0</v>
      </c>
      <c r="DV32" s="50">
        <f>DN32*'Useful Constants'!$B$10</f>
        <v>0</v>
      </c>
      <c r="DW32" s="50">
        <f>DO32*'Useful Constants'!$B$10</f>
        <v>0</v>
      </c>
      <c r="DX32" s="14">
        <f>DH32*'Useful Constants'!$B$9</f>
        <v>179.36925166237495</v>
      </c>
      <c r="DY32" s="14">
        <f>DI32*'Useful Constants'!$B$9</f>
        <v>133.45491118178529</v>
      </c>
      <c r="DZ32" s="14">
        <f>DJ32*'Useful Constants'!$B$11</f>
        <v>32.715508624808159</v>
      </c>
      <c r="EA32" s="14">
        <f>DK32*'Useful Constants'!$B$11</f>
        <v>20.384602155725045</v>
      </c>
      <c r="EB32" s="14">
        <f>DL32*'Useful Constants'!$B$11</f>
        <v>0</v>
      </c>
      <c r="EC32" s="14">
        <f>DM32*'Useful Constants'!$B$11</f>
        <v>0</v>
      </c>
      <c r="ED32" s="14">
        <f>DN32*'Useful Constants'!$B$11</f>
        <v>0</v>
      </c>
      <c r="EE32" s="14">
        <f>DO32*'Useful Constants'!$B$11</f>
        <v>0</v>
      </c>
      <c r="EF32" s="78">
        <f>(SUM(Data!DI32:DO32)*2+Data!DP32)/('Useful Constants'!$B$1*1000000)*$K32/100</f>
        <v>24.229132516083627</v>
      </c>
      <c r="EG32" s="78">
        <f>(SUM(Data!DJ32:DP32)*2+Data!DQ32)/('Useful Constants'!$B$1*1000000)*$K32/100</f>
        <v>20.476282508729049</v>
      </c>
      <c r="EH32" s="78">
        <f>(SUM(Data!DK32:DQ32)*2+Data!DR32)/('Useful Constants'!$B$1*1000000)*$K32/100</f>
        <v>17.339765372653083</v>
      </c>
      <c r="EI32" s="78">
        <f>(SUM(Data!DL32:DR32)*2+Data!DS32)/('Useful Constants'!$B$1*1000000)*$K32/100</f>
        <v>15.117296266105916</v>
      </c>
      <c r="EJ32" s="78">
        <f>(SUM(Data!DM32:DS32)*2+Data!DT32)/('Useful Constants'!$B$1*1000000)*$K32/100</f>
        <v>14.356272920698586</v>
      </c>
      <c r="EK32" s="78">
        <f>(SUM(Data!DN32:DT32)*2+Data!DU32)/('Useful Constants'!$B$1*1000000)*$K32/100</f>
        <v>15.203532231939075</v>
      </c>
      <c r="EL32" s="78">
        <f>(SUM(Data!DO32:DU32)*2+Data!DV32)/('Useful Constants'!$B$1*1000000)*$K32/100</f>
        <v>17.364595141045282</v>
      </c>
      <c r="EM32" s="78">
        <f>(SUM(Data!DP32:DV32)*2+Data!DW32)/('Useful Constants'!$B$1*1000000)*$K32/100</f>
        <v>21.629499546947844</v>
      </c>
      <c r="EN32" s="79">
        <f>EF32*'Useful Constants'!$B$3</f>
        <v>2035.2471313510248</v>
      </c>
      <c r="EO32" s="79">
        <f>EG32*'Useful Constants'!$B$3</f>
        <v>1720.0077307332401</v>
      </c>
      <c r="EP32" s="79">
        <f>EH32*'Useful Constants'!$B$3</f>
        <v>1456.540291302859</v>
      </c>
      <c r="EQ32" s="79">
        <f>EI32*'Useful Constants'!$B$3</f>
        <v>1269.8528863528968</v>
      </c>
      <c r="ER32" s="79">
        <f>EJ32*'Useful Constants'!$B$3</f>
        <v>1205.9269253386813</v>
      </c>
      <c r="ES32" s="79">
        <f>EK32*'Useful Constants'!$B$3</f>
        <v>1277.0967074828823</v>
      </c>
      <c r="ET32" s="79">
        <f>EL32*'Useful Constants'!$B$3</f>
        <v>1458.6259918478036</v>
      </c>
      <c r="EU32" s="79">
        <f>EM32*'Useful Constants'!$B$3</f>
        <v>1816.8779619436189</v>
      </c>
      <c r="EV32" s="78">
        <f>EF32*'Useful Constants'!$B$4</f>
        <v>678.41571045034152</v>
      </c>
      <c r="EW32" s="78">
        <f>EG32*'Useful Constants'!$B$4</f>
        <v>573.33591024441341</v>
      </c>
      <c r="EX32" s="78">
        <f>EH32*'Useful Constants'!$B$4</f>
        <v>485.51343043428631</v>
      </c>
      <c r="EY32" s="78">
        <f>EI32*'Useful Constants'!$B$4</f>
        <v>423.28429545096566</v>
      </c>
      <c r="EZ32" s="78">
        <f>EJ32*'Useful Constants'!$B$4</f>
        <v>401.97564177956042</v>
      </c>
      <c r="FA32" s="78">
        <f>EK32*'Useful Constants'!$B$4</f>
        <v>425.69890249429409</v>
      </c>
      <c r="FB32" s="78">
        <f>EL32*'Useful Constants'!$B$4</f>
        <v>486.20866394926787</v>
      </c>
      <c r="FC32" s="78">
        <f>EM32*'Useful Constants'!$B$4</f>
        <v>605.62598731453966</v>
      </c>
      <c r="FD32" s="40">
        <f t="shared" si="26"/>
        <v>0.30448661621834239</v>
      </c>
      <c r="FE32" s="40">
        <f t="shared" si="27"/>
        <v>0.34183764373420628</v>
      </c>
      <c r="FF32" s="40">
        <f t="shared" si="28"/>
        <v>0.39830569840123953</v>
      </c>
      <c r="FG32" s="40">
        <f t="shared" si="29"/>
        <v>0.38811312662229758</v>
      </c>
      <c r="FH32" s="40">
        <f t="shared" si="30"/>
        <v>0.3848451064739371</v>
      </c>
      <c r="FI32" s="40">
        <f t="shared" si="31"/>
        <v>0.41052647535649428</v>
      </c>
      <c r="FJ32" s="40">
        <f t="shared" si="32"/>
        <v>0.37368788755133781</v>
      </c>
      <c r="FK32" s="40">
        <f t="shared" si="33"/>
        <v>0.32708247709393212</v>
      </c>
      <c r="FL32" s="4">
        <f t="shared" si="34"/>
        <v>0.58873480853610971</v>
      </c>
      <c r="FM32" s="4">
        <f t="shared" si="35"/>
        <v>0.61525996119366466</v>
      </c>
      <c r="FN32" s="4">
        <f t="shared" si="36"/>
        <v>0.65248294915081895</v>
      </c>
      <c r="FO32" s="4">
        <f t="shared" si="37"/>
        <v>0.65051485872429382</v>
      </c>
      <c r="FP32" s="4">
        <f t="shared" si="38"/>
        <v>0.65084892141155792</v>
      </c>
      <c r="FQ32" s="4">
        <f t="shared" si="39"/>
        <v>0.66363379696451685</v>
      </c>
      <c r="FR32" s="4">
        <f t="shared" si="40"/>
        <v>0.64097991065202731</v>
      </c>
      <c r="FS32" s="4">
        <f t="shared" si="41"/>
        <v>0.61035417428289018</v>
      </c>
      <c r="FT32" s="38">
        <f t="shared" si="42"/>
        <v>0.44038991539004368</v>
      </c>
      <c r="FU32" s="38">
        <f t="shared" si="43"/>
        <v>0.47280535453230149</v>
      </c>
      <c r="FV32" s="38">
        <f t="shared" si="44"/>
        <v>0.52093923112266893</v>
      </c>
      <c r="FW32" s="38">
        <f t="shared" si="45"/>
        <v>0.51465193545902455</v>
      </c>
      <c r="FX32" s="38">
        <f t="shared" si="46"/>
        <v>0.51302973939450636</v>
      </c>
      <c r="FY32" s="38">
        <f t="shared" si="47"/>
        <v>0.53251094037697955</v>
      </c>
      <c r="FZ32" s="38">
        <f t="shared" si="48"/>
        <v>0.50249190437653035</v>
      </c>
      <c r="GA32" s="38">
        <f t="shared" si="49"/>
        <v>0.46356664330731223</v>
      </c>
    </row>
    <row r="33" spans="1:183" x14ac:dyDescent="0.25">
      <c r="A33" s="1" t="str">
        <f>Data!A33</f>
        <v>IN_EVANSVILLE-RGNL-AP_724320_TY3A</v>
      </c>
      <c r="B33" s="1" t="str">
        <f>TY3A_REP_CITIES!B33</f>
        <v>Evansville</v>
      </c>
      <c r="C33" s="1" t="str">
        <f>TY3A_REP_CITIES!C33</f>
        <v>Vanderburgh</v>
      </c>
      <c r="D33" s="2" t="str">
        <f>TY3A_REP_CITIES!A33</f>
        <v>IN</v>
      </c>
      <c r="E33" s="42">
        <f>TY3A_REP_CITIES!E33</f>
        <v>181451</v>
      </c>
      <c r="F33" s="2">
        <f>TY3A_REP_CITIES!G33</f>
        <v>4</v>
      </c>
      <c r="G33" s="2" t="str">
        <f>TY3A_REP_CITIES!H33</f>
        <v>Mixed-Humid</v>
      </c>
      <c r="H33" s="2" t="str">
        <f>TY3A_REP_CITIES!I33</f>
        <v>Midwest</v>
      </c>
      <c r="I33" s="2">
        <f>Data!B33</f>
        <v>38.049999999999997</v>
      </c>
      <c r="J33" s="2">
        <f>Data!C33</f>
        <v>-87.53</v>
      </c>
      <c r="K33" s="2">
        <f>VLOOKUP(D33,Table1[],2,FALSE)</f>
        <v>2.2999999999999998</v>
      </c>
      <c r="L33" s="2">
        <v>0.5</v>
      </c>
      <c r="M33" s="10">
        <f>Data!N33</f>
        <v>5400.8096599999999</v>
      </c>
      <c r="N33" s="10">
        <f>Data!Q33</f>
        <v>29308</v>
      </c>
      <c r="O33" s="10">
        <f>Data!O33</f>
        <v>30718929199.070702</v>
      </c>
      <c r="P33" s="10">
        <f>Data!P33</f>
        <v>31998884582.36517</v>
      </c>
      <c r="Q33" s="10">
        <f>Data!S33*15</f>
        <v>24143.605710760752</v>
      </c>
      <c r="R33" s="48">
        <f>SUM(Data!U33:AA33)*2+Data!AB33</f>
        <v>512.12590567937661</v>
      </c>
      <c r="S33" s="48">
        <f>SUM(Data!V33:AB33)*2+Data!AC33</f>
        <v>480.78011730137945</v>
      </c>
      <c r="T33" s="48">
        <f>SUM(Data!W33:AC33)*2+Data!AD33</f>
        <v>421.67182667996025</v>
      </c>
      <c r="U33" s="48">
        <f>SUM(Data!X33:AD33)*2+Data!AE33</f>
        <v>397.2590067315075</v>
      </c>
      <c r="V33" s="48">
        <f>SUM(Data!Y33:AE33)*2+Data!AF33</f>
        <v>372.23926694607064</v>
      </c>
      <c r="W33" s="48">
        <f>SUM(Data!Z33:AF33)*2+Data!AG33</f>
        <v>346.06292181218311</v>
      </c>
      <c r="X33" s="48">
        <f>SUM(Data!AA33:AG33)*2+Data!AH33</f>
        <v>321.1155258289362</v>
      </c>
      <c r="Y33" s="48">
        <f>SUM(Data!AB33:AH33)*2+Data!AI33</f>
        <v>338.32259006924454</v>
      </c>
      <c r="Z33" s="80">
        <f>(SUM(Data!CS33:CY33)*2+Data!CZ33)/('Useful Constants'!$B$1*1000000)*$K33/100</f>
        <v>1.1379647701299391</v>
      </c>
      <c r="AA33" s="80">
        <f>(SUM(Data!CT33:CZ33)*2+Data!DA33)/('Useful Constants'!$B$1*1000000)*$K33/100</f>
        <v>1.1390754392225304</v>
      </c>
      <c r="AB33" s="80">
        <f>(SUM(Data!CU33:DA33)*2+Data!DB33)/('Useful Constants'!$B$1*1000000)*$K33/100</f>
        <v>1.1184276042326473</v>
      </c>
      <c r="AC33" s="80">
        <f>(SUM(Data!CV33:DB33)*2+Data!DC33)/('Useful Constants'!$B$1*1000000)*$K33/100</f>
        <v>1.1115251813797031</v>
      </c>
      <c r="AD33" s="80">
        <f>(SUM(Data!CW33:DC33)*2+Data!DD33)/('Useful Constants'!$B$1*1000000)*$K33/100</f>
        <v>1.1163848207456113</v>
      </c>
      <c r="AE33" s="80">
        <f>(SUM(Data!CX33:DD33)*2+Data!DE33)/('Useful Constants'!$B$1*1000000)*$K33/100</f>
        <v>1.1065141162500112</v>
      </c>
      <c r="AF33" s="80">
        <f>(SUM(Data!CY33:DE33)*2+Data!DF33)/('Useful Constants'!$B$1*1000000)*$K33/100</f>
        <v>1.059097750052322</v>
      </c>
      <c r="AG33" s="80">
        <f>(SUM(Data!CZ33:DF33)*2+Data!DG33)/('Useful Constants'!$B$1*1000000)*$K33/100</f>
        <v>1.0089940064650942</v>
      </c>
      <c r="AH33" s="48">
        <f>Z33*'Useful Constants'!$B$3</f>
        <v>95.589040690914885</v>
      </c>
      <c r="AI33" s="48">
        <f>AA33*'Useful Constants'!$B$3</f>
        <v>95.682336894692554</v>
      </c>
      <c r="AJ33" s="48">
        <f>AB33*'Useful Constants'!$B$3</f>
        <v>93.947918755542375</v>
      </c>
      <c r="AK33" s="48">
        <f>AC33*'Useful Constants'!$B$3</f>
        <v>93.368115235895061</v>
      </c>
      <c r="AL33" s="48">
        <f>AD33*'Useful Constants'!$B$3</f>
        <v>93.776324942631348</v>
      </c>
      <c r="AM33" s="48">
        <f>AE33*'Useful Constants'!$B$3</f>
        <v>92.947185765000938</v>
      </c>
      <c r="AN33" s="48">
        <f>AF33*'Useful Constants'!$B$3</f>
        <v>88.964211004395054</v>
      </c>
      <c r="AO33" s="48">
        <f>AG33*'Useful Constants'!$B$3</f>
        <v>84.755496543067906</v>
      </c>
      <c r="AP33" s="10">
        <f>Z33*'Useful Constants'!$B$4</f>
        <v>31.863013563638297</v>
      </c>
      <c r="AQ33" s="10">
        <f>AA33*'Useful Constants'!$B$4</f>
        <v>31.894112298230851</v>
      </c>
      <c r="AR33" s="10">
        <f>AB33*'Useful Constants'!$B$4</f>
        <v>31.315972918514124</v>
      </c>
      <c r="AS33" s="10">
        <f>AC33*'Useful Constants'!$B$4</f>
        <v>31.122705078631689</v>
      </c>
      <c r="AT33" s="10">
        <f>AD33*'Useful Constants'!$B$4</f>
        <v>31.258774980877117</v>
      </c>
      <c r="AU33" s="10">
        <f>AE33*'Useful Constants'!$B$4</f>
        <v>30.982395255000313</v>
      </c>
      <c r="AV33" s="10">
        <f>AF33*'Useful Constants'!$B$4</f>
        <v>29.654737001465016</v>
      </c>
      <c r="AW33" s="10">
        <f>AG33*'Useful Constants'!$B$4</f>
        <v>28.251832181022635</v>
      </c>
      <c r="AX33" s="48">
        <f>P33/1000000/'Useful Constants'!$B$1*K33/100*'Useful Constants'!$B$3*15</f>
        <v>18546.553503938849</v>
      </c>
      <c r="AY33" s="48">
        <f>P33/1000000/'Useful Constants'!$B$1*L33/100*'Useful Constants'!$B$3*15</f>
        <v>4031.8594573780115</v>
      </c>
      <c r="AZ33" s="48">
        <f>P33/1000000/'Useful Constants'!$B$1*K33/100*'Useful Constants'!$B$4*15</f>
        <v>6182.1845013129496</v>
      </c>
      <c r="BA33" s="48">
        <f>P33/1000000/'Useful Constants'!$B$1*L33/100*'Useful Constants'!$B$4*15</f>
        <v>1343.9531524593372</v>
      </c>
      <c r="BB33" s="7">
        <f>Data!AN33</f>
        <v>5400.8096599999999</v>
      </c>
      <c r="BC33" s="7">
        <f>Data!AQ33</f>
        <v>5400.8096599999999</v>
      </c>
      <c r="BD33" s="7">
        <f>Data!AT33</f>
        <v>7297.8247600000004</v>
      </c>
      <c r="BE33" s="6">
        <f>Data!AO33</f>
        <v>26616268558.084599</v>
      </c>
      <c r="BF33" s="6">
        <f>Data!AP33</f>
        <v>9090688961.3523407</v>
      </c>
      <c r="BG33" s="6">
        <f>Data!AR33</f>
        <v>2928081100.8372002</v>
      </c>
      <c r="BH33" s="6">
        <f>Data!AS33</f>
        <v>2928081100.8372002</v>
      </c>
      <c r="BI33" s="8">
        <f t="shared" si="0"/>
        <v>0.90089201032885224</v>
      </c>
      <c r="BJ33" s="8">
        <f t="shared" si="1"/>
        <v>0.75637431403660849</v>
      </c>
      <c r="BK33" s="13">
        <f>BB33*'Useful Constants'!$B$5/'Useful Constants'!$B$6*'Useful Constants'!$B$7</f>
        <v>1.382067191994</v>
      </c>
      <c r="BL33" s="52">
        <f>1-VLOOKUP($G33,'Useful Constants'!$A$17:$X$23,10,FALSE)</f>
        <v>0</v>
      </c>
      <c r="BM33" s="52">
        <f>1-VLOOKUP($G33,'Useful Constants'!$A$17:$X$23,12,FALSE)</f>
        <v>0</v>
      </c>
      <c r="BN33" s="52">
        <f>1-VLOOKUP($G33,'Useful Constants'!$A$17:$X$23,14,FALSE)</f>
        <v>0</v>
      </c>
      <c r="BO33" s="52">
        <f>1-VLOOKUP($G33,'Useful Constants'!$A$17:$X$23,16,FALSE)</f>
        <v>0</v>
      </c>
      <c r="BP33" s="52">
        <f>1-VLOOKUP($G33,'Useful Constants'!$A$17:$X$23,18,FALSE)</f>
        <v>0</v>
      </c>
      <c r="BQ33" s="52">
        <f>1-VLOOKUP($G33,'Useful Constants'!$A$17:$X$23,20, FALSE)</f>
        <v>0</v>
      </c>
      <c r="BR33" s="52">
        <f>1-VLOOKUP($G33,'Useful Constants'!$A$17:$X$23,22, FALSE)</f>
        <v>0</v>
      </c>
      <c r="BS33" s="52">
        <f>1-VLOOKUP($G33,'Useful Constants'!$A$17:$X$23,24, FALSE)</f>
        <v>0</v>
      </c>
      <c r="BT33" s="13">
        <f t="shared" si="2"/>
        <v>0</v>
      </c>
      <c r="BU33" s="13">
        <f t="shared" si="3"/>
        <v>0</v>
      </c>
      <c r="BV33" s="13">
        <f t="shared" si="4"/>
        <v>0</v>
      </c>
      <c r="BW33" s="13">
        <f t="shared" si="5"/>
        <v>0</v>
      </c>
      <c r="BX33" s="13">
        <f t="shared" si="6"/>
        <v>0</v>
      </c>
      <c r="BY33" s="13">
        <f t="shared" si="7"/>
        <v>0</v>
      </c>
      <c r="BZ33" s="13">
        <f t="shared" si="8"/>
        <v>0</v>
      </c>
      <c r="CA33" s="13">
        <f t="shared" si="9"/>
        <v>0</v>
      </c>
      <c r="CB33" s="59">
        <f>+SUM(Data!BM33:BS33)*2+Data!BT33</f>
        <v>2860.5650841347297</v>
      </c>
      <c r="CC33" s="59">
        <f>+SUM(Data!BN33:BT33)*2+Data!BU33</f>
        <v>2684.2219395663897</v>
      </c>
      <c r="CD33" s="59">
        <f>+SUM(Data!BO33:BU33)*2+Data!BV33</f>
        <v>2354.4212643846126</v>
      </c>
      <c r="CE33" s="59">
        <f>+SUM(Data!BP33:BV33)*2+Data!BW33</f>
        <v>2219.376200283873</v>
      </c>
      <c r="CF33" s="59">
        <f>+SUM(Data!BQ33:BW33)*2+Data!BX33</f>
        <v>2079.7516983952019</v>
      </c>
      <c r="CG33" s="59">
        <f>+SUM(Data!BR33:BX33)*2+Data!BY33</f>
        <v>1934.0865484383046</v>
      </c>
      <c r="CH33" s="59">
        <f>+SUM(Data!BS33:BY33)*2+Data!BZ33</f>
        <v>1795.9118507437524</v>
      </c>
      <c r="CI33" s="59">
        <f>+SUM(Data!BT33:BZ33)*2+Data!CA33</f>
        <v>1893.2232361482647</v>
      </c>
      <c r="CJ33" s="13">
        <f>+SUM(Data!AW33:BC33)*2+Data!BD33</f>
        <v>16899.013634936782</v>
      </c>
      <c r="CK33" s="13">
        <f>+SUM(Data!AX33:BD33)*2+Data!BE33</f>
        <v>15863.791758044777</v>
      </c>
      <c r="CL33" s="13">
        <f>+SUM(Data!AY33:BE33)*2+Data!BF33</f>
        <v>13927.704099969897</v>
      </c>
      <c r="CM33" s="13">
        <f>+SUM(Data!AZ33:BF33)*2+Data!BG33</f>
        <v>13113.479002521552</v>
      </c>
      <c r="CN33" s="13">
        <f>+SUM(Data!BA33:BG33)*2+Data!BH33</f>
        <v>12285.52324043999</v>
      </c>
      <c r="CO33" s="13">
        <f>+SUM(Data!BB33:BH33)*2+Data!BI33</f>
        <v>11424.011001571409</v>
      </c>
      <c r="CP33" s="13">
        <f>+SUM(Data!BC33:BI33)*2+Data!BJ33</f>
        <v>10603.42800399336</v>
      </c>
      <c r="CQ33" s="13">
        <f>+SUM(Data!BD33:BJ33)*2+Data!BK33</f>
        <v>11172.924043068413</v>
      </c>
      <c r="CR33" s="59">
        <f>+SUM(Data!CC33:CI33)*2+Data!CJ33</f>
        <v>5914.7294483522301</v>
      </c>
      <c r="CS33" s="59">
        <f>+SUM(Data!CD33:CJ33)*2+Data!CK33</f>
        <v>5615.6000888756571</v>
      </c>
      <c r="CT33" s="59">
        <f>+SUM(Data!CE33:CK33)*2+Data!CL33</f>
        <v>4941.0472830012504</v>
      </c>
      <c r="CU33" s="59">
        <f>+SUM(Data!CF33:CL33)*2+Data!CM33</f>
        <v>4549.5039232461259</v>
      </c>
      <c r="CV33" s="59">
        <f>+SUM(Data!CG33:CM33)*2+Data!CN33</f>
        <v>4237.4954644824647</v>
      </c>
      <c r="CW33" s="59">
        <f>+SUM(Data!CH33:CN33)*2+Data!CO33</f>
        <v>3941.510207191367</v>
      </c>
      <c r="CX33" s="59">
        <f>+SUM(Data!CI33:CO33)*2+Data!CP33</f>
        <v>3623.0517866701007</v>
      </c>
      <c r="CY33" s="59">
        <f>+SUM(Data!CJ33:CP33)*2+Data!CQ33</f>
        <v>3732.2162787423163</v>
      </c>
      <c r="CZ33" s="60">
        <f t="shared" si="10"/>
        <v>25674.308167423744</v>
      </c>
      <c r="DA33" s="60">
        <f t="shared" si="11"/>
        <v>24163.613786486825</v>
      </c>
      <c r="DB33" s="60">
        <f t="shared" si="12"/>
        <v>21223.172647355761</v>
      </c>
      <c r="DC33" s="60">
        <f t="shared" si="13"/>
        <v>19882.359126051553</v>
      </c>
      <c r="DD33" s="60">
        <f t="shared" si="14"/>
        <v>18602.770403317656</v>
      </c>
      <c r="DE33" s="60">
        <f t="shared" si="15"/>
        <v>17299.60775720108</v>
      </c>
      <c r="DF33" s="60">
        <f t="shared" si="16"/>
        <v>16022.391641407214</v>
      </c>
      <c r="DG33" s="60">
        <f t="shared" si="17"/>
        <v>16798.363557958994</v>
      </c>
      <c r="DH33" s="13">
        <f t="shared" si="18"/>
        <v>0</v>
      </c>
      <c r="DI33" s="13">
        <f t="shared" si="19"/>
        <v>0</v>
      </c>
      <c r="DJ33" s="13">
        <f t="shared" si="20"/>
        <v>0</v>
      </c>
      <c r="DK33" s="13">
        <f t="shared" si="21"/>
        <v>0</v>
      </c>
      <c r="DL33" s="13">
        <f t="shared" si="22"/>
        <v>0</v>
      </c>
      <c r="DM33" s="13">
        <f t="shared" si="23"/>
        <v>0</v>
      </c>
      <c r="DN33" s="13">
        <f t="shared" si="24"/>
        <v>0</v>
      </c>
      <c r="DO33" s="13">
        <f t="shared" si="25"/>
        <v>0</v>
      </c>
      <c r="DP33" s="50">
        <f>DH33*'Useful Constants'!$B$8</f>
        <v>0</v>
      </c>
      <c r="DQ33" s="50">
        <f>DI33*'Useful Constants'!$B$8</f>
        <v>0</v>
      </c>
      <c r="DR33" s="50">
        <f>DJ33*'Useful Constants'!$B$10</f>
        <v>0</v>
      </c>
      <c r="DS33" s="50">
        <f>DK33*'Useful Constants'!$B$10</f>
        <v>0</v>
      </c>
      <c r="DT33" s="50">
        <f>DL33*'Useful Constants'!$B$10</f>
        <v>0</v>
      </c>
      <c r="DU33" s="50">
        <f>DM33*'Useful Constants'!$B$10</f>
        <v>0</v>
      </c>
      <c r="DV33" s="50">
        <f>DN33*'Useful Constants'!$B$10</f>
        <v>0</v>
      </c>
      <c r="DW33" s="50">
        <f>DO33*'Useful Constants'!$B$10</f>
        <v>0</v>
      </c>
      <c r="DX33" s="14">
        <f>DH33*'Useful Constants'!$B$9</f>
        <v>0</v>
      </c>
      <c r="DY33" s="14">
        <f>DI33*'Useful Constants'!$B$9</f>
        <v>0</v>
      </c>
      <c r="DZ33" s="14">
        <f>DJ33*'Useful Constants'!$B$11</f>
        <v>0</v>
      </c>
      <c r="EA33" s="14">
        <f>DK33*'Useful Constants'!$B$11</f>
        <v>0</v>
      </c>
      <c r="EB33" s="14">
        <f>DL33*'Useful Constants'!$B$11</f>
        <v>0</v>
      </c>
      <c r="EC33" s="14">
        <f>DM33*'Useful Constants'!$B$11</f>
        <v>0</v>
      </c>
      <c r="ED33" s="14">
        <f>DN33*'Useful Constants'!$B$11</f>
        <v>0</v>
      </c>
      <c r="EE33" s="14">
        <f>DO33*'Useful Constants'!$B$11</f>
        <v>0</v>
      </c>
      <c r="EF33" s="78">
        <f>(SUM(Data!DI33:DO33)*2+Data!DP33)/('Useful Constants'!$B$1*1000000)*$K33/100</f>
        <v>55.83639208092363</v>
      </c>
      <c r="EG33" s="78">
        <f>(SUM(Data!DJ33:DP33)*2+Data!DQ33)/('Useful Constants'!$B$1*1000000)*$K33/100</f>
        <v>56.154609924884369</v>
      </c>
      <c r="EH33" s="78">
        <f>(SUM(Data!DK33:DQ33)*2+Data!DR33)/('Useful Constants'!$B$1*1000000)*$K33/100</f>
        <v>55.288209632669052</v>
      </c>
      <c r="EI33" s="78">
        <f>(SUM(Data!DL33:DR33)*2+Data!DS33)/('Useful Constants'!$B$1*1000000)*$K33/100</f>
        <v>55.094337983936839</v>
      </c>
      <c r="EJ33" s="78">
        <f>(SUM(Data!DM33:DS33)*2+Data!DT33)/('Useful Constants'!$B$1*1000000)*$K33/100</f>
        <v>55.408947483977926</v>
      </c>
      <c r="EK33" s="78">
        <f>(SUM(Data!DN33:DT33)*2+Data!DU33)/('Useful Constants'!$B$1*1000000)*$K33/100</f>
        <v>55.008646886307879</v>
      </c>
      <c r="EL33" s="78">
        <f>(SUM(Data!DO33:DU33)*2+Data!DV33)/('Useful Constants'!$B$1*1000000)*$K33/100</f>
        <v>52.736162360818469</v>
      </c>
      <c r="EM33" s="78">
        <f>(SUM(Data!DP33:DV33)*2+Data!DW33)/('Useful Constants'!$B$1*1000000)*$K33/100</f>
        <v>50.308729964183314</v>
      </c>
      <c r="EN33" s="79">
        <f>EF33*'Useful Constants'!$B$3</f>
        <v>4690.256934797585</v>
      </c>
      <c r="EO33" s="79">
        <f>EG33*'Useful Constants'!$B$3</f>
        <v>4716.9872336902872</v>
      </c>
      <c r="EP33" s="79">
        <f>EH33*'Useful Constants'!$B$3</f>
        <v>4644.2096091441999</v>
      </c>
      <c r="EQ33" s="79">
        <f>EI33*'Useful Constants'!$B$3</f>
        <v>4627.9243906506945</v>
      </c>
      <c r="ER33" s="79">
        <f>EJ33*'Useful Constants'!$B$3</f>
        <v>4654.3515886541454</v>
      </c>
      <c r="ES33" s="79">
        <f>EK33*'Useful Constants'!$B$3</f>
        <v>4620.7263384498619</v>
      </c>
      <c r="ET33" s="79">
        <f>EL33*'Useful Constants'!$B$3</f>
        <v>4429.8376383087516</v>
      </c>
      <c r="EU33" s="79">
        <f>EM33*'Useful Constants'!$B$3</f>
        <v>4225.933316991398</v>
      </c>
      <c r="EV33" s="78">
        <f>EF33*'Useful Constants'!$B$4</f>
        <v>1563.4189782658616</v>
      </c>
      <c r="EW33" s="78">
        <f>EG33*'Useful Constants'!$B$4</f>
        <v>1572.3290778967623</v>
      </c>
      <c r="EX33" s="78">
        <f>EH33*'Useful Constants'!$B$4</f>
        <v>1548.0698697147334</v>
      </c>
      <c r="EY33" s="78">
        <f>EI33*'Useful Constants'!$B$4</f>
        <v>1542.6414635502315</v>
      </c>
      <c r="EZ33" s="78">
        <f>EJ33*'Useful Constants'!$B$4</f>
        <v>1551.4505295513818</v>
      </c>
      <c r="FA33" s="78">
        <f>EK33*'Useful Constants'!$B$4</f>
        <v>1540.2421128166206</v>
      </c>
      <c r="FB33" s="78">
        <f>EL33*'Useful Constants'!$B$4</f>
        <v>1476.6125461029171</v>
      </c>
      <c r="FC33" s="78">
        <f>EM33*'Useful Constants'!$B$4</f>
        <v>1408.6444389971327</v>
      </c>
      <c r="FD33" s="40">
        <f t="shared" si="26"/>
        <v>-4.1311958080547995E-2</v>
      </c>
      <c r="FE33" s="40">
        <f t="shared" si="27"/>
        <v>1.8712021684220335E-2</v>
      </c>
      <c r="FF33" s="40">
        <f t="shared" si="28"/>
        <v>0.1360499544526271</v>
      </c>
      <c r="FG33" s="40">
        <f t="shared" si="29"/>
        <v>0.18982646475860371</v>
      </c>
      <c r="FH33" s="40">
        <f t="shared" si="30"/>
        <v>0.24119399432351396</v>
      </c>
      <c r="FI33" s="40">
        <f t="shared" si="31"/>
        <v>0.29359567837551637</v>
      </c>
      <c r="FJ33" s="40">
        <f t="shared" si="32"/>
        <v>0.34508178178445947</v>
      </c>
      <c r="FK33" s="40">
        <f t="shared" si="33"/>
        <v>0.31384638695353551</v>
      </c>
      <c r="FL33" s="4">
        <f t="shared" si="34"/>
        <v>0.35844631311455333</v>
      </c>
      <c r="FM33" s="4">
        <f t="shared" si="35"/>
        <v>0.38939686153823838</v>
      </c>
      <c r="FN33" s="4">
        <f t="shared" si="36"/>
        <v>0.45239891063415738</v>
      </c>
      <c r="FO33" s="4">
        <f t="shared" si="37"/>
        <v>0.48085342169504602</v>
      </c>
      <c r="FP33" s="4">
        <f t="shared" si="38"/>
        <v>0.50713941882229696</v>
      </c>
      <c r="FQ33" s="4">
        <f t="shared" si="39"/>
        <v>0.53520237656250313</v>
      </c>
      <c r="FR33" s="4">
        <f t="shared" si="40"/>
        <v>0.56606580292106823</v>
      </c>
      <c r="FS33" s="4">
        <f t="shared" si="41"/>
        <v>0.55405125197722438</v>
      </c>
      <c r="FT33" s="38">
        <f t="shared" si="42"/>
        <v>0.15446844514171784</v>
      </c>
      <c r="FU33" s="38">
        <f t="shared" si="43"/>
        <v>0.20031045557386443</v>
      </c>
      <c r="FV33" s="38">
        <f t="shared" si="44"/>
        <v>0.29111748310812879</v>
      </c>
      <c r="FW33" s="38">
        <f t="shared" si="45"/>
        <v>0.33251551177385297</v>
      </c>
      <c r="FX33" s="38">
        <f t="shared" si="46"/>
        <v>0.37161883086722558</v>
      </c>
      <c r="FY33" s="38">
        <f t="shared" si="47"/>
        <v>0.41211426651199318</v>
      </c>
      <c r="FZ33" s="38">
        <f t="shared" si="48"/>
        <v>0.45350644929829642</v>
      </c>
      <c r="GA33" s="38">
        <f t="shared" si="49"/>
        <v>0.43167600851844806</v>
      </c>
    </row>
    <row r="34" spans="1:183" x14ac:dyDescent="0.25">
      <c r="A34" s="1" t="str">
        <f>Data!A34</f>
        <v>IN_INDIANAPOLIS-IAP_724380_TY3A</v>
      </c>
      <c r="B34" s="1" t="str">
        <f>TY3A_REP_CITIES!B34</f>
        <v>Indianapolis</v>
      </c>
      <c r="C34" s="1" t="str">
        <f>TY3A_REP_CITIES!C34</f>
        <v>Marion</v>
      </c>
      <c r="D34" s="2" t="str">
        <f>TY3A_REP_CITIES!A34</f>
        <v>IN</v>
      </c>
      <c r="E34" s="42">
        <f>TY3A_REP_CITIES!E34</f>
        <v>964582</v>
      </c>
      <c r="F34" s="2">
        <f>TY3A_REP_CITIES!G34</f>
        <v>5</v>
      </c>
      <c r="G34" s="2" t="str">
        <f>TY3A_REP_CITIES!H34</f>
        <v>Cold</v>
      </c>
      <c r="H34" s="2" t="str">
        <f>TY3A_REP_CITIES!I34</f>
        <v>Midwest</v>
      </c>
      <c r="I34" s="2">
        <f>Data!B34</f>
        <v>39.72</v>
      </c>
      <c r="J34" s="2">
        <f>Data!C34</f>
        <v>-86.27</v>
      </c>
      <c r="K34" s="2">
        <f>VLOOKUP(D34,Table1[],2,FALSE)</f>
        <v>2.2999999999999998</v>
      </c>
      <c r="L34" s="2">
        <v>0.5</v>
      </c>
      <c r="M34" s="10">
        <f>Data!N34</f>
        <v>5060.35887</v>
      </c>
      <c r="N34" s="10">
        <f>Data!Q34</f>
        <v>29308</v>
      </c>
      <c r="O34" s="10">
        <f>Data!O34</f>
        <v>47735094240.392197</v>
      </c>
      <c r="P34" s="10">
        <f>Data!P34</f>
        <v>49724056500.408417</v>
      </c>
      <c r="Q34" s="10">
        <f>Data!S34*15</f>
        <v>37517.495692555007</v>
      </c>
      <c r="R34" s="48">
        <f>SUM(Data!U34:AA34)*2+Data!AB34</f>
        <v>719.53724247198181</v>
      </c>
      <c r="S34" s="48">
        <f>SUM(Data!V34:AB34)*2+Data!AC34</f>
        <v>673.94988946605213</v>
      </c>
      <c r="T34" s="48">
        <f>SUM(Data!W34:AC34)*2+Data!AD34</f>
        <v>589.10171645497201</v>
      </c>
      <c r="U34" s="48">
        <f>SUM(Data!X34:AD34)*2+Data!AE34</f>
        <v>557.81325636258089</v>
      </c>
      <c r="V34" s="48">
        <f>SUM(Data!Y34:AE34)*2+Data!AF34</f>
        <v>522.9883364999971</v>
      </c>
      <c r="W34" s="48">
        <f>SUM(Data!Z34:AF34)*2+Data!AG34</f>
        <v>485.84962715434369</v>
      </c>
      <c r="X34" s="48">
        <f>SUM(Data!AA34:AG34)*2+Data!AH34</f>
        <v>451.12097171142307</v>
      </c>
      <c r="Y34" s="48">
        <f>SUM(Data!AB34:AH34)*2+Data!AI34</f>
        <v>477.5423603263614</v>
      </c>
      <c r="Z34" s="80">
        <f>(SUM(Data!CS34:CY34)*2+Data!CZ34)/('Useful Constants'!$B$1*1000000)*$K34/100</f>
        <v>1.6522933887254225</v>
      </c>
      <c r="AA34" s="80">
        <f>(SUM(Data!CT34:CZ34)*2+Data!DA34)/('Useful Constants'!$B$1*1000000)*$K34/100</f>
        <v>1.6399781892781318</v>
      </c>
      <c r="AB34" s="80">
        <f>(SUM(Data!CU34:DA34)*2+Data!DB34)/('Useful Constants'!$B$1*1000000)*$K34/100</f>
        <v>1.5991307097332563</v>
      </c>
      <c r="AC34" s="80">
        <f>(SUM(Data!CV34:DB34)*2+Data!DC34)/('Useful Constants'!$B$1*1000000)*$K34/100</f>
        <v>1.5811361488292837</v>
      </c>
      <c r="AD34" s="80">
        <f>(SUM(Data!CW34:DC34)*2+Data!DD34)/('Useful Constants'!$B$1*1000000)*$K34/100</f>
        <v>1.5803807459604804</v>
      </c>
      <c r="AE34" s="80">
        <f>(SUM(Data!CX34:DD34)*2+Data!DE34)/('Useful Constants'!$B$1*1000000)*$K34/100</f>
        <v>1.5587898052681717</v>
      </c>
      <c r="AF34" s="80">
        <f>(SUM(Data!CY34:DE34)*2+Data!DF34)/('Useful Constants'!$B$1*1000000)*$K34/100</f>
        <v>1.4843145958922659</v>
      </c>
      <c r="AG34" s="80">
        <f>(SUM(Data!CZ34:DF34)*2+Data!DG34)/('Useful Constants'!$B$1*1000000)*$K34/100</f>
        <v>1.4101760344929386</v>
      </c>
      <c r="AH34" s="48">
        <f>Z34*'Useful Constants'!$B$3</f>
        <v>138.79264465293548</v>
      </c>
      <c r="AI34" s="48">
        <f>AA34*'Useful Constants'!$B$3</f>
        <v>137.75816789936306</v>
      </c>
      <c r="AJ34" s="48">
        <f>AB34*'Useful Constants'!$B$3</f>
        <v>134.32697961759354</v>
      </c>
      <c r="AK34" s="48">
        <f>AC34*'Useful Constants'!$B$3</f>
        <v>132.81543650165983</v>
      </c>
      <c r="AL34" s="48">
        <f>AD34*'Useful Constants'!$B$3</f>
        <v>132.75198266068034</v>
      </c>
      <c r="AM34" s="48">
        <f>AE34*'Useful Constants'!$B$3</f>
        <v>130.93834364252643</v>
      </c>
      <c r="AN34" s="48">
        <f>AF34*'Useful Constants'!$B$3</f>
        <v>124.68242605495034</v>
      </c>
      <c r="AO34" s="48">
        <f>AG34*'Useful Constants'!$B$3</f>
        <v>118.45478689740685</v>
      </c>
      <c r="AP34" s="10">
        <f>Z34*'Useful Constants'!$B$4</f>
        <v>46.264214884311833</v>
      </c>
      <c r="AQ34" s="10">
        <f>AA34*'Useful Constants'!$B$4</f>
        <v>45.919389299787689</v>
      </c>
      <c r="AR34" s="10">
        <f>AB34*'Useful Constants'!$B$4</f>
        <v>44.775659872531179</v>
      </c>
      <c r="AS34" s="10">
        <f>AC34*'Useful Constants'!$B$4</f>
        <v>44.271812167219942</v>
      </c>
      <c r="AT34" s="10">
        <f>AD34*'Useful Constants'!$B$4</f>
        <v>44.250660886893449</v>
      </c>
      <c r="AU34" s="10">
        <f>AE34*'Useful Constants'!$B$4</f>
        <v>43.646114547508809</v>
      </c>
      <c r="AV34" s="10">
        <f>AF34*'Useful Constants'!$B$4</f>
        <v>41.560808684983442</v>
      </c>
      <c r="AW34" s="10">
        <f>AG34*'Useful Constants'!$B$4</f>
        <v>39.484928965802283</v>
      </c>
      <c r="AX34" s="48">
        <f>P34/1000000/'Useful Constants'!$B$1*K34/100*'Useful Constants'!$B$3*15</f>
        <v>28820.063147636713</v>
      </c>
      <c r="AY34" s="48">
        <f>P34/1000000/'Useful Constants'!$B$1*L34/100*'Useful Constants'!$B$3*15</f>
        <v>6265.2311190514602</v>
      </c>
      <c r="AZ34" s="48">
        <f>P34/1000000/'Useful Constants'!$B$1*K34/100*'Useful Constants'!$B$4*15</f>
        <v>9606.6877158789048</v>
      </c>
      <c r="BA34" s="48">
        <f>P34/1000000/'Useful Constants'!$B$1*L34/100*'Useful Constants'!$B$4*15</f>
        <v>2088.4103730171537</v>
      </c>
      <c r="BB34" s="7">
        <f>Data!AN34</f>
        <v>5060.35887</v>
      </c>
      <c r="BC34" s="7">
        <f>Data!AQ34</f>
        <v>5060.35887</v>
      </c>
      <c r="BD34" s="7">
        <f>Data!AT34</f>
        <v>8231.6822300000003</v>
      </c>
      <c r="BE34" s="6">
        <f>Data!AO34</f>
        <v>36342475340.726799</v>
      </c>
      <c r="BF34" s="6">
        <f>Data!AP34</f>
        <v>13267566898.657</v>
      </c>
      <c r="BG34" s="6">
        <f>Data!AR34</f>
        <v>9569602550.8855095</v>
      </c>
      <c r="BH34" s="6">
        <f>Data!AS34</f>
        <v>9569602550.8855095</v>
      </c>
      <c r="BI34" s="8">
        <f t="shared" ref="BI34:BI65" si="50">BE34/(BE34+BG34)</f>
        <v>0.79156677305093659</v>
      </c>
      <c r="BJ34" s="8">
        <f t="shared" ref="BJ34:BJ65" si="51">BF34/(BF34+BH34)</f>
        <v>0.58096371916716605</v>
      </c>
      <c r="BK34" s="13">
        <f>BB34*'Useful Constants'!$B$5/'Useful Constants'!$B$6*'Useful Constants'!$B$7</f>
        <v>1.2949458348330001</v>
      </c>
      <c r="BL34" s="52">
        <f>1-VLOOKUP($G34,'Useful Constants'!$A$17:$X$23,10,FALSE)</f>
        <v>6.6471999999999865E-2</v>
      </c>
      <c r="BM34" s="52">
        <f>1-VLOOKUP($G34,'Useful Constants'!$A$17:$X$23,12,FALSE)</f>
        <v>4.945672000000001E-2</v>
      </c>
      <c r="BN34" s="52">
        <f>1-VLOOKUP($G34,'Useful Constants'!$A$17:$X$23,14,FALSE)</f>
        <v>3.4455679999999989E-2</v>
      </c>
      <c r="BO34" s="52">
        <f>1-VLOOKUP($G34,'Useful Constants'!$A$17:$X$23,16,FALSE)</f>
        <v>2.1468880000000024E-2</v>
      </c>
      <c r="BP34" s="52">
        <f>1-VLOOKUP($G34,'Useful Constants'!$A$17:$X$23,18,FALSE)</f>
        <v>0</v>
      </c>
      <c r="BQ34" s="52">
        <f>1-VLOOKUP($G34,'Useful Constants'!$A$17:$X$23,20, FALSE)</f>
        <v>0</v>
      </c>
      <c r="BR34" s="52">
        <f>1-VLOOKUP($G34,'Useful Constants'!$A$17:$X$23,22, FALSE)</f>
        <v>0</v>
      </c>
      <c r="BS34" s="52">
        <f>1-VLOOKUP($G34,'Useful Constants'!$A$17:$X$23,24, FALSE)</f>
        <v>0</v>
      </c>
      <c r="BT34" s="13">
        <f t="shared" ref="BT34:BT65" si="52">$BK34*BL34</f>
        <v>8.6077639533019001E-2</v>
      </c>
      <c r="BU34" s="13">
        <f t="shared" ref="BU34:BU65" si="53">$BK34*BM34</f>
        <v>6.4043773568501938E-2</v>
      </c>
      <c r="BV34" s="13">
        <f t="shared" ref="BV34:BV65" si="54">$BK34*BN34</f>
        <v>4.4618239302338686E-2</v>
      </c>
      <c r="BW34" s="13">
        <f t="shared" ref="BW34:BW65" si="55">$BK34*BO34</f>
        <v>2.7801036734529529E-2</v>
      </c>
      <c r="BX34" s="13">
        <f t="shared" ref="BX34:BX65" si="56">$BK34*BP34</f>
        <v>0</v>
      </c>
      <c r="BY34" s="13">
        <f t="shared" ref="BY34:BY65" si="57">$BK34*BQ34</f>
        <v>0</v>
      </c>
      <c r="BZ34" s="13">
        <f t="shared" ref="BZ34:BZ65" si="58">$BK34*BR34</f>
        <v>0</v>
      </c>
      <c r="CA34" s="13">
        <f t="shared" ref="CA34:CA65" si="59">$BK34*BS34</f>
        <v>0</v>
      </c>
      <c r="CB34" s="59">
        <f>+SUM(Data!BM34:BS34)*2+Data!BT34</f>
        <v>4148.6390400260098</v>
      </c>
      <c r="CC34" s="59">
        <f>+SUM(Data!BN34:BT34)*2+Data!BU34</f>
        <v>3884.5532301148482</v>
      </c>
      <c r="CD34" s="59">
        <f>+SUM(Data!BO34:BU34)*2+Data!BV34</f>
        <v>3395.9200380022971</v>
      </c>
      <c r="CE34" s="59">
        <f>+SUM(Data!BP34:BV34)*2+Data!BW34</f>
        <v>3218.578136193878</v>
      </c>
      <c r="CF34" s="59">
        <f>+SUM(Data!BQ34:BW34)*2+Data!BX34</f>
        <v>3019.0065584357071</v>
      </c>
      <c r="CG34" s="59">
        <f>+SUM(Data!BR34:BX34)*2+Data!BY34</f>
        <v>2804.0324946431801</v>
      </c>
      <c r="CH34" s="59">
        <f>+SUM(Data!BS34:BY34)*2+Data!BZ34</f>
        <v>2604.5188824629813</v>
      </c>
      <c r="CI34" s="59">
        <f>+SUM(Data!BT34:BZ34)*2+Data!CA34</f>
        <v>2759.4157472987122</v>
      </c>
      <c r="CJ34" s="13">
        <f>+SUM(Data!AW34:BC34)*2+Data!BD34</f>
        <v>23728.071489536695</v>
      </c>
      <c r="CK34" s="13">
        <f>+SUM(Data!AX34:BD34)*2+Data!BE34</f>
        <v>22231.250921326493</v>
      </c>
      <c r="CL34" s="13">
        <f>+SUM(Data!AY34:BE34)*2+Data!BF34</f>
        <v>19444.402730839538</v>
      </c>
      <c r="CM34" s="13">
        <f>+SUM(Data!AZ34:BF34)*2+Data!BG34</f>
        <v>18414.498713292778</v>
      </c>
      <c r="CN34" s="13">
        <f>+SUM(Data!BA34:BG34)*2+Data!BH34</f>
        <v>17265.498919208057</v>
      </c>
      <c r="CO34" s="13">
        <f>+SUM(Data!BB34:BH34)*2+Data!BI34</f>
        <v>16041.554449342811</v>
      </c>
      <c r="CP34" s="13">
        <f>+SUM(Data!BC34:BI34)*2+Data!BJ34</f>
        <v>14897.100232476732</v>
      </c>
      <c r="CQ34" s="13">
        <f>+SUM(Data!BD34:BJ34)*2+Data!BK34</f>
        <v>15778.292368564267</v>
      </c>
      <c r="CR34" s="59">
        <f>+SUM(Data!CC34:CI34)*2+Data!CJ34</f>
        <v>18265.660742550059</v>
      </c>
      <c r="CS34" s="59">
        <f>+SUM(Data!CD34:CJ34)*2+Data!CK34</f>
        <v>17210.640928822886</v>
      </c>
      <c r="CT34" s="59">
        <f>+SUM(Data!CE34:CK34)*2+Data!CL34</f>
        <v>15078.969114335434</v>
      </c>
      <c r="CU34" s="59">
        <f>+SUM(Data!CF34:CL34)*2+Data!CM34</f>
        <v>14085.344545613534</v>
      </c>
      <c r="CV34" s="59">
        <f>+SUM(Data!CG34:CM34)*2+Data!CN34</f>
        <v>13161.718639826066</v>
      </c>
      <c r="CW34" s="59">
        <f>+SUM(Data!CH34:CN34)*2+Data!CO34</f>
        <v>12252.128664579808</v>
      </c>
      <c r="CX34" s="59">
        <f>+SUM(Data!CI34:CO34)*2+Data!CP34</f>
        <v>11323.969429565519</v>
      </c>
      <c r="CY34" s="59">
        <f>+SUM(Data!CJ34:CP34)*2+Data!CQ34</f>
        <v>11871.771153650903</v>
      </c>
      <c r="CZ34" s="60">
        <f t="shared" ref="CZ34:CZ65" si="60">CB34+CJ34+CR34</f>
        <v>46142.371272112767</v>
      </c>
      <c r="DA34" s="60">
        <f t="shared" ref="DA34:DA65" si="61">CC34+CK34+CS34</f>
        <v>43326.445080264224</v>
      </c>
      <c r="DB34" s="60">
        <f t="shared" ref="DB34:DB65" si="62">CD34+CL34+CT34</f>
        <v>37919.291883177269</v>
      </c>
      <c r="DC34" s="60">
        <f t="shared" ref="DC34:DC65" si="63">CE34+CM34+CU34</f>
        <v>35718.421395100188</v>
      </c>
      <c r="DD34" s="60">
        <f t="shared" ref="DD34:DD65" si="64">CF34+CN34+CV34</f>
        <v>33446.224117469828</v>
      </c>
      <c r="DE34" s="60">
        <f t="shared" ref="DE34:DE65" si="65">CG34+CO34+CW34</f>
        <v>31097.715608565799</v>
      </c>
      <c r="DF34" s="60">
        <f t="shared" ref="DF34:DF65" si="66">CH34+CP34+CX34</f>
        <v>28825.588544505234</v>
      </c>
      <c r="DG34" s="60">
        <f t="shared" ref="DG34:DG65" si="67">CI34+CQ34+CY34</f>
        <v>30409.479269513882</v>
      </c>
      <c r="DH34" s="13">
        <f t="shared" ref="DH34:DH65" si="68">7.5*EXP(-0.045*(2022-2020))/100*BT34*15</f>
        <v>8.8502669014231788E-2</v>
      </c>
      <c r="DI34" s="13">
        <f t="shared" ref="DI34:DI65" si="69">7.5*EXP(-0.045*(2022-2020))/100*BU34*15</f>
        <v>6.5848052122541037E-2</v>
      </c>
      <c r="DJ34" s="13">
        <f t="shared" ref="DJ34:DJ65" si="70">7.5*EXP(-0.045*(2022-2020))/100*BV34*15</f>
        <v>4.5875250371589404E-2</v>
      </c>
      <c r="DK34" s="13">
        <f t="shared" ref="DK34:DK65" si="71">7.5*EXP(-0.045*(2022-2020))/100*BW34*15</f>
        <v>2.858426376137722E-2</v>
      </c>
      <c r="DL34" s="13">
        <f t="shared" ref="DL34:DL65" si="72">7.5*EXP(-0.045*(2022-2020))/100*BX34*15</f>
        <v>0</v>
      </c>
      <c r="DM34" s="13">
        <f t="shared" ref="DM34:DM65" si="73">7.5*EXP(-0.045*(2022-2020))/100*BY34*15</f>
        <v>0</v>
      </c>
      <c r="DN34" s="13">
        <f t="shared" ref="DN34:DN65" si="74">7.5*EXP(-0.045*(2022-2020))/100*BZ34*15</f>
        <v>0</v>
      </c>
      <c r="DO34" s="13">
        <f t="shared" ref="DO34:DO65" si="75">7.5*EXP(-0.045*(2022-2020))/100*CA34*15</f>
        <v>0</v>
      </c>
      <c r="DP34" s="50">
        <f>DH34*'Useful Constants'!$B$8</f>
        <v>377.02137000062743</v>
      </c>
      <c r="DQ34" s="50">
        <f>DI34*'Useful Constants'!$B$8</f>
        <v>280.51270204202484</v>
      </c>
      <c r="DR34" s="50">
        <f>DJ34*'Useful Constants'!$B$10</f>
        <v>111.47685840296225</v>
      </c>
      <c r="DS34" s="50">
        <f>DK34*'Useful Constants'!$B$10</f>
        <v>69.459760940146651</v>
      </c>
      <c r="DT34" s="50">
        <f>DL34*'Useful Constants'!$B$10</f>
        <v>0</v>
      </c>
      <c r="DU34" s="50">
        <f>DM34*'Useful Constants'!$B$10</f>
        <v>0</v>
      </c>
      <c r="DV34" s="50">
        <f>DN34*'Useful Constants'!$B$10</f>
        <v>0</v>
      </c>
      <c r="DW34" s="50">
        <f>DO34*'Useful Constants'!$B$10</f>
        <v>0</v>
      </c>
      <c r="DX34" s="14">
        <f>DH34*'Useful Constants'!$B$9</f>
        <v>170.27913518338195</v>
      </c>
      <c r="DY34" s="14">
        <f>DI34*'Useful Constants'!$B$9</f>
        <v>126.69165228376896</v>
      </c>
      <c r="DZ34" s="14">
        <f>DJ34*'Useful Constants'!$B$11</f>
        <v>31.057544501566028</v>
      </c>
      <c r="EA34" s="14">
        <f>DK34*'Useful Constants'!$B$11</f>
        <v>19.351546566452377</v>
      </c>
      <c r="EB34" s="14">
        <f>DL34*'Useful Constants'!$B$11</f>
        <v>0</v>
      </c>
      <c r="EC34" s="14">
        <f>DM34*'Useful Constants'!$B$11</f>
        <v>0</v>
      </c>
      <c r="ED34" s="14">
        <f>DN34*'Useful Constants'!$B$11</f>
        <v>0</v>
      </c>
      <c r="EE34" s="14">
        <f>DO34*'Useful Constants'!$B$11</f>
        <v>0</v>
      </c>
      <c r="EF34" s="78">
        <f>(SUM(Data!DI34:DO34)*2+Data!DP34)/('Useful Constants'!$B$1*1000000)*$K34/100</f>
        <v>103.43186466761738</v>
      </c>
      <c r="EG34" s="78">
        <f>(SUM(Data!DJ34:DP34)*2+Data!DQ34)/('Useful Constants'!$B$1*1000000)*$K34/100</f>
        <v>103.2163790278457</v>
      </c>
      <c r="EH34" s="78">
        <f>(SUM(Data!DK34:DQ34)*2+Data!DR34)/('Useful Constants'!$B$1*1000000)*$K34/100</f>
        <v>101.24838376837307</v>
      </c>
      <c r="EI34" s="78">
        <f>(SUM(Data!DL34:DR34)*2+Data!DS34)/('Useful Constants'!$B$1*1000000)*$K34/100</f>
        <v>100.51842097171024</v>
      </c>
      <c r="EJ34" s="78">
        <f>(SUM(Data!DM34:DS34)*2+Data!DT34)/('Useful Constants'!$B$1*1000000)*$K34/100</f>
        <v>100.90173392425017</v>
      </c>
      <c r="EK34" s="78">
        <f>(SUM(Data!DN34:DT34)*2+Data!DU34)/('Useful Constants'!$B$1*1000000)*$K34/100</f>
        <v>100.06258735985108</v>
      </c>
      <c r="EL34" s="78">
        <f>(SUM(Data!DO34:DU34)*2+Data!DV34)/('Useful Constants'!$B$1*1000000)*$K34/100</f>
        <v>96.017503052281342</v>
      </c>
      <c r="EM34" s="78">
        <f>(SUM(Data!DP34:DV34)*2+Data!DW34)/('Useful Constants'!$B$1*1000000)*$K34/100</f>
        <v>92.033238751886032</v>
      </c>
      <c r="EN34" s="79">
        <f>EF34*'Useful Constants'!$B$3</f>
        <v>8688.2766320798601</v>
      </c>
      <c r="EO34" s="79">
        <f>EG34*'Useful Constants'!$B$3</f>
        <v>8670.1758383390388</v>
      </c>
      <c r="EP34" s="79">
        <f>EH34*'Useful Constants'!$B$3</f>
        <v>8504.8642365433388</v>
      </c>
      <c r="EQ34" s="79">
        <f>EI34*'Useful Constants'!$B$3</f>
        <v>8443.5473616236595</v>
      </c>
      <c r="ER34" s="79">
        <f>EJ34*'Useful Constants'!$B$3</f>
        <v>8475.7456496370141</v>
      </c>
      <c r="ES34" s="79">
        <f>EK34*'Useful Constants'!$B$3</f>
        <v>8405.2573382274913</v>
      </c>
      <c r="ET34" s="79">
        <f>EL34*'Useful Constants'!$B$3</f>
        <v>8065.4702563916326</v>
      </c>
      <c r="EU34" s="79">
        <f>EM34*'Useful Constants'!$B$3</f>
        <v>7730.7920551584266</v>
      </c>
      <c r="EV34" s="78">
        <f>EF34*'Useful Constants'!$B$4</f>
        <v>2896.0922106932867</v>
      </c>
      <c r="EW34" s="78">
        <f>EG34*'Useful Constants'!$B$4</f>
        <v>2890.0586127796796</v>
      </c>
      <c r="EX34" s="78">
        <f>EH34*'Useful Constants'!$B$4</f>
        <v>2834.9547455144461</v>
      </c>
      <c r="EY34" s="78">
        <f>EI34*'Useful Constants'!$B$4</f>
        <v>2814.5157872078867</v>
      </c>
      <c r="EZ34" s="78">
        <f>EJ34*'Useful Constants'!$B$4</f>
        <v>2825.2485498790047</v>
      </c>
      <c r="FA34" s="78">
        <f>EK34*'Useful Constants'!$B$4</f>
        <v>2801.7524460758304</v>
      </c>
      <c r="FB34" s="78">
        <f>EL34*'Useful Constants'!$B$4</f>
        <v>2688.4900854638777</v>
      </c>
      <c r="FC34" s="78">
        <f>EM34*'Useful Constants'!$B$4</f>
        <v>2576.9306850528087</v>
      </c>
      <c r="FD34" s="40">
        <f t="shared" ref="FD34:FD65" si="76">(R34+$Q34-CZ34)/(R34+$Q34)</f>
        <v>-0.2067456005417225</v>
      </c>
      <c r="FE34" s="40">
        <f t="shared" ref="FE34:FE65" si="77">(S34+$Q34-DA34)/(S34+$Q34)</f>
        <v>-0.13445417998685316</v>
      </c>
      <c r="FF34" s="40">
        <f t="shared" ref="FF34:FF65" si="78">(T34+$Q34-DB34)/(T34+$Q34)</f>
        <v>4.9153043978789057E-3</v>
      </c>
      <c r="FG34" s="40">
        <f t="shared" ref="FG34:FG65" si="79">(U34+$Q34-DC34)/(U34+$Q34)</f>
        <v>6.1900681015600929E-2</v>
      </c>
      <c r="FH34" s="40">
        <f t="shared" ref="FH34:FH65" si="80">(V34+$Q34-DD34)/(V34+$Q34)</f>
        <v>0.12077290888507411</v>
      </c>
      <c r="FI34" s="40">
        <f t="shared" ref="FI34:FI65" si="81">(W34+$Q34-DE34)/(W34+$Q34)</f>
        <v>0.18171110077412425</v>
      </c>
      <c r="FJ34" s="40">
        <f t="shared" ref="FJ34:FJ65" si="82">(X34+$Q34-DF34)/(X34+$Q34)</f>
        <v>0.24080487842386988</v>
      </c>
      <c r="FK34" s="40">
        <f t="shared" ref="FK34:FK65" si="83">(Y34+$Q34-DG34)/(Y34+$Q34)</f>
        <v>0.19964603727491814</v>
      </c>
      <c r="FL34" s="4">
        <f t="shared" ref="FL34:FL65" si="84">(R34+$Q34+$AX34+$AY34+AH34-(CZ34+DP34+EN34))/(R34+$Q34+$AX34+$AY34+AH34)</f>
        <v>0.24847770644320341</v>
      </c>
      <c r="FM34" s="4">
        <f t="shared" ref="FM34:FM65" si="85">(S34+$Q34+$AX34+$AY34+AI34-(DA34+DQ34+EO34))/(S34+$Q34+$AX34+$AY34+AI34)</f>
        <v>0.28791812199248962</v>
      </c>
      <c r="FN34" s="4">
        <f t="shared" ref="FN34:FN65" si="86">(T34+$Q34+$AX34+$AY34+AJ34-(DB34+DR34+EP34))/(T34+$Q34+$AX34+$AY34+AJ34)</f>
        <v>0.36536161510150367</v>
      </c>
      <c r="FO34" s="4">
        <f t="shared" ref="FO34:FO65" si="87">(U34+$Q34+$AX34+$AY34+AK34-(DC34+DS34+EQ34))/(U34+$Q34+$AX34+$AY34+AK34)</f>
        <v>0.3965156854312975</v>
      </c>
      <c r="FP34" s="4">
        <f t="shared" ref="FP34:FP65" si="88">(V34+$Q34+$AX34+$AY34+AL34-(DD34+DT34+ER34))/(V34+$Q34+$AX34+$AY34+AL34)</f>
        <v>0.42775306018574094</v>
      </c>
      <c r="FQ34" s="4">
        <f t="shared" ref="FQ34:FQ65" si="89">(W34+$Q34+$AX34+$AY34+AM34-(DE34+DU34+ES34))/(W34+$Q34+$AX34+$AY34+AM34)</f>
        <v>0.46048619694943266</v>
      </c>
      <c r="FR34" s="4">
        <f t="shared" ref="FR34:FR65" si="90">(X34+$Q34+$AX34+$AY34+AN34-(DF34+DV34+ET34))/(X34+$Q34+$AX34+$AY34+AN34)</f>
        <v>0.49587636071494423</v>
      </c>
      <c r="FS34" s="4">
        <f t="shared" ref="FS34:FS65" si="91">(Y34+$Q34+$AX34+$AY34+AO34-(DG34+DW34+EU34))/(Y34+$Q34+$AX34+$AY34+AO34)</f>
        <v>0.47894940842124006</v>
      </c>
      <c r="FT34" s="38">
        <f t="shared" ref="FT34:FT65" si="92">(R34+$Q34+$AZ34+$BA34+AP34-(CZ34+DX34+EV34))/(R34+$Q34+$AZ34+$BA34+AP34)</f>
        <v>1.539970655601028E-2</v>
      </c>
      <c r="FU34" s="38">
        <f t="shared" ref="FU34:FU65" si="93">(S34+$Q34+$AZ34+$BA34+AQ34-(DA34+DY34+EW34))/(S34+$Q34+$AZ34+$BA34+AQ34)</f>
        <v>7.1882448709984406E-2</v>
      </c>
      <c r="FV34" s="38">
        <f t="shared" ref="FV34:FV65" si="94">(T34+$Q34+$AZ34+$BA34+AR34-(DB34+DZ34+EX34))/(T34+$Q34+$AZ34+$BA34+AR34)</f>
        <v>0.18178151379872129</v>
      </c>
      <c r="FW34" s="38">
        <f t="shared" ref="FW34:FW65" si="95">(U34+$Q34+$AZ34+$BA34+AS34-(DC34+EA34+EY34))/(U34+$Q34+$AZ34+$BA34+AS34)</f>
        <v>0.2260857719272574</v>
      </c>
      <c r="FX34" s="38">
        <f t="shared" ref="FX34:FX65" si="96">(V34+$Q34+$AZ34+$BA34+AT34-(DD34+EB34+EZ34))/(V34+$Q34+$AZ34+$BA34+AT34)</f>
        <v>0.27136210303285113</v>
      </c>
      <c r="FY34" s="38">
        <f t="shared" ref="FY34:FY65" si="97">(W34+$Q34+$AZ34+$BA34+AU34-(DE34+EC34+FA34))/(W34+$Q34+$AZ34+$BA34+AU34)</f>
        <v>0.31849529483752781</v>
      </c>
      <c r="FZ34" s="38">
        <f t="shared" ref="FZ34:FZ65" si="98">(X34+$Q34+$AZ34+$BA34+AV34-(DF34+ED34+FB34))/(X34+$Q34+$AZ34+$BA34+AV34)</f>
        <v>0.36598121077195023</v>
      </c>
      <c r="GA34" s="38">
        <f t="shared" ref="GA34:GA65" si="99">(Y34+$Q34+$AZ34+$BA34+AW34-(DG34+EE34+FC34))/(Y34+$Q34+$AZ34+$BA34+AW34)</f>
        <v>0.33668487222853288</v>
      </c>
    </row>
    <row r="35" spans="1:183" x14ac:dyDescent="0.25">
      <c r="A35" s="1" t="str">
        <f>Data!A35</f>
        <v>KS_HAYS-MUNI_AWOS_724518_TY3A</v>
      </c>
      <c r="B35" s="1" t="str">
        <f>TY3A_REP_CITIES!B35</f>
        <v>Hays</v>
      </c>
      <c r="C35" s="1" t="str">
        <f>TY3A_REP_CITIES!C35</f>
        <v>Ellis</v>
      </c>
      <c r="D35" s="2" t="str">
        <f>TY3A_REP_CITIES!A35</f>
        <v>KS</v>
      </c>
      <c r="E35" s="42">
        <f>TY3A_REP_CITIES!E35</f>
        <v>28553</v>
      </c>
      <c r="F35" s="2">
        <f>TY3A_REP_CITIES!G35</f>
        <v>5</v>
      </c>
      <c r="G35" s="2" t="str">
        <f>TY3A_REP_CITIES!H35</f>
        <v>Cold</v>
      </c>
      <c r="H35" s="2" t="str">
        <f>TY3A_REP_CITIES!I35</f>
        <v>Midwest</v>
      </c>
      <c r="I35" s="2">
        <f>Data!B35</f>
        <v>38.85</v>
      </c>
      <c r="J35" s="2">
        <f>Data!C35</f>
        <v>-99.27</v>
      </c>
      <c r="K35" s="2">
        <f>VLOOKUP(D35,Table1[],2,FALSE)</f>
        <v>3.6</v>
      </c>
      <c r="L35" s="2">
        <v>0.5</v>
      </c>
      <c r="M35" s="10">
        <f>Data!N35</f>
        <v>5884.8444600000003</v>
      </c>
      <c r="N35" s="10">
        <f>Data!Q35</f>
        <v>29308</v>
      </c>
      <c r="O35" s="10">
        <f>Data!O35</f>
        <v>34273506933.492401</v>
      </c>
      <c r="P35" s="10">
        <f>Data!P35</f>
        <v>35701569722.387917</v>
      </c>
      <c r="Q35" s="10">
        <f>Data!S35*15</f>
        <v>26937.333406540125</v>
      </c>
      <c r="R35" s="48">
        <f>SUM(Data!U35:AA35)*2+Data!AB35</f>
        <v>439.64196295170086</v>
      </c>
      <c r="S35" s="48">
        <f>SUM(Data!V35:AB35)*2+Data!AC35</f>
        <v>502.16672658811649</v>
      </c>
      <c r="T35" s="48">
        <f>SUM(Data!W35:AC35)*2+Data!AD35</f>
        <v>496.06937580596957</v>
      </c>
      <c r="U35" s="48">
        <f>SUM(Data!X35:AD35)*2+Data!AE35</f>
        <v>453.75324663371191</v>
      </c>
      <c r="V35" s="48">
        <f>SUM(Data!Y35:AE35)*2+Data!AF35</f>
        <v>466.28911498857366</v>
      </c>
      <c r="W35" s="48">
        <f>SUM(Data!Z35:AF35)*2+Data!AG35</f>
        <v>512.6277415319488</v>
      </c>
      <c r="X35" s="48">
        <f>SUM(Data!AA35:AG35)*2+Data!AH35</f>
        <v>533.89590624255641</v>
      </c>
      <c r="Y35" s="48">
        <f>SUM(Data!AB35:AH35)*2+Data!AI35</f>
        <v>564.19709468696249</v>
      </c>
      <c r="Z35" s="80">
        <f>(SUM(Data!CS35:CY35)*2+Data!CZ35)/('Useful Constants'!$B$1*1000000)*$K35/100</f>
        <v>5.9070309622318122E-2</v>
      </c>
      <c r="AA35" s="80">
        <f>(SUM(Data!CT35:CZ35)*2+Data!DA35)/('Useful Constants'!$B$1*1000000)*$K35/100</f>
        <v>3.556198508573858E-2</v>
      </c>
      <c r="AB35" s="80">
        <f>(SUM(Data!CU35:DA35)*2+Data!DB35)/('Useful Constants'!$B$1*1000000)*$K35/100</f>
        <v>2.7600558795463036E-2</v>
      </c>
      <c r="AC35" s="80">
        <f>(SUM(Data!CV35:DB35)*2+Data!DC35)/('Useful Constants'!$B$1*1000000)*$K35/100</f>
        <v>2.2934101966899129E-2</v>
      </c>
      <c r="AD35" s="80">
        <f>(SUM(Data!CW35:DC35)*2+Data!DD35)/('Useful Constants'!$B$1*1000000)*$K35/100</f>
        <v>1.9446778794983587E-2</v>
      </c>
      <c r="AE35" s="80">
        <f>(SUM(Data!CX35:DD35)*2+Data!DE35)/('Useful Constants'!$B$1*1000000)*$K35/100</f>
        <v>1.3566829819569968E-2</v>
      </c>
      <c r="AF35" s="80">
        <f>(SUM(Data!CY35:DE35)*2+Data!DF35)/('Useful Constants'!$B$1*1000000)*$K35/100</f>
        <v>9.2153109964518767E-3</v>
      </c>
      <c r="AG35" s="80">
        <f>(SUM(Data!CZ35:DF35)*2+Data!DG35)/('Useful Constants'!$B$1*1000000)*$K35/100</f>
        <v>7.2747236172225069E-3</v>
      </c>
      <c r="AH35" s="48">
        <f>Z35*'Useful Constants'!$B$3</f>
        <v>4.9619060082747222</v>
      </c>
      <c r="AI35" s="48">
        <f>AA35*'Useful Constants'!$B$3</f>
        <v>2.9872067472020407</v>
      </c>
      <c r="AJ35" s="48">
        <f>AB35*'Useful Constants'!$B$3</f>
        <v>2.3184469388188949</v>
      </c>
      <c r="AK35" s="48">
        <f>AC35*'Useful Constants'!$B$3</f>
        <v>1.9264645652195269</v>
      </c>
      <c r="AL35" s="48">
        <f>AD35*'Useful Constants'!$B$3</f>
        <v>1.6335294187786213</v>
      </c>
      <c r="AM35" s="48">
        <f>AE35*'Useful Constants'!$B$3</f>
        <v>1.1396137048438773</v>
      </c>
      <c r="AN35" s="48">
        <f>AF35*'Useful Constants'!$B$3</f>
        <v>0.77408612370195762</v>
      </c>
      <c r="AO35" s="48">
        <f>AG35*'Useful Constants'!$B$3</f>
        <v>0.61107678384669062</v>
      </c>
      <c r="AP35" s="10">
        <f>Z35*'Useful Constants'!$B$4</f>
        <v>1.6539686694249074</v>
      </c>
      <c r="AQ35" s="10">
        <f>AA35*'Useful Constants'!$B$4</f>
        <v>0.99573558240068027</v>
      </c>
      <c r="AR35" s="10">
        <f>AB35*'Useful Constants'!$B$4</f>
        <v>0.77281564627296506</v>
      </c>
      <c r="AS35" s="10">
        <f>AC35*'Useful Constants'!$B$4</f>
        <v>0.6421548550731756</v>
      </c>
      <c r="AT35" s="10">
        <f>AD35*'Useful Constants'!$B$4</f>
        <v>0.54450980625954049</v>
      </c>
      <c r="AU35" s="10">
        <f>AE35*'Useful Constants'!$B$4</f>
        <v>0.3798712349479591</v>
      </c>
      <c r="AV35" s="10">
        <f>AF35*'Useful Constants'!$B$4</f>
        <v>0.25802870790065258</v>
      </c>
      <c r="AW35" s="10">
        <f>AG35*'Useful Constants'!$B$4</f>
        <v>0.2036922612822302</v>
      </c>
      <c r="AX35" s="48">
        <f>P35/1000000/'Useful Constants'!$B$1*K35/100*'Useful Constants'!$B$3*15</f>
        <v>32388.464052150321</v>
      </c>
      <c r="AY35" s="48">
        <f>P35/1000000/'Useful Constants'!$B$1*L35/100*'Useful Constants'!$B$3*15</f>
        <v>4498.3977850208776</v>
      </c>
      <c r="AZ35" s="48">
        <f>P35/1000000/'Useful Constants'!$B$1*K35/100*'Useful Constants'!$B$4*15</f>
        <v>10796.154684050107</v>
      </c>
      <c r="BA35" s="48">
        <f>P35/1000000/'Useful Constants'!$B$1*L35/100*'Useful Constants'!$B$4*15</f>
        <v>1499.4659283402925</v>
      </c>
      <c r="BB35" s="7">
        <f>Data!AN35</f>
        <v>5884.8444600000003</v>
      </c>
      <c r="BC35" s="7">
        <f>Data!AQ35</f>
        <v>5884.8444600000003</v>
      </c>
      <c r="BD35" s="7">
        <f>Data!AT35</f>
        <v>8038.7799100000002</v>
      </c>
      <c r="BE35" s="6">
        <f>Data!AO35</f>
        <v>30928061361.508598</v>
      </c>
      <c r="BF35" s="6">
        <f>Data!AP35</f>
        <v>10758845433.0089</v>
      </c>
      <c r="BG35" s="6">
        <f>Data!AR35</f>
        <v>1950007926.9159801</v>
      </c>
      <c r="BH35" s="6">
        <f>Data!AS35</f>
        <v>1950007926.9159801</v>
      </c>
      <c r="BI35" s="8">
        <f t="shared" si="50"/>
        <v>0.94068970687392151</v>
      </c>
      <c r="BJ35" s="8">
        <f t="shared" si="51"/>
        <v>0.84656303195180582</v>
      </c>
      <c r="BK35" s="13">
        <f>BB35*'Useful Constants'!$B$5/'Useful Constants'!$B$6*'Useful Constants'!$B$7</f>
        <v>1.5059316973140002</v>
      </c>
      <c r="BL35" s="52">
        <f>1-VLOOKUP($G35,'Useful Constants'!$A$17:$X$23,10,FALSE)</f>
        <v>6.6471999999999865E-2</v>
      </c>
      <c r="BM35" s="52">
        <f>1-VLOOKUP($G35,'Useful Constants'!$A$17:$X$23,12,FALSE)</f>
        <v>4.945672000000001E-2</v>
      </c>
      <c r="BN35" s="52">
        <f>1-VLOOKUP($G35,'Useful Constants'!$A$17:$X$23,14,FALSE)</f>
        <v>3.4455679999999989E-2</v>
      </c>
      <c r="BO35" s="52">
        <f>1-VLOOKUP($G35,'Useful Constants'!$A$17:$X$23,16,FALSE)</f>
        <v>2.1468880000000024E-2</v>
      </c>
      <c r="BP35" s="52">
        <f>1-VLOOKUP($G35,'Useful Constants'!$A$17:$X$23,18,FALSE)</f>
        <v>0</v>
      </c>
      <c r="BQ35" s="52">
        <f>1-VLOOKUP($G35,'Useful Constants'!$A$17:$X$23,20, FALSE)</f>
        <v>0</v>
      </c>
      <c r="BR35" s="52">
        <f>1-VLOOKUP($G35,'Useful Constants'!$A$17:$X$23,22, FALSE)</f>
        <v>0</v>
      </c>
      <c r="BS35" s="52">
        <f>1-VLOOKUP($G35,'Useful Constants'!$A$17:$X$23,24, FALSE)</f>
        <v>0</v>
      </c>
      <c r="BT35" s="13">
        <f t="shared" si="52"/>
        <v>0.10010229178385602</v>
      </c>
      <c r="BU35" s="13">
        <f t="shared" si="53"/>
        <v>7.4478442293183275E-2</v>
      </c>
      <c r="BV35" s="13">
        <f t="shared" si="54"/>
        <v>5.1887900664508033E-2</v>
      </c>
      <c r="BW35" s="13">
        <f t="shared" si="55"/>
        <v>3.233066689783063E-2</v>
      </c>
      <c r="BX35" s="13">
        <f t="shared" si="56"/>
        <v>0</v>
      </c>
      <c r="BY35" s="13">
        <f t="shared" si="57"/>
        <v>0</v>
      </c>
      <c r="BZ35" s="13">
        <f t="shared" si="58"/>
        <v>0</v>
      </c>
      <c r="CA35" s="13">
        <f t="shared" si="59"/>
        <v>0</v>
      </c>
      <c r="CB35" s="59">
        <f>+SUM(Data!BM35:BS35)*2+Data!BT35</f>
        <v>2191.0761192229911</v>
      </c>
      <c r="CC35" s="59">
        <f>+SUM(Data!BN35:BT35)*2+Data!BU35</f>
        <v>2500.8362788871932</v>
      </c>
      <c r="CD35" s="59">
        <f>+SUM(Data!BO35:BU35)*2+Data!BV35</f>
        <v>2467.002027209051</v>
      </c>
      <c r="CE35" s="59">
        <f>+SUM(Data!BP35:BV35)*2+Data!BW35</f>
        <v>2250.9938035678069</v>
      </c>
      <c r="CF35" s="59">
        <f>+SUM(Data!BQ35:BW35)*2+Data!BX35</f>
        <v>2310.4255371069062</v>
      </c>
      <c r="CG35" s="59">
        <f>+SUM(Data!BR35:BX35)*2+Data!BY35</f>
        <v>2539.5462843194719</v>
      </c>
      <c r="CH35" s="59">
        <f>+SUM(Data!BS35:BY35)*2+Data!BZ35</f>
        <v>2643.9859333349509</v>
      </c>
      <c r="CI35" s="59">
        <f>+SUM(Data!BT35:BZ35)*2+Data!CA35</f>
        <v>2794.283683727574</v>
      </c>
      <c r="CJ35" s="13">
        <f>+SUM(Data!AW35:BC35)*2+Data!BD35</f>
        <v>12825.59122306572</v>
      </c>
      <c r="CK35" s="13">
        <f>+SUM(Data!AX35:BD35)*2+Data!BE35</f>
        <v>14673.775324388798</v>
      </c>
      <c r="CL35" s="13">
        <f>+SUM(Data!AY35:BE35)*2+Data!BF35</f>
        <v>14551.040528873025</v>
      </c>
      <c r="CM35" s="13">
        <f>+SUM(Data!AZ35:BF35)*2+Data!BG35</f>
        <v>13402.175049141453</v>
      </c>
      <c r="CN35" s="13">
        <f>+SUM(Data!BA35:BG35)*2+Data!BH35</f>
        <v>13816.755802742528</v>
      </c>
      <c r="CO35" s="13">
        <f>+SUM(Data!BB35:BH35)*2+Data!BI35</f>
        <v>15200.567878300119</v>
      </c>
      <c r="CP35" s="13">
        <f>+SUM(Data!BC35:BI35)*2+Data!BJ35</f>
        <v>15839.751902254138</v>
      </c>
      <c r="CQ35" s="13">
        <f>+SUM(Data!BD35:BJ35)*2+Data!BK35</f>
        <v>16715.60325667444</v>
      </c>
      <c r="CR35" s="59">
        <f>+SUM(Data!CC35:CI35)*2+Data!CJ35</f>
        <v>2504.061322859</v>
      </c>
      <c r="CS35" s="59">
        <f>+SUM(Data!CD35:CJ35)*2+Data!CK35</f>
        <v>2848.6919587188713</v>
      </c>
      <c r="CT35" s="59">
        <f>+SUM(Data!CE35:CK35)*2+Data!CL35</f>
        <v>2740.830133662555</v>
      </c>
      <c r="CU35" s="59">
        <f>+SUM(Data!CF35:CL35)*2+Data!CM35</f>
        <v>2545.6102365567435</v>
      </c>
      <c r="CV35" s="59">
        <f>+SUM(Data!CG35:CM35)*2+Data!CN35</f>
        <v>2649.3700821663519</v>
      </c>
      <c r="CW35" s="59">
        <f>+SUM(Data!CH35:CN35)*2+Data!CO35</f>
        <v>2926.7379347123515</v>
      </c>
      <c r="CX35" s="59">
        <f>+SUM(Data!CI35:CO35)*2+Data!CP35</f>
        <v>3054.2123610566928</v>
      </c>
      <c r="CY35" s="59">
        <f>+SUM(Data!CJ35:CP35)*2+Data!CQ35</f>
        <v>3192.4712029069192</v>
      </c>
      <c r="CZ35" s="60">
        <f t="shared" si="60"/>
        <v>17520.728665147712</v>
      </c>
      <c r="DA35" s="60">
        <f t="shared" si="61"/>
        <v>20023.303561994864</v>
      </c>
      <c r="DB35" s="60">
        <f t="shared" si="62"/>
        <v>19758.872689744632</v>
      </c>
      <c r="DC35" s="60">
        <f t="shared" si="63"/>
        <v>18198.779089266001</v>
      </c>
      <c r="DD35" s="60">
        <f t="shared" si="64"/>
        <v>18776.551422015786</v>
      </c>
      <c r="DE35" s="60">
        <f t="shared" si="65"/>
        <v>20666.852097331939</v>
      </c>
      <c r="DF35" s="60">
        <f t="shared" si="66"/>
        <v>21537.950196645783</v>
      </c>
      <c r="DG35" s="60">
        <f t="shared" si="67"/>
        <v>22702.358143308935</v>
      </c>
      <c r="DH35" s="13">
        <f t="shared" si="68"/>
        <v>0.1029224319506841</v>
      </c>
      <c r="DI35" s="13">
        <f t="shared" si="69"/>
        <v>7.6576692422434228E-2</v>
      </c>
      <c r="DJ35" s="13">
        <f t="shared" si="70"/>
        <v>5.3349716874993278E-2</v>
      </c>
      <c r="DK35" s="13">
        <f t="shared" si="71"/>
        <v>3.3241505308361563E-2</v>
      </c>
      <c r="DL35" s="13">
        <f t="shared" si="72"/>
        <v>0</v>
      </c>
      <c r="DM35" s="13">
        <f t="shared" si="73"/>
        <v>0</v>
      </c>
      <c r="DN35" s="13">
        <f t="shared" si="74"/>
        <v>0</v>
      </c>
      <c r="DO35" s="13">
        <f t="shared" si="75"/>
        <v>0</v>
      </c>
      <c r="DP35" s="50">
        <f>DH35*'Useful Constants'!$B$8</f>
        <v>438.44956010991427</v>
      </c>
      <c r="DQ35" s="50">
        <f>DI35*'Useful Constants'!$B$8</f>
        <v>326.21670971956979</v>
      </c>
      <c r="DR35" s="50">
        <f>DJ35*'Useful Constants'!$B$10</f>
        <v>129.63981200623365</v>
      </c>
      <c r="DS35" s="50">
        <f>DK35*'Useful Constants'!$B$10</f>
        <v>80.7768578993186</v>
      </c>
      <c r="DT35" s="50">
        <f>DL35*'Useful Constants'!$B$10</f>
        <v>0</v>
      </c>
      <c r="DU35" s="50">
        <f>DM35*'Useful Constants'!$B$10</f>
        <v>0</v>
      </c>
      <c r="DV35" s="50">
        <f>DN35*'Useful Constants'!$B$10</f>
        <v>0</v>
      </c>
      <c r="DW35" s="50">
        <f>DO35*'Useful Constants'!$B$10</f>
        <v>0</v>
      </c>
      <c r="DX35" s="14">
        <f>DH35*'Useful Constants'!$B$9</f>
        <v>198.02275907311619</v>
      </c>
      <c r="DY35" s="14">
        <f>DI35*'Useful Constants'!$B$9</f>
        <v>147.33355622076346</v>
      </c>
      <c r="DZ35" s="14">
        <f>DJ35*'Useful Constants'!$B$11</f>
        <v>36.117758324370449</v>
      </c>
      <c r="EA35" s="14">
        <f>DK35*'Useful Constants'!$B$11</f>
        <v>22.504499093760778</v>
      </c>
      <c r="EB35" s="14">
        <f>DL35*'Useful Constants'!$B$11</f>
        <v>0</v>
      </c>
      <c r="EC35" s="14">
        <f>DM35*'Useful Constants'!$B$11</f>
        <v>0</v>
      </c>
      <c r="ED35" s="14">
        <f>DN35*'Useful Constants'!$B$11</f>
        <v>0</v>
      </c>
      <c r="EE35" s="14">
        <f>DO35*'Useful Constants'!$B$11</f>
        <v>0</v>
      </c>
      <c r="EF35" s="78">
        <f>(SUM(Data!DI35:DO35)*2+Data!DP35)/('Useful Constants'!$B$1*1000000)*$K35/100</f>
        <v>2.3211530772169446</v>
      </c>
      <c r="EG35" s="78">
        <f>(SUM(Data!DJ35:DP35)*2+Data!DQ35)/('Useful Constants'!$B$1*1000000)*$K35/100</f>
        <v>1.4155711370146669</v>
      </c>
      <c r="EH35" s="78">
        <f>(SUM(Data!DK35:DQ35)*2+Data!DR35)/('Useful Constants'!$B$1*1000000)*$K35/100</f>
        <v>1.1023946235464277</v>
      </c>
      <c r="EI35" s="78">
        <f>(SUM(Data!DL35:DR35)*2+Data!DS35)/('Useful Constants'!$B$1*1000000)*$K35/100</f>
        <v>0.91028684557636297</v>
      </c>
      <c r="EJ35" s="78">
        <f>(SUM(Data!DM35:DS35)*2+Data!DT35)/('Useful Constants'!$B$1*1000000)*$K35/100</f>
        <v>0.77749835340953621</v>
      </c>
      <c r="EK35" s="78">
        <f>(SUM(Data!DN35:DT35)*2+Data!DU35)/('Useful Constants'!$B$1*1000000)*$K35/100</f>
        <v>0.54884580187493259</v>
      </c>
      <c r="EL35" s="78">
        <f>(SUM(Data!DO35:DU35)*2+Data!DV35)/('Useful Constants'!$B$1*1000000)*$K35/100</f>
        <v>0.37111526383356408</v>
      </c>
      <c r="EM35" s="78">
        <f>(SUM(Data!DP35:DV35)*2+Data!DW35)/('Useful Constants'!$B$1*1000000)*$K35/100</f>
        <v>0.29020209115403095</v>
      </c>
      <c r="EN35" s="79">
        <f>EF35*'Useful Constants'!$B$3</f>
        <v>194.97685848622336</v>
      </c>
      <c r="EO35" s="79">
        <f>EG35*'Useful Constants'!$B$3</f>
        <v>118.90797550923202</v>
      </c>
      <c r="EP35" s="79">
        <f>EH35*'Useful Constants'!$B$3</f>
        <v>92.601148377899932</v>
      </c>
      <c r="EQ35" s="79">
        <f>EI35*'Useful Constants'!$B$3</f>
        <v>76.464095028414491</v>
      </c>
      <c r="ER35" s="79">
        <f>EJ35*'Useful Constants'!$B$3</f>
        <v>65.309861686401035</v>
      </c>
      <c r="ES35" s="79">
        <f>EK35*'Useful Constants'!$B$3</f>
        <v>46.10304735749434</v>
      </c>
      <c r="ET35" s="79">
        <f>EL35*'Useful Constants'!$B$3</f>
        <v>31.173682162019382</v>
      </c>
      <c r="EU35" s="79">
        <f>EM35*'Useful Constants'!$B$3</f>
        <v>24.376975656938601</v>
      </c>
      <c r="EV35" s="78">
        <f>EF35*'Useful Constants'!$B$4</f>
        <v>64.99228616207445</v>
      </c>
      <c r="EW35" s="78">
        <f>EG35*'Useful Constants'!$B$4</f>
        <v>39.635991836410675</v>
      </c>
      <c r="EX35" s="78">
        <f>EH35*'Useful Constants'!$B$4</f>
        <v>30.867049459299977</v>
      </c>
      <c r="EY35" s="78">
        <f>EI35*'Useful Constants'!$B$4</f>
        <v>25.488031676138164</v>
      </c>
      <c r="EZ35" s="78">
        <f>EJ35*'Useful Constants'!$B$4</f>
        <v>21.769953895467015</v>
      </c>
      <c r="FA35" s="78">
        <f>EK35*'Useful Constants'!$B$4</f>
        <v>15.367682452498112</v>
      </c>
      <c r="FB35" s="78">
        <f>EL35*'Useful Constants'!$B$4</f>
        <v>10.391227387339795</v>
      </c>
      <c r="FC35" s="78">
        <f>EM35*'Useful Constants'!$B$4</f>
        <v>8.125658552312867</v>
      </c>
      <c r="FD35" s="40">
        <f t="shared" si="76"/>
        <v>0.36001956283774333</v>
      </c>
      <c r="FE35" s="40">
        <f t="shared" si="77"/>
        <v>0.27027447785681991</v>
      </c>
      <c r="FF35" s="40">
        <f t="shared" si="78"/>
        <v>0.27975130002976384</v>
      </c>
      <c r="FG35" s="40">
        <f t="shared" si="79"/>
        <v>0.33559484807232765</v>
      </c>
      <c r="FH35" s="40">
        <f t="shared" si="80"/>
        <v>0.31481498815477243</v>
      </c>
      <c r="FI35" s="40">
        <f t="shared" si="81"/>
        <v>0.24710814759082242</v>
      </c>
      <c r="FJ35" s="40">
        <f t="shared" si="82"/>
        <v>0.21598156560747994</v>
      </c>
      <c r="FK35" s="40">
        <f t="shared" si="83"/>
        <v>0.17450564642953303</v>
      </c>
      <c r="FL35" s="4">
        <f t="shared" si="84"/>
        <v>0.71752770653272457</v>
      </c>
      <c r="FM35" s="4">
        <f t="shared" si="85"/>
        <v>0.68181819792874554</v>
      </c>
      <c r="FN35" s="4">
        <f t="shared" si="86"/>
        <v>0.68936083257905079</v>
      </c>
      <c r="FO35" s="4">
        <f t="shared" si="87"/>
        <v>0.71443597152188376</v>
      </c>
      <c r="FP35" s="4">
        <f t="shared" si="88"/>
        <v>0.70693357284495051</v>
      </c>
      <c r="FQ35" s="4">
        <f t="shared" si="89"/>
        <v>0.67806013264976972</v>
      </c>
      <c r="FR35" s="4">
        <f t="shared" si="90"/>
        <v>0.66486165037731559</v>
      </c>
      <c r="FS35" s="4">
        <f t="shared" si="91"/>
        <v>0.64704011689040697</v>
      </c>
      <c r="FT35" s="38">
        <f t="shared" si="92"/>
        <v>0.55175601977232513</v>
      </c>
      <c r="FU35" s="38">
        <f t="shared" si="93"/>
        <v>0.49138781290657135</v>
      </c>
      <c r="FV35" s="38">
        <f t="shared" si="94"/>
        <v>0.50098265310640788</v>
      </c>
      <c r="FW35" s="38">
        <f t="shared" si="95"/>
        <v>0.54023708092110934</v>
      </c>
      <c r="FX35" s="38">
        <f t="shared" si="96"/>
        <v>0.52648811261633122</v>
      </c>
      <c r="FY35" s="38">
        <f t="shared" si="97"/>
        <v>0.47963971858488486</v>
      </c>
      <c r="FZ35" s="38">
        <f t="shared" si="98"/>
        <v>0.45813657233954935</v>
      </c>
      <c r="GA35" s="38">
        <f t="shared" si="99"/>
        <v>0.42934690225928013</v>
      </c>
    </row>
    <row r="36" spans="1:183" x14ac:dyDescent="0.25">
      <c r="A36" s="1" t="str">
        <f>Data!A36</f>
        <v>KS_WICHITA-MID-CONTINENT-AP_724500_TY3A</v>
      </c>
      <c r="B36" s="1" t="str">
        <f>TY3A_REP_CITIES!B36</f>
        <v>Wichita</v>
      </c>
      <c r="C36" s="1" t="str">
        <f>TY3A_REP_CITIES!C36</f>
        <v>Sedgwick</v>
      </c>
      <c r="D36" s="2" t="str">
        <f>TY3A_REP_CITIES!A36</f>
        <v>KS</v>
      </c>
      <c r="E36" s="42">
        <f>TY3A_REP_CITIES!E36</f>
        <v>516042</v>
      </c>
      <c r="F36" s="2">
        <f>TY3A_REP_CITIES!G36</f>
        <v>4</v>
      </c>
      <c r="G36" s="2" t="str">
        <f>TY3A_REP_CITIES!H36</f>
        <v>Mixed-Humid</v>
      </c>
      <c r="H36" s="2" t="str">
        <f>TY3A_REP_CITIES!I36</f>
        <v>Midwest</v>
      </c>
      <c r="I36" s="2">
        <f>Data!B36</f>
        <v>37.65</v>
      </c>
      <c r="J36" s="2">
        <f>Data!C36</f>
        <v>-97.43</v>
      </c>
      <c r="K36" s="2">
        <f>VLOOKUP(D36,Table1[],2,FALSE)</f>
        <v>3.6</v>
      </c>
      <c r="L36" s="2">
        <v>0.5</v>
      </c>
      <c r="M36" s="10">
        <f>Data!N36</f>
        <v>6189.1550299999999</v>
      </c>
      <c r="N36" s="10">
        <f>Data!Q36</f>
        <v>29308</v>
      </c>
      <c r="O36" s="10">
        <f>Data!O36</f>
        <v>32930992117.554001</v>
      </c>
      <c r="P36" s="10">
        <f>Data!P36</f>
        <v>34303116789.118748</v>
      </c>
      <c r="Q36" s="10">
        <f>Data!S36*15</f>
        <v>25882.181120247122</v>
      </c>
      <c r="R36" s="48">
        <f>SUM(Data!U36:AA36)*2+Data!AB36</f>
        <v>430.89232161478907</v>
      </c>
      <c r="S36" s="48">
        <f>SUM(Data!V36:AB36)*2+Data!AC36</f>
        <v>492.78673295430264</v>
      </c>
      <c r="T36" s="48">
        <f>SUM(Data!W36:AC36)*2+Data!AD36</f>
        <v>488.42431984347502</v>
      </c>
      <c r="U36" s="48">
        <f>SUM(Data!X36:AD36)*2+Data!AE36</f>
        <v>450.08050033589132</v>
      </c>
      <c r="V36" s="48">
        <f>SUM(Data!Y36:AE36)*2+Data!AF36</f>
        <v>463.8695687548107</v>
      </c>
      <c r="W36" s="48">
        <f>SUM(Data!Z36:AF36)*2+Data!AG36</f>
        <v>509.240375061885</v>
      </c>
      <c r="X36" s="48">
        <f>SUM(Data!AA36:AG36)*2+Data!AH36</f>
        <v>530.01213109496484</v>
      </c>
      <c r="Y36" s="48">
        <f>SUM(Data!AB36:AH36)*2+Data!AI36</f>
        <v>557.87783415886543</v>
      </c>
      <c r="Z36" s="80">
        <f>(SUM(Data!CS36:CY36)*2+Data!CZ36)/('Useful Constants'!$B$1*1000000)*$K36/100</f>
        <v>6.0508088447491122E-2</v>
      </c>
      <c r="AA36" s="80">
        <f>(SUM(Data!CT36:CZ36)*2+Data!DA36)/('Useful Constants'!$B$1*1000000)*$K36/100</f>
        <v>3.7788716786191105E-2</v>
      </c>
      <c r="AB36" s="80">
        <f>(SUM(Data!CU36:DA36)*2+Data!DB36)/('Useful Constants'!$B$1*1000000)*$K36/100</f>
        <v>2.9140845199685354E-2</v>
      </c>
      <c r="AC36" s="80">
        <f>(SUM(Data!CV36:DB36)*2+Data!DC36)/('Useful Constants'!$B$1*1000000)*$K36/100</f>
        <v>2.4734195988895324E-2</v>
      </c>
      <c r="AD36" s="80">
        <f>(SUM(Data!CW36:DC36)*2+Data!DD36)/('Useful Constants'!$B$1*1000000)*$K36/100</f>
        <v>2.1325093807378469E-2</v>
      </c>
      <c r="AE36" s="80">
        <f>(SUM(Data!CX36:DD36)*2+Data!DE36)/('Useful Constants'!$B$1*1000000)*$K36/100</f>
        <v>1.5660465934607411E-2</v>
      </c>
      <c r="AF36" s="80">
        <f>(SUM(Data!CY36:DE36)*2+Data!DF36)/('Useful Constants'!$B$1*1000000)*$K36/100</f>
        <v>1.1212392475758108E-2</v>
      </c>
      <c r="AG36" s="80">
        <f>(SUM(Data!CZ36:DF36)*2+Data!DG36)/('Useful Constants'!$B$1*1000000)*$K36/100</f>
        <v>9.1620570091947642E-3</v>
      </c>
      <c r="AH36" s="48">
        <f>Z36*'Useful Constants'!$B$3</f>
        <v>5.0826794295892546</v>
      </c>
      <c r="AI36" s="48">
        <f>AA36*'Useful Constants'!$B$3</f>
        <v>3.174252210040053</v>
      </c>
      <c r="AJ36" s="48">
        <f>AB36*'Useful Constants'!$B$3</f>
        <v>2.4478309967735696</v>
      </c>
      <c r="AK36" s="48">
        <f>AC36*'Useful Constants'!$B$3</f>
        <v>2.077672463067207</v>
      </c>
      <c r="AL36" s="48">
        <f>AD36*'Useful Constants'!$B$3</f>
        <v>1.7913078798197914</v>
      </c>
      <c r="AM36" s="48">
        <f>AE36*'Useful Constants'!$B$3</f>
        <v>1.3154791385070226</v>
      </c>
      <c r="AN36" s="48">
        <f>AF36*'Useful Constants'!$B$3</f>
        <v>0.94184096796368111</v>
      </c>
      <c r="AO36" s="48">
        <f>AG36*'Useful Constants'!$B$3</f>
        <v>0.76961278877236017</v>
      </c>
      <c r="AP36" s="10">
        <f>Z36*'Useful Constants'!$B$4</f>
        <v>1.6942264765297514</v>
      </c>
      <c r="AQ36" s="10">
        <f>AA36*'Useful Constants'!$B$4</f>
        <v>1.0580840700133509</v>
      </c>
      <c r="AR36" s="10">
        <f>AB36*'Useful Constants'!$B$4</f>
        <v>0.81594366559118991</v>
      </c>
      <c r="AS36" s="10">
        <f>AC36*'Useful Constants'!$B$4</f>
        <v>0.69255748768906911</v>
      </c>
      <c r="AT36" s="10">
        <f>AD36*'Useful Constants'!$B$4</f>
        <v>0.59710262660659719</v>
      </c>
      <c r="AU36" s="10">
        <f>AE36*'Useful Constants'!$B$4</f>
        <v>0.43849304616900753</v>
      </c>
      <c r="AV36" s="10">
        <f>AF36*'Useful Constants'!$B$4</f>
        <v>0.313946989321227</v>
      </c>
      <c r="AW36" s="10">
        <f>AG36*'Useful Constants'!$B$4</f>
        <v>0.25653759625745343</v>
      </c>
      <c r="AX36" s="48">
        <f>P36/1000000/'Useful Constants'!$B$1*K36/100*'Useful Constants'!$B$3*15</f>
        <v>31119.787551088535</v>
      </c>
      <c r="AY36" s="48">
        <f>P36/1000000/'Useful Constants'!$B$1*L36/100*'Useful Constants'!$B$3*15</f>
        <v>4322.1927154289633</v>
      </c>
      <c r="AZ36" s="48">
        <f>P36/1000000/'Useful Constants'!$B$1*K36/100*'Useful Constants'!$B$4*15</f>
        <v>10373.26251702951</v>
      </c>
      <c r="BA36" s="48">
        <f>P36/1000000/'Useful Constants'!$B$1*L36/100*'Useful Constants'!$B$4*15</f>
        <v>1440.7309051429877</v>
      </c>
      <c r="BB36" s="7">
        <f>Data!AN36</f>
        <v>6189.1550299999999</v>
      </c>
      <c r="BC36" s="7">
        <f>Data!AQ36</f>
        <v>6189.1550299999999</v>
      </c>
      <c r="BD36" s="7">
        <f>Data!AT36</f>
        <v>7494.6279299999997</v>
      </c>
      <c r="BE36" s="6">
        <f>Data!AO36</f>
        <v>29783186776.777699</v>
      </c>
      <c r="BF36" s="6">
        <f>Data!AP36</f>
        <v>9918311691.2294903</v>
      </c>
      <c r="BG36" s="6">
        <f>Data!AR36</f>
        <v>1878533483.1338799</v>
      </c>
      <c r="BH36" s="6">
        <f>Data!AS36</f>
        <v>1878533483.1338799</v>
      </c>
      <c r="BI36" s="8">
        <f t="shared" si="50"/>
        <v>0.94066862230753834</v>
      </c>
      <c r="BJ36" s="8">
        <f t="shared" si="51"/>
        <v>0.84075967300000976</v>
      </c>
      <c r="BK36" s="13">
        <f>BB36*'Useful Constants'!$B$5/'Useful Constants'!$B$6*'Useful Constants'!$B$7</f>
        <v>1.5838047721769999</v>
      </c>
      <c r="BL36" s="52">
        <f>1-VLOOKUP($G36,'Useful Constants'!$A$17:$X$23,10,FALSE)</f>
        <v>0</v>
      </c>
      <c r="BM36" s="52">
        <f>1-VLOOKUP($G36,'Useful Constants'!$A$17:$X$23,12,FALSE)</f>
        <v>0</v>
      </c>
      <c r="BN36" s="52">
        <f>1-VLOOKUP($G36,'Useful Constants'!$A$17:$X$23,14,FALSE)</f>
        <v>0</v>
      </c>
      <c r="BO36" s="52">
        <f>1-VLOOKUP($G36,'Useful Constants'!$A$17:$X$23,16,FALSE)</f>
        <v>0</v>
      </c>
      <c r="BP36" s="52">
        <f>1-VLOOKUP($G36,'Useful Constants'!$A$17:$X$23,18,FALSE)</f>
        <v>0</v>
      </c>
      <c r="BQ36" s="52">
        <f>1-VLOOKUP($G36,'Useful Constants'!$A$17:$X$23,20, FALSE)</f>
        <v>0</v>
      </c>
      <c r="BR36" s="52">
        <f>1-VLOOKUP($G36,'Useful Constants'!$A$17:$X$23,22, FALSE)</f>
        <v>0</v>
      </c>
      <c r="BS36" s="52">
        <f>1-VLOOKUP($G36,'Useful Constants'!$A$17:$X$23,24, FALSE)</f>
        <v>0</v>
      </c>
      <c r="BT36" s="13">
        <f t="shared" si="52"/>
        <v>0</v>
      </c>
      <c r="BU36" s="13">
        <f t="shared" si="53"/>
        <v>0</v>
      </c>
      <c r="BV36" s="13">
        <f t="shared" si="54"/>
        <v>0</v>
      </c>
      <c r="BW36" s="13">
        <f t="shared" si="55"/>
        <v>0</v>
      </c>
      <c r="BX36" s="13">
        <f t="shared" si="56"/>
        <v>0</v>
      </c>
      <c r="BY36" s="13">
        <f t="shared" si="57"/>
        <v>0</v>
      </c>
      <c r="BZ36" s="13">
        <f t="shared" si="58"/>
        <v>0</v>
      </c>
      <c r="CA36" s="13">
        <f t="shared" si="59"/>
        <v>0</v>
      </c>
      <c r="CB36" s="59">
        <f>+SUM(Data!BM36:BS36)*2+Data!BT36</f>
        <v>2098.1535454311511</v>
      </c>
      <c r="CC36" s="59">
        <f>+SUM(Data!BN36:BT36)*2+Data!BU36</f>
        <v>2398.9148333931876</v>
      </c>
      <c r="CD36" s="59">
        <f>+SUM(Data!BO36:BU36)*2+Data!BV36</f>
        <v>2378.122852886328</v>
      </c>
      <c r="CE36" s="59">
        <f>+SUM(Data!BP36:BV36)*2+Data!BW36</f>
        <v>2188.7671541092518</v>
      </c>
      <c r="CF36" s="59">
        <f>+SUM(Data!BQ36:BW36)*2+Data!BX36</f>
        <v>2254.9008503987329</v>
      </c>
      <c r="CG36" s="59">
        <f>+SUM(Data!BR36:BX36)*2+Data!BY36</f>
        <v>2474.9694234875233</v>
      </c>
      <c r="CH36" s="59">
        <f>+SUM(Data!BS36:BY36)*2+Data!BZ36</f>
        <v>2574.223527742025</v>
      </c>
      <c r="CI36" s="59">
        <f>+SUM(Data!BT36:BZ36)*2+Data!CA36</f>
        <v>2710.5672585509587</v>
      </c>
      <c r="CJ36" s="13">
        <f>+SUM(Data!AW36:BC36)*2+Data!BD36</f>
        <v>12145.957648694646</v>
      </c>
      <c r="CK36" s="13">
        <f>+SUM(Data!AX36:BD36)*2+Data!BE36</f>
        <v>13907.968491768806</v>
      </c>
      <c r="CL36" s="13">
        <f>+SUM(Data!AY36:BE36)*2+Data!BF36</f>
        <v>13822.923728746779</v>
      </c>
      <c r="CM36" s="13">
        <f>+SUM(Data!AZ36:BF36)*2+Data!BG36</f>
        <v>12781.224437452054</v>
      </c>
      <c r="CN36" s="13">
        <f>+SUM(Data!BA36:BG36)*2+Data!BH36</f>
        <v>13186.570799197971</v>
      </c>
      <c r="CO36" s="13">
        <f>+SUM(Data!BB36:BH36)*2+Data!BI36</f>
        <v>14483.875999356716</v>
      </c>
      <c r="CP36" s="13">
        <f>+SUM(Data!BC36:BI36)*2+Data!BJ36</f>
        <v>15073.298273773376</v>
      </c>
      <c r="CQ36" s="13">
        <f>+SUM(Data!BD36:BJ36)*2+Data!BK36</f>
        <v>15874.459166233262</v>
      </c>
      <c r="CR36" s="59">
        <f>+SUM(Data!CC36:CI36)*2+Data!CJ36</f>
        <v>2487.9662609289567</v>
      </c>
      <c r="CS36" s="59">
        <f>+SUM(Data!CD36:CJ36)*2+Data!CK36</f>
        <v>2840.0740715378292</v>
      </c>
      <c r="CT36" s="59">
        <f>+SUM(Data!CE36:CK36)*2+Data!CL36</f>
        <v>2826.9821516685852</v>
      </c>
      <c r="CU36" s="59">
        <f>+SUM(Data!CF36:CL36)*2+Data!CM36</f>
        <v>2612.884762462973</v>
      </c>
      <c r="CV36" s="59">
        <f>+SUM(Data!CG36:CM36)*2+Data!CN36</f>
        <v>2735.6801343222296</v>
      </c>
      <c r="CW36" s="59">
        <f>+SUM(Data!CH36:CN36)*2+Data!CO36</f>
        <v>3016.4366417832653</v>
      </c>
      <c r="CX36" s="59">
        <f>+SUM(Data!CI36:CO36)*2+Data!CP36</f>
        <v>3090.0392775691707</v>
      </c>
      <c r="CY36" s="59">
        <f>+SUM(Data!CJ36:CP36)*2+Data!CQ36</f>
        <v>3268.516995012465</v>
      </c>
      <c r="CZ36" s="60">
        <f t="shared" si="60"/>
        <v>16732.077455054754</v>
      </c>
      <c r="DA36" s="60">
        <f t="shared" si="61"/>
        <v>19146.957396699825</v>
      </c>
      <c r="DB36" s="60">
        <f t="shared" si="62"/>
        <v>19028.028733301693</v>
      </c>
      <c r="DC36" s="60">
        <f t="shared" si="63"/>
        <v>17582.87635402428</v>
      </c>
      <c r="DD36" s="60">
        <f t="shared" si="64"/>
        <v>18177.151783918933</v>
      </c>
      <c r="DE36" s="60">
        <f t="shared" si="65"/>
        <v>19975.282064627503</v>
      </c>
      <c r="DF36" s="60">
        <f t="shared" si="66"/>
        <v>20737.561079084575</v>
      </c>
      <c r="DG36" s="60">
        <f t="shared" si="67"/>
        <v>21853.543419796686</v>
      </c>
      <c r="DH36" s="13">
        <f t="shared" si="68"/>
        <v>0</v>
      </c>
      <c r="DI36" s="13">
        <f t="shared" si="69"/>
        <v>0</v>
      </c>
      <c r="DJ36" s="13">
        <f t="shared" si="70"/>
        <v>0</v>
      </c>
      <c r="DK36" s="13">
        <f t="shared" si="71"/>
        <v>0</v>
      </c>
      <c r="DL36" s="13">
        <f t="shared" si="72"/>
        <v>0</v>
      </c>
      <c r="DM36" s="13">
        <f t="shared" si="73"/>
        <v>0</v>
      </c>
      <c r="DN36" s="13">
        <f t="shared" si="74"/>
        <v>0</v>
      </c>
      <c r="DO36" s="13">
        <f t="shared" si="75"/>
        <v>0</v>
      </c>
      <c r="DP36" s="50">
        <f>DH36*'Useful Constants'!$B$8</f>
        <v>0</v>
      </c>
      <c r="DQ36" s="50">
        <f>DI36*'Useful Constants'!$B$8</f>
        <v>0</v>
      </c>
      <c r="DR36" s="50">
        <f>DJ36*'Useful Constants'!$B$10</f>
        <v>0</v>
      </c>
      <c r="DS36" s="50">
        <f>DK36*'Useful Constants'!$B$10</f>
        <v>0</v>
      </c>
      <c r="DT36" s="50">
        <f>DL36*'Useful Constants'!$B$10</f>
        <v>0</v>
      </c>
      <c r="DU36" s="50">
        <f>DM36*'Useful Constants'!$B$10</f>
        <v>0</v>
      </c>
      <c r="DV36" s="50">
        <f>DN36*'Useful Constants'!$B$10</f>
        <v>0</v>
      </c>
      <c r="DW36" s="50">
        <f>DO36*'Useful Constants'!$B$10</f>
        <v>0</v>
      </c>
      <c r="DX36" s="14">
        <f>DH36*'Useful Constants'!$B$9</f>
        <v>0</v>
      </c>
      <c r="DY36" s="14">
        <f>DI36*'Useful Constants'!$B$9</f>
        <v>0</v>
      </c>
      <c r="DZ36" s="14">
        <f>DJ36*'Useful Constants'!$B$11</f>
        <v>0</v>
      </c>
      <c r="EA36" s="14">
        <f>DK36*'Useful Constants'!$B$11</f>
        <v>0</v>
      </c>
      <c r="EB36" s="14">
        <f>DL36*'Useful Constants'!$B$11</f>
        <v>0</v>
      </c>
      <c r="EC36" s="14">
        <f>DM36*'Useful Constants'!$B$11</f>
        <v>0</v>
      </c>
      <c r="ED36" s="14">
        <f>DN36*'Useful Constants'!$B$11</f>
        <v>0</v>
      </c>
      <c r="EE36" s="14">
        <f>DO36*'Useful Constants'!$B$11</f>
        <v>0</v>
      </c>
      <c r="EF36" s="78">
        <f>(SUM(Data!DI36:DO36)*2+Data!DP36)/('Useful Constants'!$B$1*1000000)*$K36/100</f>
        <v>2.3198396794226386</v>
      </c>
      <c r="EG36" s="78">
        <f>(SUM(Data!DJ36:DP36)*2+Data!DQ36)/('Useful Constants'!$B$1*1000000)*$K36/100</f>
        <v>1.4467652799990838</v>
      </c>
      <c r="EH36" s="78">
        <f>(SUM(Data!DK36:DQ36)*2+Data!DR36)/('Useful Constants'!$B$1*1000000)*$K36/100</f>
        <v>1.1153684782197315</v>
      </c>
      <c r="EI36" s="78">
        <f>(SUM(Data!DL36:DR36)*2+Data!DS36)/('Useful Constants'!$B$1*1000000)*$K36/100</f>
        <v>0.95353134331883704</v>
      </c>
      <c r="EJ36" s="78">
        <f>(SUM(Data!DM36:DS36)*2+Data!DT36)/('Useful Constants'!$B$1*1000000)*$K36/100</f>
        <v>0.83256600470102848</v>
      </c>
      <c r="EK36" s="78">
        <f>(SUM(Data!DN36:DT36)*2+Data!DU36)/('Useful Constants'!$B$1*1000000)*$K36/100</f>
        <v>0.61758604137726936</v>
      </c>
      <c r="EL36" s="78">
        <f>(SUM(Data!DO36:DU36)*2+Data!DV36)/('Useful Constants'!$B$1*1000000)*$K36/100</f>
        <v>0.43680170971509769</v>
      </c>
      <c r="EM36" s="78">
        <f>(SUM(Data!DP36:DV36)*2+Data!DW36)/('Useful Constants'!$B$1*1000000)*$K36/100</f>
        <v>0.35596085064835281</v>
      </c>
      <c r="EN36" s="79">
        <f>EF36*'Useful Constants'!$B$3</f>
        <v>194.86653307150164</v>
      </c>
      <c r="EO36" s="79">
        <f>EG36*'Useful Constants'!$B$3</f>
        <v>121.52828351992304</v>
      </c>
      <c r="EP36" s="79">
        <f>EH36*'Useful Constants'!$B$3</f>
        <v>93.69095217045745</v>
      </c>
      <c r="EQ36" s="79">
        <f>EI36*'Useful Constants'!$B$3</f>
        <v>80.096632838782313</v>
      </c>
      <c r="ER36" s="79">
        <f>EJ36*'Useful Constants'!$B$3</f>
        <v>69.935544394886392</v>
      </c>
      <c r="ES36" s="79">
        <f>EK36*'Useful Constants'!$B$3</f>
        <v>51.877227475690624</v>
      </c>
      <c r="ET36" s="79">
        <f>EL36*'Useful Constants'!$B$3</f>
        <v>36.691343616068202</v>
      </c>
      <c r="EU36" s="79">
        <f>EM36*'Useful Constants'!$B$3</f>
        <v>29.900711454461636</v>
      </c>
      <c r="EV36" s="78">
        <f>EF36*'Useful Constants'!$B$4</f>
        <v>64.955511023833878</v>
      </c>
      <c r="EW36" s="78">
        <f>EG36*'Useful Constants'!$B$4</f>
        <v>40.509427839974343</v>
      </c>
      <c r="EX36" s="78">
        <f>EH36*'Useful Constants'!$B$4</f>
        <v>31.230317390152482</v>
      </c>
      <c r="EY36" s="78">
        <f>EI36*'Useful Constants'!$B$4</f>
        <v>26.698877612927436</v>
      </c>
      <c r="EZ36" s="78">
        <f>EJ36*'Useful Constants'!$B$4</f>
        <v>23.311848131628796</v>
      </c>
      <c r="FA36" s="78">
        <f>EK36*'Useful Constants'!$B$4</f>
        <v>17.292409158563544</v>
      </c>
      <c r="FB36" s="78">
        <f>EL36*'Useful Constants'!$B$4</f>
        <v>12.230447872022735</v>
      </c>
      <c r="FC36" s="78">
        <f>EM36*'Useful Constants'!$B$4</f>
        <v>9.9669038181538792</v>
      </c>
      <c r="FD36" s="40">
        <f t="shared" si="76"/>
        <v>0.3641154275640256</v>
      </c>
      <c r="FE36" s="40">
        <f t="shared" si="77"/>
        <v>0.27404812383967536</v>
      </c>
      <c r="FF36" s="40">
        <f t="shared" si="78"/>
        <v>0.27843792678442492</v>
      </c>
      <c r="FG36" s="40">
        <f t="shared" si="79"/>
        <v>0.33226865935889238</v>
      </c>
      <c r="FH36" s="40">
        <f t="shared" si="80"/>
        <v>0.3100616104292655</v>
      </c>
      <c r="FI36" s="40">
        <f t="shared" si="81"/>
        <v>0.24311458296484525</v>
      </c>
      <c r="FJ36" s="40">
        <f t="shared" si="82"/>
        <v>0.21484895700470336</v>
      </c>
      <c r="FK36" s="40">
        <f t="shared" si="83"/>
        <v>0.17346843070654355</v>
      </c>
      <c r="FL36" s="4">
        <f t="shared" si="84"/>
        <v>0.72592443964441256</v>
      </c>
      <c r="FM36" s="4">
        <f t="shared" si="85"/>
        <v>0.68831369235579021</v>
      </c>
      <c r="FN36" s="4">
        <f t="shared" si="86"/>
        <v>0.69066230994051714</v>
      </c>
      <c r="FO36" s="4">
        <f t="shared" si="87"/>
        <v>0.71408181787468339</v>
      </c>
      <c r="FP36" s="4">
        <f t="shared" si="88"/>
        <v>0.70469105331733006</v>
      </c>
      <c r="FQ36" s="4">
        <f t="shared" si="89"/>
        <v>0.67611788028303044</v>
      </c>
      <c r="FR36" s="4">
        <f t="shared" si="90"/>
        <v>0.66414657377668473</v>
      </c>
      <c r="FS36" s="4">
        <f t="shared" si="91"/>
        <v>0.64637280460143609</v>
      </c>
      <c r="FT36" s="38">
        <f t="shared" si="92"/>
        <v>0.55946554554433592</v>
      </c>
      <c r="FU36" s="38">
        <f t="shared" si="93"/>
        <v>0.4975790233582334</v>
      </c>
      <c r="FV36" s="38">
        <f t="shared" si="94"/>
        <v>0.50087594576207939</v>
      </c>
      <c r="FW36" s="38">
        <f t="shared" si="95"/>
        <v>0.53837524783962154</v>
      </c>
      <c r="FX36" s="38">
        <f t="shared" si="96"/>
        <v>0.52305666117926097</v>
      </c>
      <c r="FY36" s="38">
        <f t="shared" si="97"/>
        <v>0.47671435947359092</v>
      </c>
      <c r="FZ36" s="38">
        <f t="shared" si="98"/>
        <v>0.45718830679921474</v>
      </c>
      <c r="GA36" s="38">
        <f t="shared" si="99"/>
        <v>0.42846934256042629</v>
      </c>
    </row>
    <row r="37" spans="1:183" x14ac:dyDescent="0.25">
      <c r="A37" s="1" t="str">
        <f>Data!A37</f>
        <v>KY_LOUISVILLE-BOWMAN-FIELD_724235_TY3A</v>
      </c>
      <c r="B37" s="1" t="str">
        <f>TY3A_REP_CITIES!B37</f>
        <v>Louisville</v>
      </c>
      <c r="C37" s="1" t="str">
        <f>TY3A_REP_CITIES!C37</f>
        <v>Jefferson</v>
      </c>
      <c r="D37" s="2" t="str">
        <f>TY3A_REP_CITIES!A37</f>
        <v>KY</v>
      </c>
      <c r="E37" s="42">
        <f>TY3A_REP_CITIES!E37</f>
        <v>766757</v>
      </c>
      <c r="F37" s="2">
        <f>TY3A_REP_CITIES!G37</f>
        <v>4</v>
      </c>
      <c r="G37" s="2" t="str">
        <f>TY3A_REP_CITIES!H37</f>
        <v>Mixed-Humid</v>
      </c>
      <c r="H37" s="2" t="str">
        <f>TY3A_REP_CITIES!I37</f>
        <v>Southeast</v>
      </c>
      <c r="I37" s="2">
        <f>Data!B37</f>
        <v>38.229999999999997</v>
      </c>
      <c r="J37" s="2">
        <f>Data!C37</f>
        <v>-85.67</v>
      </c>
      <c r="K37" s="2">
        <f>VLOOKUP(D37,Table1[],2,FALSE)</f>
        <v>1.2</v>
      </c>
      <c r="L37" s="2">
        <v>0.5</v>
      </c>
      <c r="M37" s="10">
        <f>Data!N37</f>
        <v>5310.7309599999999</v>
      </c>
      <c r="N37" s="10">
        <f>Data!Q37</f>
        <v>29308</v>
      </c>
      <c r="O37" s="10">
        <f>Data!O37</f>
        <v>25155390664.723</v>
      </c>
      <c r="P37" s="10">
        <f>Data!P37</f>
        <v>26203531942.419754</v>
      </c>
      <c r="Q37" s="10">
        <f>Data!S37*15</f>
        <v>19770.931134136001</v>
      </c>
      <c r="R37" s="48">
        <f>SUM(Data!U37:AA37)*2+Data!AB37</f>
        <v>379.90836235801544</v>
      </c>
      <c r="S37" s="48">
        <f>SUM(Data!V37:AB37)*2+Data!AC37</f>
        <v>375.29447831351933</v>
      </c>
      <c r="T37" s="48">
        <f>SUM(Data!W37:AC37)*2+Data!AD37</f>
        <v>327.40649174847488</v>
      </c>
      <c r="U37" s="48">
        <f>SUM(Data!X37:AD37)*2+Data!AE37</f>
        <v>292.95331405991408</v>
      </c>
      <c r="V37" s="48">
        <f>SUM(Data!Y37:AE37)*2+Data!AF37</f>
        <v>281.26161871808648</v>
      </c>
      <c r="W37" s="48">
        <f>SUM(Data!Z37:AF37)*2+Data!AG37</f>
        <v>305.57508618370861</v>
      </c>
      <c r="X37" s="48">
        <f>SUM(Data!AA37:AG37)*2+Data!AH37</f>
        <v>302.4683691427079</v>
      </c>
      <c r="Y37" s="48">
        <f>SUM(Data!AB37:AH37)*2+Data!AI37</f>
        <v>300.37129271683432</v>
      </c>
      <c r="Z37" s="80">
        <f>(SUM(Data!CS37:CY37)*2+Data!CZ37)/('Useful Constants'!$B$1*1000000)*$K37/100</f>
        <v>0.43192530078003261</v>
      </c>
      <c r="AA37" s="80">
        <f>(SUM(Data!CT37:CZ37)*2+Data!DA37)/('Useful Constants'!$B$1*1000000)*$K37/100</f>
        <v>0.43081551034430154</v>
      </c>
      <c r="AB37" s="80">
        <f>(SUM(Data!CU37:DA37)*2+Data!DB37)/('Useful Constants'!$B$1*1000000)*$K37/100</f>
        <v>0.39616913490687422</v>
      </c>
      <c r="AC37" s="80">
        <f>(SUM(Data!CV37:DB37)*2+Data!DC37)/('Useful Constants'!$B$1*1000000)*$K37/100</f>
        <v>0.36130655560714836</v>
      </c>
      <c r="AD37" s="80">
        <f>(SUM(Data!CW37:DC37)*2+Data!DD37)/('Useful Constants'!$B$1*1000000)*$K37/100</f>
        <v>0.32652867772439464</v>
      </c>
      <c r="AE37" s="80">
        <f>(SUM(Data!CX37:DD37)*2+Data!DE37)/('Useful Constants'!$B$1*1000000)*$K37/100</f>
        <v>0.3030817660084964</v>
      </c>
      <c r="AF37" s="80">
        <f>(SUM(Data!CY37:DE37)*2+Data!DF37)/('Useful Constants'!$B$1*1000000)*$K37/100</f>
        <v>0.29469927199609408</v>
      </c>
      <c r="AG37" s="80">
        <f>(SUM(Data!CZ37:DF37)*2+Data!DG37)/('Useful Constants'!$B$1*1000000)*$K37/100</f>
        <v>0.2845952027775755</v>
      </c>
      <c r="AH37" s="48">
        <f>Z37*'Useful Constants'!$B$3</f>
        <v>36.281725265522738</v>
      </c>
      <c r="AI37" s="48">
        <f>AA37*'Useful Constants'!$B$3</f>
        <v>36.188502868921333</v>
      </c>
      <c r="AJ37" s="48">
        <f>AB37*'Useful Constants'!$B$3</f>
        <v>33.278207332177438</v>
      </c>
      <c r="AK37" s="48">
        <f>AC37*'Useful Constants'!$B$3</f>
        <v>30.349750671000461</v>
      </c>
      <c r="AL37" s="48">
        <f>AD37*'Useful Constants'!$B$3</f>
        <v>27.428408928849151</v>
      </c>
      <c r="AM37" s="48">
        <f>AE37*'Useful Constants'!$B$3</f>
        <v>25.458868344713697</v>
      </c>
      <c r="AN37" s="48">
        <f>AF37*'Useful Constants'!$B$3</f>
        <v>24.754738847671902</v>
      </c>
      <c r="AO37" s="48">
        <f>AG37*'Useful Constants'!$B$3</f>
        <v>23.905997033316343</v>
      </c>
      <c r="AP37" s="10">
        <f>Z37*'Useful Constants'!$B$4</f>
        <v>12.093908421840913</v>
      </c>
      <c r="AQ37" s="10">
        <f>AA37*'Useful Constants'!$B$4</f>
        <v>12.062834289640444</v>
      </c>
      <c r="AR37" s="10">
        <f>AB37*'Useful Constants'!$B$4</f>
        <v>11.092735777392479</v>
      </c>
      <c r="AS37" s="10">
        <f>AC37*'Useful Constants'!$B$4</f>
        <v>10.116583557000155</v>
      </c>
      <c r="AT37" s="10">
        <f>AD37*'Useful Constants'!$B$4</f>
        <v>9.1428029762830505</v>
      </c>
      <c r="AU37" s="10">
        <f>AE37*'Useful Constants'!$B$4</f>
        <v>8.4862894482378994</v>
      </c>
      <c r="AV37" s="10">
        <f>AF37*'Useful Constants'!$B$4</f>
        <v>8.251579615890634</v>
      </c>
      <c r="AW37" s="10">
        <f>AG37*'Useful Constants'!$B$4</f>
        <v>7.9686656777721137</v>
      </c>
      <c r="AX37" s="48">
        <f>P37/1000000/'Useful Constants'!$B$1*K37/100*'Useful Constants'!$B$3*15</f>
        <v>7923.9480593877324</v>
      </c>
      <c r="AY37" s="48">
        <f>P37/1000000/'Useful Constants'!$B$1*L37/100*'Useful Constants'!$B$3*15</f>
        <v>3301.6450247448893</v>
      </c>
      <c r="AZ37" s="48">
        <f>P37/1000000/'Useful Constants'!$B$1*K37/100*'Useful Constants'!$B$4*15</f>
        <v>2641.316019795911</v>
      </c>
      <c r="BA37" s="48">
        <f>P37/1000000/'Useful Constants'!$B$1*L37/100*'Useful Constants'!$B$4*15</f>
        <v>1100.5483415816298</v>
      </c>
      <c r="BB37" s="7">
        <f>Data!AN37</f>
        <v>5310.7309599999999</v>
      </c>
      <c r="BC37" s="7">
        <f>Data!AQ37</f>
        <v>5310.7309599999999</v>
      </c>
      <c r="BD37" s="7">
        <f>Data!AT37</f>
        <v>6989.3530799999999</v>
      </c>
      <c r="BE37" s="6">
        <f>Data!AO37</f>
        <v>22804372081.578899</v>
      </c>
      <c r="BF37" s="6">
        <f>Data!AP37</f>
        <v>7287868281.5655298</v>
      </c>
      <c r="BG37" s="6">
        <f>Data!AR37</f>
        <v>1355575541.2395</v>
      </c>
      <c r="BH37" s="6">
        <f>Data!AS37</f>
        <v>1355575541.2395</v>
      </c>
      <c r="BI37" s="8">
        <f t="shared" si="50"/>
        <v>0.94389161920371079</v>
      </c>
      <c r="BJ37" s="8">
        <f t="shared" si="51"/>
        <v>0.84316719480921198</v>
      </c>
      <c r="BK37" s="13">
        <f>BB37*'Useful Constants'!$B$5/'Useful Constants'!$B$6*'Useful Constants'!$B$7</f>
        <v>1.3590160526639998</v>
      </c>
      <c r="BL37" s="52">
        <f>1-VLOOKUP($G37,'Useful Constants'!$A$17:$X$23,10,FALSE)</f>
        <v>0</v>
      </c>
      <c r="BM37" s="52">
        <f>1-VLOOKUP($G37,'Useful Constants'!$A$17:$X$23,12,FALSE)</f>
        <v>0</v>
      </c>
      <c r="BN37" s="52">
        <f>1-VLOOKUP($G37,'Useful Constants'!$A$17:$X$23,14,FALSE)</f>
        <v>0</v>
      </c>
      <c r="BO37" s="52">
        <f>1-VLOOKUP($G37,'Useful Constants'!$A$17:$X$23,16,FALSE)</f>
        <v>0</v>
      </c>
      <c r="BP37" s="52">
        <f>1-VLOOKUP($G37,'Useful Constants'!$A$17:$X$23,18,FALSE)</f>
        <v>0</v>
      </c>
      <c r="BQ37" s="52">
        <f>1-VLOOKUP($G37,'Useful Constants'!$A$17:$X$23,20, FALSE)</f>
        <v>0</v>
      </c>
      <c r="BR37" s="52">
        <f>1-VLOOKUP($G37,'Useful Constants'!$A$17:$X$23,22, FALSE)</f>
        <v>0</v>
      </c>
      <c r="BS37" s="52">
        <f>1-VLOOKUP($G37,'Useful Constants'!$A$17:$X$23,24, FALSE)</f>
        <v>0</v>
      </c>
      <c r="BT37" s="13">
        <f t="shared" si="52"/>
        <v>0</v>
      </c>
      <c r="BU37" s="13">
        <f t="shared" si="53"/>
        <v>0</v>
      </c>
      <c r="BV37" s="13">
        <f t="shared" si="54"/>
        <v>0</v>
      </c>
      <c r="BW37" s="13">
        <f t="shared" si="55"/>
        <v>0</v>
      </c>
      <c r="BX37" s="13">
        <f t="shared" si="56"/>
        <v>0</v>
      </c>
      <c r="BY37" s="13">
        <f t="shared" si="57"/>
        <v>0</v>
      </c>
      <c r="BZ37" s="13">
        <f t="shared" si="58"/>
        <v>0</v>
      </c>
      <c r="CA37" s="13">
        <f t="shared" si="59"/>
        <v>0</v>
      </c>
      <c r="CB37" s="59">
        <f>+SUM(Data!BM37:BS37)*2+Data!BT37</f>
        <v>2157.1568867635451</v>
      </c>
      <c r="CC37" s="59">
        <f>+SUM(Data!BN37:BT37)*2+Data!BU37</f>
        <v>2131.3027168551957</v>
      </c>
      <c r="CD37" s="59">
        <f>+SUM(Data!BO37:BU37)*2+Data!BV37</f>
        <v>1858.3436631721322</v>
      </c>
      <c r="CE37" s="59">
        <f>+SUM(Data!BP37:BV37)*2+Data!BW37</f>
        <v>1661.65358675472</v>
      </c>
      <c r="CF37" s="59">
        <f>+SUM(Data!BQ37:BW37)*2+Data!BX37</f>
        <v>1596.0492754627669</v>
      </c>
      <c r="CG37" s="59">
        <f>+SUM(Data!BR37:BX37)*2+Data!BY37</f>
        <v>1734.3481081460404</v>
      </c>
      <c r="CH37" s="59">
        <f>+SUM(Data!BS37:BY37)*2+Data!BZ37</f>
        <v>1717.9018723433271</v>
      </c>
      <c r="CI37" s="59">
        <f>+SUM(Data!BT37:BZ37)*2+Data!CA37</f>
        <v>1706.8626580959367</v>
      </c>
      <c r="CJ37" s="13">
        <f>+SUM(Data!AW37:BC37)*2+Data!BD37</f>
        <v>12184.8544474747</v>
      </c>
      <c r="CK37" s="13">
        <f>+SUM(Data!AX37:BD37)*2+Data!BE37</f>
        <v>12040.944719552102</v>
      </c>
      <c r="CL37" s="13">
        <f>+SUM(Data!AY37:BE37)*2+Data!BF37</f>
        <v>10525.121286134183</v>
      </c>
      <c r="CM37" s="13">
        <f>+SUM(Data!AZ37:BF37)*2+Data!BG37</f>
        <v>9438.2626400096688</v>
      </c>
      <c r="CN37" s="13">
        <f>+SUM(Data!BA37:BG37)*2+Data!BH37</f>
        <v>9063.9981255177863</v>
      </c>
      <c r="CO37" s="13">
        <f>+SUM(Data!BB37:BH37)*2+Data!BI37</f>
        <v>9851.2306616091246</v>
      </c>
      <c r="CP37" s="13">
        <f>+SUM(Data!BC37:BI37)*2+Data!BJ37</f>
        <v>9735.4004231966828</v>
      </c>
      <c r="CQ37" s="13">
        <f>+SUM(Data!BD37:BJ37)*2+Data!BK37</f>
        <v>9657.7517421159228</v>
      </c>
      <c r="CR37" s="59">
        <f>+SUM(Data!CC37:CI37)*2+Data!CJ37</f>
        <v>2356.6710062623888</v>
      </c>
      <c r="CS37" s="59">
        <f>+SUM(Data!CD37:CJ37)*2+Data!CK37</f>
        <v>2331.1460005098329</v>
      </c>
      <c r="CT37" s="59">
        <f>+SUM(Data!CE37:CK37)*2+Data!CL37</f>
        <v>2075.4733555716398</v>
      </c>
      <c r="CU37" s="59">
        <f>+SUM(Data!CF37:CL37)*2+Data!CM37</f>
        <v>1892.8533064957919</v>
      </c>
      <c r="CV37" s="59">
        <f>+SUM(Data!CG37:CM37)*2+Data!CN37</f>
        <v>1807.5709257562119</v>
      </c>
      <c r="CW37" s="59">
        <f>+SUM(Data!CH37:CN37)*2+Data!CO37</f>
        <v>1959.2370990602035</v>
      </c>
      <c r="CX37" s="59">
        <f>+SUM(Data!CI37:CO37)*2+Data!CP37</f>
        <v>1923.0675574136858</v>
      </c>
      <c r="CY37" s="59">
        <f>+SUM(Data!CJ37:CP37)*2+Data!CQ37</f>
        <v>1904.9089132084284</v>
      </c>
      <c r="CZ37" s="60">
        <f t="shared" si="60"/>
        <v>16698.682340500633</v>
      </c>
      <c r="DA37" s="60">
        <f t="shared" si="61"/>
        <v>16503.393436917133</v>
      </c>
      <c r="DB37" s="60">
        <f t="shared" si="62"/>
        <v>14458.938304877955</v>
      </c>
      <c r="DC37" s="60">
        <f t="shared" si="63"/>
        <v>12992.76953326018</v>
      </c>
      <c r="DD37" s="60">
        <f t="shared" si="64"/>
        <v>12467.618326736765</v>
      </c>
      <c r="DE37" s="60">
        <f t="shared" si="65"/>
        <v>13544.815868815367</v>
      </c>
      <c r="DF37" s="60">
        <f t="shared" si="66"/>
        <v>13376.369852953696</v>
      </c>
      <c r="DG37" s="60">
        <f t="shared" si="67"/>
        <v>13269.523313420288</v>
      </c>
      <c r="DH37" s="13">
        <f t="shared" si="68"/>
        <v>0</v>
      </c>
      <c r="DI37" s="13">
        <f t="shared" si="69"/>
        <v>0</v>
      </c>
      <c r="DJ37" s="13">
        <f t="shared" si="70"/>
        <v>0</v>
      </c>
      <c r="DK37" s="13">
        <f t="shared" si="71"/>
        <v>0</v>
      </c>
      <c r="DL37" s="13">
        <f t="shared" si="72"/>
        <v>0</v>
      </c>
      <c r="DM37" s="13">
        <f t="shared" si="73"/>
        <v>0</v>
      </c>
      <c r="DN37" s="13">
        <f t="shared" si="74"/>
        <v>0</v>
      </c>
      <c r="DO37" s="13">
        <f t="shared" si="75"/>
        <v>0</v>
      </c>
      <c r="DP37" s="50">
        <f>DH37*'Useful Constants'!$B$8</f>
        <v>0</v>
      </c>
      <c r="DQ37" s="50">
        <f>DI37*'Useful Constants'!$B$8</f>
        <v>0</v>
      </c>
      <c r="DR37" s="50">
        <f>DJ37*'Useful Constants'!$B$10</f>
        <v>0</v>
      </c>
      <c r="DS37" s="50">
        <f>DK37*'Useful Constants'!$B$10</f>
        <v>0</v>
      </c>
      <c r="DT37" s="50">
        <f>DL37*'Useful Constants'!$B$10</f>
        <v>0</v>
      </c>
      <c r="DU37" s="50">
        <f>DM37*'Useful Constants'!$B$10</f>
        <v>0</v>
      </c>
      <c r="DV37" s="50">
        <f>DN37*'Useful Constants'!$B$10</f>
        <v>0</v>
      </c>
      <c r="DW37" s="50">
        <f>DO37*'Useful Constants'!$B$10</f>
        <v>0</v>
      </c>
      <c r="DX37" s="14">
        <f>DH37*'Useful Constants'!$B$9</f>
        <v>0</v>
      </c>
      <c r="DY37" s="14">
        <f>DI37*'Useful Constants'!$B$9</f>
        <v>0</v>
      </c>
      <c r="DZ37" s="14">
        <f>DJ37*'Useful Constants'!$B$11</f>
        <v>0</v>
      </c>
      <c r="EA37" s="14">
        <f>DK37*'Useful Constants'!$B$11</f>
        <v>0</v>
      </c>
      <c r="EB37" s="14">
        <f>DL37*'Useful Constants'!$B$11</f>
        <v>0</v>
      </c>
      <c r="EC37" s="14">
        <f>DM37*'Useful Constants'!$B$11</f>
        <v>0</v>
      </c>
      <c r="ED37" s="14">
        <f>DN37*'Useful Constants'!$B$11</f>
        <v>0</v>
      </c>
      <c r="EE37" s="14">
        <f>DO37*'Useful Constants'!$B$11</f>
        <v>0</v>
      </c>
      <c r="EF37" s="78">
        <f>(SUM(Data!DI37:DO37)*2+Data!DP37)/('Useful Constants'!$B$1*1000000)*$K37/100</f>
        <v>18.781952253912841</v>
      </c>
      <c r="EG37" s="78">
        <f>(SUM(Data!DJ37:DP37)*2+Data!DQ37)/('Useful Constants'!$B$1*1000000)*$K37/100</f>
        <v>18.760325827980576</v>
      </c>
      <c r="EH37" s="78">
        <f>(SUM(Data!DK37:DQ37)*2+Data!DR37)/('Useful Constants'!$B$1*1000000)*$K37/100</f>
        <v>17.28861166157613</v>
      </c>
      <c r="EI37" s="78">
        <f>(SUM(Data!DL37:DR37)*2+Data!DS37)/('Useful Constants'!$B$1*1000000)*$K37/100</f>
        <v>15.804450657697577</v>
      </c>
      <c r="EJ37" s="78">
        <f>(SUM(Data!DM37:DS37)*2+Data!DT37)/('Useful Constants'!$B$1*1000000)*$K37/100</f>
        <v>14.319674978166583</v>
      </c>
      <c r="EK37" s="78">
        <f>(SUM(Data!DN37:DT37)*2+Data!DU37)/('Useful Constants'!$B$1*1000000)*$K37/100</f>
        <v>13.30026524186732</v>
      </c>
      <c r="EL37" s="78">
        <f>(SUM(Data!DO37:DU37)*2+Data!DV37)/('Useful Constants'!$B$1*1000000)*$K37/100</f>
        <v>12.946177694371201</v>
      </c>
      <c r="EM37" s="78">
        <f>(SUM(Data!DP37:DV37)*2+Data!DW37)/('Useful Constants'!$B$1*1000000)*$K37/100</f>
        <v>12.497847570825865</v>
      </c>
      <c r="EN37" s="79">
        <f>EF37*'Useful Constants'!$B$3</f>
        <v>1577.6839893286788</v>
      </c>
      <c r="EO37" s="79">
        <f>EG37*'Useful Constants'!$B$3</f>
        <v>1575.8673695503685</v>
      </c>
      <c r="EP37" s="79">
        <f>EH37*'Useful Constants'!$B$3</f>
        <v>1452.243379572395</v>
      </c>
      <c r="EQ37" s="79">
        <f>EI37*'Useful Constants'!$B$3</f>
        <v>1327.5738552465964</v>
      </c>
      <c r="ER37" s="79">
        <f>EJ37*'Useful Constants'!$B$3</f>
        <v>1202.8526981659929</v>
      </c>
      <c r="ES37" s="79">
        <f>EK37*'Useful Constants'!$B$3</f>
        <v>1117.2222803168549</v>
      </c>
      <c r="ET37" s="79">
        <f>EL37*'Useful Constants'!$B$3</f>
        <v>1087.4789263271809</v>
      </c>
      <c r="EU37" s="79">
        <f>EM37*'Useful Constants'!$B$3</f>
        <v>1049.8191959493727</v>
      </c>
      <c r="EV37" s="78">
        <f>EF37*'Useful Constants'!$B$4</f>
        <v>525.89466310955959</v>
      </c>
      <c r="EW37" s="78">
        <f>EG37*'Useful Constants'!$B$4</f>
        <v>525.28912318345613</v>
      </c>
      <c r="EX37" s="78">
        <f>EH37*'Useful Constants'!$B$4</f>
        <v>484.08112652413166</v>
      </c>
      <c r="EY37" s="78">
        <f>EI37*'Useful Constants'!$B$4</f>
        <v>442.52461841553219</v>
      </c>
      <c r="EZ37" s="78">
        <f>EJ37*'Useful Constants'!$B$4</f>
        <v>400.95089938866431</v>
      </c>
      <c r="FA37" s="78">
        <f>EK37*'Useful Constants'!$B$4</f>
        <v>372.40742677228496</v>
      </c>
      <c r="FB37" s="78">
        <f>EL37*'Useful Constants'!$B$4</f>
        <v>362.49297544239363</v>
      </c>
      <c r="FC37" s="78">
        <f>EM37*'Useful Constants'!$B$4</f>
        <v>349.9397319831242</v>
      </c>
      <c r="FD37" s="40">
        <f t="shared" si="76"/>
        <v>0.17131579836135433</v>
      </c>
      <c r="FE37" s="40">
        <f t="shared" si="77"/>
        <v>0.18081958604103349</v>
      </c>
      <c r="FF37" s="40">
        <f t="shared" si="78"/>
        <v>0.28059033667260064</v>
      </c>
      <c r="FG37" s="40">
        <f t="shared" si="79"/>
        <v>0.35243000592397988</v>
      </c>
      <c r="FH37" s="40">
        <f t="shared" si="80"/>
        <v>0.37824164766408341</v>
      </c>
      <c r="FI37" s="40">
        <f t="shared" si="81"/>
        <v>0.3253399909239949</v>
      </c>
      <c r="FJ37" s="40">
        <f t="shared" si="82"/>
        <v>0.33362707942076014</v>
      </c>
      <c r="FK37" s="40">
        <f t="shared" si="83"/>
        <v>0.33888080448295355</v>
      </c>
      <c r="FL37" s="4">
        <f t="shared" si="84"/>
        <v>0.41818570175576425</v>
      </c>
      <c r="FM37" s="4">
        <f t="shared" si="85"/>
        <v>0.42437415109916682</v>
      </c>
      <c r="FN37" s="4">
        <f t="shared" si="86"/>
        <v>0.49258297425677344</v>
      </c>
      <c r="FO37" s="4">
        <f t="shared" si="87"/>
        <v>0.54277067816782354</v>
      </c>
      <c r="FP37" s="4">
        <f t="shared" si="88"/>
        <v>0.56331648403631784</v>
      </c>
      <c r="FQ37" s="4">
        <f t="shared" si="89"/>
        <v>0.53197634912178215</v>
      </c>
      <c r="FR37" s="4">
        <f t="shared" si="90"/>
        <v>0.53824653772648423</v>
      </c>
      <c r="FS37" s="4">
        <f t="shared" si="91"/>
        <v>0.54281685589356288</v>
      </c>
      <c r="FT37" s="38">
        <f t="shared" si="92"/>
        <v>0.27945104694014816</v>
      </c>
      <c r="FU37" s="38">
        <f t="shared" si="93"/>
        <v>0.28750737717804487</v>
      </c>
      <c r="FV37" s="38">
        <f t="shared" si="94"/>
        <v>0.37349231541012656</v>
      </c>
      <c r="FW37" s="38">
        <f t="shared" si="95"/>
        <v>0.43586790024640282</v>
      </c>
      <c r="FX37" s="38">
        <f t="shared" si="96"/>
        <v>0.45937650102151062</v>
      </c>
      <c r="FY37" s="38">
        <f t="shared" si="97"/>
        <v>0.41590183838131339</v>
      </c>
      <c r="FZ37" s="38">
        <f t="shared" si="98"/>
        <v>0.42330665427887948</v>
      </c>
      <c r="GA37" s="38">
        <f t="shared" si="99"/>
        <v>0.42826138276423037</v>
      </c>
    </row>
    <row r="38" spans="1:183" x14ac:dyDescent="0.25">
      <c r="A38" s="1" t="str">
        <f>Data!A38</f>
        <v>LA_NEW-ORLEANS-IAP_722310_TY3A</v>
      </c>
      <c r="B38" s="1" t="str">
        <f>TY3A_REP_CITIES!B38</f>
        <v>New-Orleans</v>
      </c>
      <c r="C38" s="1" t="str">
        <f>TY3A_REP_CITIES!C38</f>
        <v>Orleans</v>
      </c>
      <c r="D38" s="2" t="str">
        <f>TY3A_REP_CITIES!A38</f>
        <v>LA</v>
      </c>
      <c r="E38" s="42">
        <f>TY3A_REP_CITIES!E38</f>
        <v>390144</v>
      </c>
      <c r="F38" s="2">
        <f>TY3A_REP_CITIES!G38</f>
        <v>2</v>
      </c>
      <c r="G38" s="2" t="str">
        <f>TY3A_REP_CITIES!H38</f>
        <v>Hot-Humid</v>
      </c>
      <c r="H38" s="2" t="str">
        <f>TY3A_REP_CITIES!I38</f>
        <v>Southeast</v>
      </c>
      <c r="I38" s="2">
        <f>Data!B38</f>
        <v>30</v>
      </c>
      <c r="J38" s="2">
        <f>Data!C38</f>
        <v>-90.25</v>
      </c>
      <c r="K38" s="2">
        <f>VLOOKUP(D38,Table1[],2,FALSE)</f>
        <v>1</v>
      </c>
      <c r="L38" s="2">
        <v>0.5</v>
      </c>
      <c r="M38" s="10">
        <f>Data!N38</f>
        <v>5709.7067200000001</v>
      </c>
      <c r="N38" s="10">
        <f>Data!Q38</f>
        <v>29308</v>
      </c>
      <c r="O38" s="10">
        <f>Data!O38</f>
        <v>5244532175.7765102</v>
      </c>
      <c r="P38" s="10">
        <f>Data!P38</f>
        <v>5463054349.7671919</v>
      </c>
      <c r="Q38" s="10">
        <f>Data!S38*15</f>
        <v>4121.9508716852379</v>
      </c>
      <c r="R38" s="48">
        <f>SUM(Data!U38:AA38)*2+Data!AB38</f>
        <v>57.816098972956873</v>
      </c>
      <c r="S38" s="48">
        <f>SUM(Data!V38:AB38)*2+Data!AC38</f>
        <v>56.446960845753118</v>
      </c>
      <c r="T38" s="48">
        <f>SUM(Data!W38:AC38)*2+Data!AD38</f>
        <v>52.205170482434767</v>
      </c>
      <c r="U38" s="48">
        <f>SUM(Data!X38:AD38)*2+Data!AE38</f>
        <v>48.486018790720358</v>
      </c>
      <c r="V38" s="48">
        <f>SUM(Data!Y38:AE38)*2+Data!AF38</f>
        <v>50.542344735188337</v>
      </c>
      <c r="W38" s="48">
        <f>SUM(Data!Z38:AF38)*2+Data!AG38</f>
        <v>53.050694430078785</v>
      </c>
      <c r="X38" s="48">
        <f>SUM(Data!AA38:AG38)*2+Data!AH38</f>
        <v>50.50902128984373</v>
      </c>
      <c r="Y38" s="48">
        <f>SUM(Data!AB38:AH38)*2+Data!AI38</f>
        <v>47.776216698625809</v>
      </c>
      <c r="Z38" s="80">
        <f>(SUM(Data!CS38:CY38)*2+Data!CZ38)/('Useful Constants'!$B$1*1000000)*$K38/100</f>
        <v>0.18954558474218847</v>
      </c>
      <c r="AA38" s="80">
        <f>(SUM(Data!CT38:CZ38)*2+Data!DA38)/('Useful Constants'!$B$1*1000000)*$K38/100</f>
        <v>0.19102920305777993</v>
      </c>
      <c r="AB38" s="80">
        <f>(SUM(Data!CU38:DA38)*2+Data!DB38)/('Useful Constants'!$B$1*1000000)*$K38/100</f>
        <v>0.18853260493501967</v>
      </c>
      <c r="AC38" s="80">
        <f>(SUM(Data!CV38:DB38)*2+Data!DC38)/('Useful Constants'!$B$1*1000000)*$K38/100</f>
        <v>0.18603155200540519</v>
      </c>
      <c r="AD38" s="80">
        <f>(SUM(Data!CW38:DC38)*2+Data!DD38)/('Useful Constants'!$B$1*1000000)*$K38/100</f>
        <v>0.18235073609045535</v>
      </c>
      <c r="AE38" s="80">
        <f>(SUM(Data!CX38:DD38)*2+Data!DE38)/('Useful Constants'!$B$1*1000000)*$K38/100</f>
        <v>0.18548281647266229</v>
      </c>
      <c r="AF38" s="80">
        <f>(SUM(Data!CY38:DE38)*2+Data!DF38)/('Useful Constants'!$B$1*1000000)*$K38/100</f>
        <v>0.19020875797383027</v>
      </c>
      <c r="AG38" s="80">
        <f>(SUM(Data!CZ38:DF38)*2+Data!DG38)/('Useful Constants'!$B$1*1000000)*$K38/100</f>
        <v>0.19393951037185178</v>
      </c>
      <c r="AH38" s="48">
        <f>Z38*'Useful Constants'!$B$3</f>
        <v>15.921829118343831</v>
      </c>
      <c r="AI38" s="48">
        <f>AA38*'Useful Constants'!$B$3</f>
        <v>16.046453056853515</v>
      </c>
      <c r="AJ38" s="48">
        <f>AB38*'Useful Constants'!$B$3</f>
        <v>15.836738814541652</v>
      </c>
      <c r="AK38" s="48">
        <f>AC38*'Useful Constants'!$B$3</f>
        <v>15.626650368454037</v>
      </c>
      <c r="AL38" s="48">
        <f>AD38*'Useful Constants'!$B$3</f>
        <v>15.31746183159825</v>
      </c>
      <c r="AM38" s="48">
        <f>AE38*'Useful Constants'!$B$3</f>
        <v>15.580556583703633</v>
      </c>
      <c r="AN38" s="48">
        <f>AF38*'Useful Constants'!$B$3</f>
        <v>15.977535669801743</v>
      </c>
      <c r="AO38" s="48">
        <f>AG38*'Useful Constants'!$B$3</f>
        <v>16.290918871235551</v>
      </c>
      <c r="AP38" s="10">
        <f>Z38*'Useful Constants'!$B$4</f>
        <v>5.3072763727812768</v>
      </c>
      <c r="AQ38" s="10">
        <f>AA38*'Useful Constants'!$B$4</f>
        <v>5.3488176856178384</v>
      </c>
      <c r="AR38" s="10">
        <f>AB38*'Useful Constants'!$B$4</f>
        <v>5.2789129381805502</v>
      </c>
      <c r="AS38" s="10">
        <f>AC38*'Useful Constants'!$B$4</f>
        <v>5.2088834561513453</v>
      </c>
      <c r="AT38" s="10">
        <f>AD38*'Useful Constants'!$B$4</f>
        <v>5.1058206105327502</v>
      </c>
      <c r="AU38" s="10">
        <f>AE38*'Useful Constants'!$B$4</f>
        <v>5.1935188612345442</v>
      </c>
      <c r="AV38" s="10">
        <f>AF38*'Useful Constants'!$B$4</f>
        <v>5.3258452232672475</v>
      </c>
      <c r="AW38" s="10">
        <f>AG38*'Useful Constants'!$B$4</f>
        <v>5.43030629041185</v>
      </c>
      <c r="AX38" s="48">
        <f>P38/1000000/'Useful Constants'!$B$1*K38/100*'Useful Constants'!$B$3*15</f>
        <v>1376.6896961413322</v>
      </c>
      <c r="AY38" s="48">
        <f>P38/1000000/'Useful Constants'!$B$1*L38/100*'Useful Constants'!$B$3*15</f>
        <v>688.3448480706661</v>
      </c>
      <c r="AZ38" s="48">
        <f>P38/1000000/'Useful Constants'!$B$1*K38/100*'Useful Constants'!$B$4*15</f>
        <v>458.89656538044409</v>
      </c>
      <c r="BA38" s="48">
        <f>P38/1000000/'Useful Constants'!$B$1*L38/100*'Useful Constants'!$B$4*15</f>
        <v>229.44828269022204</v>
      </c>
      <c r="BB38" s="7">
        <f>Data!AN38</f>
        <v>5709.7067200000001</v>
      </c>
      <c r="BC38" s="7">
        <f>Data!AQ38</f>
        <v>5709.7067200000001</v>
      </c>
      <c r="BD38" s="7">
        <f>Data!AT38</f>
        <v>3667.1081399999998</v>
      </c>
      <c r="BE38" s="6">
        <f>Data!AO38</f>
        <v>4997647834.2493696</v>
      </c>
      <c r="BF38" s="6">
        <f>Data!AP38</f>
        <v>1330622474.6463599</v>
      </c>
      <c r="BG38" s="6">
        <f>Data!AR38</f>
        <v>54823065.511551403</v>
      </c>
      <c r="BH38" s="6">
        <f>Data!AS38</f>
        <v>54823065.511551403</v>
      </c>
      <c r="BI38" s="8">
        <f t="shared" si="50"/>
        <v>0.98914925655204744</v>
      </c>
      <c r="BJ38" s="8">
        <f t="shared" si="51"/>
        <v>0.96042928868549915</v>
      </c>
      <c r="BK38" s="13">
        <f>BB38*'Useful Constants'!$B$5/'Useful Constants'!$B$6*'Useful Constants'!$B$7</f>
        <v>1.4611139496479999</v>
      </c>
      <c r="BL38" s="52">
        <f>1-VLOOKUP($G38,'Useful Constants'!$A$17:$X$23,10,FALSE)</f>
        <v>0</v>
      </c>
      <c r="BM38" s="52">
        <f>1-VLOOKUP($G38,'Useful Constants'!$A$17:$X$23,12,FALSE)</f>
        <v>0</v>
      </c>
      <c r="BN38" s="52">
        <f>1-VLOOKUP($G38,'Useful Constants'!$A$17:$X$23,14,FALSE)</f>
        <v>0</v>
      </c>
      <c r="BO38" s="52">
        <f>1-VLOOKUP($G38,'Useful Constants'!$A$17:$X$23,16,FALSE)</f>
        <v>0</v>
      </c>
      <c r="BP38" s="52">
        <f>1-VLOOKUP($G38,'Useful Constants'!$A$17:$X$23,18,FALSE)</f>
        <v>0</v>
      </c>
      <c r="BQ38" s="52">
        <f>1-VLOOKUP($G38,'Useful Constants'!$A$17:$X$23,20, FALSE)</f>
        <v>0</v>
      </c>
      <c r="BR38" s="52">
        <f>1-VLOOKUP($G38,'Useful Constants'!$A$17:$X$23,22, FALSE)</f>
        <v>0</v>
      </c>
      <c r="BS38" s="52">
        <f>1-VLOOKUP($G38,'Useful Constants'!$A$17:$X$23,24, FALSE)</f>
        <v>0</v>
      </c>
      <c r="BT38" s="13">
        <f t="shared" si="52"/>
        <v>0</v>
      </c>
      <c r="BU38" s="13">
        <f t="shared" si="53"/>
        <v>0</v>
      </c>
      <c r="BV38" s="13">
        <f t="shared" si="54"/>
        <v>0</v>
      </c>
      <c r="BW38" s="13">
        <f t="shared" si="55"/>
        <v>0</v>
      </c>
      <c r="BX38" s="13">
        <f t="shared" si="56"/>
        <v>0</v>
      </c>
      <c r="BY38" s="13">
        <f t="shared" si="57"/>
        <v>0</v>
      </c>
      <c r="BZ38" s="13">
        <f t="shared" si="58"/>
        <v>0</v>
      </c>
      <c r="CA38" s="13">
        <f t="shared" si="59"/>
        <v>0</v>
      </c>
      <c r="CB38" s="59">
        <f>+SUM(Data!BM38:BS38)*2+Data!BT38</f>
        <v>308.35804310983463</v>
      </c>
      <c r="CC38" s="59">
        <f>+SUM(Data!BN38:BT38)*2+Data!BU38</f>
        <v>301.09381452285265</v>
      </c>
      <c r="CD38" s="59">
        <f>+SUM(Data!BO38:BU38)*2+Data!BV38</f>
        <v>278.41710053367001</v>
      </c>
      <c r="CE38" s="59">
        <f>+SUM(Data!BP38:BV38)*2+Data!BW38</f>
        <v>258.75992559332229</v>
      </c>
      <c r="CF38" s="59">
        <f>+SUM(Data!BQ38:BW38)*2+Data!BX38</f>
        <v>269.36827101852867</v>
      </c>
      <c r="CG38" s="59">
        <f>+SUM(Data!BR38:BX38)*2+Data!BY38</f>
        <v>282.65291717347247</v>
      </c>
      <c r="CH38" s="59">
        <f>+SUM(Data!BS38:BY38)*2+Data!BZ38</f>
        <v>269.09216794597319</v>
      </c>
      <c r="CI38" s="59">
        <f>+SUM(Data!BT38:BZ38)*2+Data!CA38</f>
        <v>254.62429964412701</v>
      </c>
      <c r="CJ38" s="13">
        <f>+SUM(Data!AW38:BC38)*2+Data!BD38</f>
        <v>1613.5088142084414</v>
      </c>
      <c r="CK38" s="13">
        <f>+SUM(Data!AX38:BD38)*2+Data!BE38</f>
        <v>1577.7650980981775</v>
      </c>
      <c r="CL38" s="13">
        <f>+SUM(Data!AY38:BE38)*2+Data!BF38</f>
        <v>1459.9404165022834</v>
      </c>
      <c r="CM38" s="13">
        <f>+SUM(Data!AZ38:BF38)*2+Data!BG38</f>
        <v>1353.9876495774815</v>
      </c>
      <c r="CN38" s="13">
        <f>+SUM(Data!BA38:BG38)*2+Data!BH38</f>
        <v>1408.8037112464469</v>
      </c>
      <c r="CO38" s="13">
        <f>+SUM(Data!BB38:BH38)*2+Data!BI38</f>
        <v>1477.2910482531538</v>
      </c>
      <c r="CP38" s="13">
        <f>+SUM(Data!BC38:BI38)*2+Data!BJ38</f>
        <v>1406.7091630497714</v>
      </c>
      <c r="CQ38" s="13">
        <f>+SUM(Data!BD38:BJ38)*2+Data!BK38</f>
        <v>1329.4463411197466</v>
      </c>
      <c r="CR38" s="59">
        <f>+SUM(Data!CC38:CI38)*2+Data!CJ38</f>
        <v>66.349177668771119</v>
      </c>
      <c r="CS38" s="59">
        <f>+SUM(Data!CD38:CJ38)*2+Data!CK38</f>
        <v>64.91462171542203</v>
      </c>
      <c r="CT38" s="59">
        <f>+SUM(Data!CE38:CK38)*2+Data!CL38</f>
        <v>59.514408309466702</v>
      </c>
      <c r="CU38" s="59">
        <f>+SUM(Data!CF38:CL38)*2+Data!CM38</f>
        <v>54.223030690192687</v>
      </c>
      <c r="CV38" s="59">
        <f>+SUM(Data!CG38:CM38)*2+Data!CN38</f>
        <v>56.886809249706999</v>
      </c>
      <c r="CW38" s="59">
        <f>+SUM(Data!CH38:CN38)*2+Data!CO38</f>
        <v>59.616802693674074</v>
      </c>
      <c r="CX38" s="59">
        <f>+SUM(Data!CI38:CO38)*2+Data!CP38</f>
        <v>55.777208239617352</v>
      </c>
      <c r="CY38" s="59">
        <f>+SUM(Data!CJ38:CP38)*2+Data!CQ38</f>
        <v>53.668118309544468</v>
      </c>
      <c r="CZ38" s="60">
        <f t="shared" si="60"/>
        <v>1988.2160349870471</v>
      </c>
      <c r="DA38" s="60">
        <f t="shared" si="61"/>
        <v>1943.7735343364523</v>
      </c>
      <c r="DB38" s="60">
        <f t="shared" si="62"/>
        <v>1797.8719253454201</v>
      </c>
      <c r="DC38" s="60">
        <f t="shared" si="63"/>
        <v>1666.9706058609966</v>
      </c>
      <c r="DD38" s="60">
        <f t="shared" si="64"/>
        <v>1735.0587915146828</v>
      </c>
      <c r="DE38" s="60">
        <f t="shared" si="65"/>
        <v>1819.5607681203003</v>
      </c>
      <c r="DF38" s="60">
        <f t="shared" si="66"/>
        <v>1731.5785392353619</v>
      </c>
      <c r="DG38" s="60">
        <f t="shared" si="67"/>
        <v>1637.7387590734181</v>
      </c>
      <c r="DH38" s="13">
        <f t="shared" si="68"/>
        <v>0</v>
      </c>
      <c r="DI38" s="13">
        <f t="shared" si="69"/>
        <v>0</v>
      </c>
      <c r="DJ38" s="13">
        <f t="shared" si="70"/>
        <v>0</v>
      </c>
      <c r="DK38" s="13">
        <f t="shared" si="71"/>
        <v>0</v>
      </c>
      <c r="DL38" s="13">
        <f t="shared" si="72"/>
        <v>0</v>
      </c>
      <c r="DM38" s="13">
        <f t="shared" si="73"/>
        <v>0</v>
      </c>
      <c r="DN38" s="13">
        <f t="shared" si="74"/>
        <v>0</v>
      </c>
      <c r="DO38" s="13">
        <f t="shared" si="75"/>
        <v>0</v>
      </c>
      <c r="DP38" s="50">
        <f>DH38*'Useful Constants'!$B$8</f>
        <v>0</v>
      </c>
      <c r="DQ38" s="50">
        <f>DI38*'Useful Constants'!$B$8</f>
        <v>0</v>
      </c>
      <c r="DR38" s="50">
        <f>DJ38*'Useful Constants'!$B$10</f>
        <v>0</v>
      </c>
      <c r="DS38" s="50">
        <f>DK38*'Useful Constants'!$B$10</f>
        <v>0</v>
      </c>
      <c r="DT38" s="50">
        <f>DL38*'Useful Constants'!$B$10</f>
        <v>0</v>
      </c>
      <c r="DU38" s="50">
        <f>DM38*'Useful Constants'!$B$10</f>
        <v>0</v>
      </c>
      <c r="DV38" s="50">
        <f>DN38*'Useful Constants'!$B$10</f>
        <v>0</v>
      </c>
      <c r="DW38" s="50">
        <f>DO38*'Useful Constants'!$B$10</f>
        <v>0</v>
      </c>
      <c r="DX38" s="14">
        <f>DH38*'Useful Constants'!$B$9</f>
        <v>0</v>
      </c>
      <c r="DY38" s="14">
        <f>DI38*'Useful Constants'!$B$9</f>
        <v>0</v>
      </c>
      <c r="DZ38" s="14">
        <f>DJ38*'Useful Constants'!$B$11</f>
        <v>0</v>
      </c>
      <c r="EA38" s="14">
        <f>DK38*'Useful Constants'!$B$11</f>
        <v>0</v>
      </c>
      <c r="EB38" s="14">
        <f>DL38*'Useful Constants'!$B$11</f>
        <v>0</v>
      </c>
      <c r="EC38" s="14">
        <f>DM38*'Useful Constants'!$B$11</f>
        <v>0</v>
      </c>
      <c r="ED38" s="14">
        <f>DN38*'Useful Constants'!$B$11</f>
        <v>0</v>
      </c>
      <c r="EE38" s="14">
        <f>DO38*'Useful Constants'!$B$11</f>
        <v>0</v>
      </c>
      <c r="EF38" s="78">
        <f>(SUM(Data!DI38:DO38)*2+Data!DP38)/('Useful Constants'!$B$1*1000000)*$K38/100</f>
        <v>6.4561710715635616</v>
      </c>
      <c r="EG38" s="78">
        <f>(SUM(Data!DJ38:DP38)*2+Data!DQ38)/('Useful Constants'!$B$1*1000000)*$K38/100</f>
        <v>6.5139198186555589</v>
      </c>
      <c r="EH38" s="78">
        <f>(SUM(Data!DK38:DQ38)*2+Data!DR38)/('Useful Constants'!$B$1*1000000)*$K38/100</f>
        <v>6.437296533081029</v>
      </c>
      <c r="EI38" s="78">
        <f>(SUM(Data!DL38:DR38)*2+Data!DS38)/('Useful Constants'!$B$1*1000000)*$K38/100</f>
        <v>6.3578515226778345</v>
      </c>
      <c r="EJ38" s="78">
        <f>(SUM(Data!DM38:DS38)*2+Data!DT38)/('Useful Constants'!$B$1*1000000)*$K38/100</f>
        <v>6.2381190565635611</v>
      </c>
      <c r="EK38" s="78">
        <f>(SUM(Data!DN38:DT38)*2+Data!DU38)/('Useful Constants'!$B$1*1000000)*$K38/100</f>
        <v>6.3447972338882153</v>
      </c>
      <c r="EL38" s="78">
        <f>(SUM(Data!DO38:DU38)*2+Data!DV38)/('Useful Constants'!$B$1*1000000)*$K38/100</f>
        <v>6.50606125791096</v>
      </c>
      <c r="EM38" s="78">
        <f>(SUM(Data!DP38:DV38)*2+Data!DW38)/('Useful Constants'!$B$1*1000000)*$K38/100</f>
        <v>6.6330561305852518</v>
      </c>
      <c r="EN38" s="79">
        <f>EF38*'Useful Constants'!$B$3</f>
        <v>542.3183700113392</v>
      </c>
      <c r="EO38" s="79">
        <f>EG38*'Useful Constants'!$B$3</f>
        <v>547.16926476706692</v>
      </c>
      <c r="EP38" s="79">
        <f>EH38*'Useful Constants'!$B$3</f>
        <v>540.7329087788064</v>
      </c>
      <c r="EQ38" s="79">
        <f>EI38*'Useful Constants'!$B$3</f>
        <v>534.05952790493814</v>
      </c>
      <c r="ER38" s="79">
        <f>EJ38*'Useful Constants'!$B$3</f>
        <v>524.0020007513391</v>
      </c>
      <c r="ES38" s="79">
        <f>EK38*'Useful Constants'!$B$3</f>
        <v>532.96296764661008</v>
      </c>
      <c r="ET38" s="79">
        <f>EL38*'Useful Constants'!$B$3</f>
        <v>546.50914566452059</v>
      </c>
      <c r="EU38" s="79">
        <f>EM38*'Useful Constants'!$B$3</f>
        <v>557.17671496916114</v>
      </c>
      <c r="EV38" s="78">
        <f>EF38*'Useful Constants'!$B$4</f>
        <v>180.77279000377973</v>
      </c>
      <c r="EW38" s="78">
        <f>EG38*'Useful Constants'!$B$4</f>
        <v>182.38975492235565</v>
      </c>
      <c r="EX38" s="78">
        <f>EH38*'Useful Constants'!$B$4</f>
        <v>180.2443029262688</v>
      </c>
      <c r="EY38" s="78">
        <f>EI38*'Useful Constants'!$B$4</f>
        <v>178.01984263497937</v>
      </c>
      <c r="EZ38" s="78">
        <f>EJ38*'Useful Constants'!$B$4</f>
        <v>174.66733358377971</v>
      </c>
      <c r="FA38" s="78">
        <f>EK38*'Useful Constants'!$B$4</f>
        <v>177.65432254887003</v>
      </c>
      <c r="FB38" s="78">
        <f>EL38*'Useful Constants'!$B$4</f>
        <v>182.16971522150689</v>
      </c>
      <c r="FC38" s="78">
        <f>EM38*'Useful Constants'!$B$4</f>
        <v>185.72557165638705</v>
      </c>
      <c r="FD38" s="40">
        <f t="shared" si="76"/>
        <v>0.52432371255520982</v>
      </c>
      <c r="FE38" s="40">
        <f t="shared" si="77"/>
        <v>0.53480410141821144</v>
      </c>
      <c r="FF38" s="40">
        <f t="shared" si="78"/>
        <v>0.56928492677725318</v>
      </c>
      <c r="FG38" s="40">
        <f t="shared" si="79"/>
        <v>0.60028873481628198</v>
      </c>
      <c r="FH38" s="40">
        <f t="shared" si="80"/>
        <v>0.58416737870620528</v>
      </c>
      <c r="FI38" s="40">
        <f t="shared" si="81"/>
        <v>0.56417722501279599</v>
      </c>
      <c r="FJ38" s="40">
        <f t="shared" si="82"/>
        <v>0.58499815848422754</v>
      </c>
      <c r="FK38" s="40">
        <f t="shared" si="83"/>
        <v>0.60723118699162015</v>
      </c>
      <c r="FL38" s="4">
        <f t="shared" si="84"/>
        <v>0.59580798160835968</v>
      </c>
      <c r="FM38" s="4">
        <f t="shared" si="85"/>
        <v>0.6020526841236763</v>
      </c>
      <c r="FN38" s="4">
        <f t="shared" si="86"/>
        <v>0.6261239619682053</v>
      </c>
      <c r="FO38" s="4">
        <f t="shared" si="87"/>
        <v>0.64789704083709443</v>
      </c>
      <c r="FP38" s="4">
        <f t="shared" si="88"/>
        <v>0.63871474314603194</v>
      </c>
      <c r="FQ38" s="4">
        <f t="shared" si="89"/>
        <v>0.62393416012676328</v>
      </c>
      <c r="FR38" s="4">
        <f t="shared" si="90"/>
        <v>0.6357083401368242</v>
      </c>
      <c r="FS38" s="4">
        <f t="shared" si="91"/>
        <v>0.64887265688920803</v>
      </c>
      <c r="FT38" s="38">
        <f t="shared" si="92"/>
        <v>0.5549348860288017</v>
      </c>
      <c r="FU38" s="38">
        <f t="shared" si="93"/>
        <v>0.56360357969339558</v>
      </c>
      <c r="FV38" s="38">
        <f t="shared" si="94"/>
        <v>0.59363070881290714</v>
      </c>
      <c r="FW38" s="38">
        <f t="shared" si="95"/>
        <v>0.620683798165653</v>
      </c>
      <c r="FX38" s="38">
        <f t="shared" si="96"/>
        <v>0.60753223419908431</v>
      </c>
      <c r="FY38" s="38">
        <f t="shared" si="97"/>
        <v>0.58977124186406449</v>
      </c>
      <c r="FZ38" s="38">
        <f t="shared" si="98"/>
        <v>0.60672073621349576</v>
      </c>
      <c r="GA38" s="38">
        <f t="shared" si="99"/>
        <v>0.62507176110591267</v>
      </c>
    </row>
    <row r="39" spans="1:183" x14ac:dyDescent="0.25">
      <c r="A39" s="1" t="str">
        <f>Data!A39</f>
        <v>LA_SHREVEPORT-DOWNTOWN_722484_TY3A</v>
      </c>
      <c r="B39" s="1" t="str">
        <f>TY3A_REP_CITIES!B39</f>
        <v>Shreveport</v>
      </c>
      <c r="C39" s="1" t="str">
        <f>TY3A_REP_CITIES!C39</f>
        <v>Bossier</v>
      </c>
      <c r="D39" s="2" t="str">
        <f>TY3A_REP_CITIES!A39</f>
        <v>LA</v>
      </c>
      <c r="E39" s="42">
        <f>TY3A_REP_CITIES!E39</f>
        <v>127039</v>
      </c>
      <c r="F39" s="2">
        <f>TY3A_REP_CITIES!G39</f>
        <v>3</v>
      </c>
      <c r="G39" s="2" t="str">
        <f>TY3A_REP_CITIES!H39</f>
        <v>Hot-Humid</v>
      </c>
      <c r="H39" s="2" t="str">
        <f>TY3A_REP_CITIES!I39</f>
        <v>Southeast</v>
      </c>
      <c r="I39" s="2">
        <f>Data!B39</f>
        <v>32.53</v>
      </c>
      <c r="J39" s="2">
        <f>Data!C39</f>
        <v>-93.75</v>
      </c>
      <c r="K39" s="2">
        <f>VLOOKUP(D39,Table1[],2,FALSE)</f>
        <v>1</v>
      </c>
      <c r="L39" s="2">
        <v>0.5</v>
      </c>
      <c r="M39" s="10">
        <f>Data!N39</f>
        <v>6031.27801</v>
      </c>
      <c r="N39" s="10">
        <f>Data!Q39</f>
        <v>29308</v>
      </c>
      <c r="O39" s="10">
        <f>Data!O39</f>
        <v>9955864932.9211903</v>
      </c>
      <c r="P39" s="10">
        <f>Data!P39</f>
        <v>10370692638.459499</v>
      </c>
      <c r="Q39" s="10">
        <f>Data!S39*15</f>
        <v>7824.8325614589248</v>
      </c>
      <c r="R39" s="48">
        <f>SUM(Data!U39:AA39)*2+Data!AB39</f>
        <v>116.54890037308469</v>
      </c>
      <c r="S39" s="48">
        <f>SUM(Data!V39:AB39)*2+Data!AC39</f>
        <v>112.23052346119202</v>
      </c>
      <c r="T39" s="48">
        <f>SUM(Data!W39:AC39)*2+Data!AD39</f>
        <v>103.87194142394311</v>
      </c>
      <c r="U39" s="48">
        <f>SUM(Data!X39:AD39)*2+Data!AE39</f>
        <v>97.306696715216972</v>
      </c>
      <c r="V39" s="48">
        <f>SUM(Data!Y39:AE39)*2+Data!AF39</f>
        <v>100.04314314372259</v>
      </c>
      <c r="W39" s="48">
        <f>SUM(Data!Z39:AF39)*2+Data!AG39</f>
        <v>105.00526671993691</v>
      </c>
      <c r="X39" s="48">
        <f>SUM(Data!AA39:AG39)*2+Data!AH39</f>
        <v>99.990835196582623</v>
      </c>
      <c r="Y39" s="48">
        <f>SUM(Data!AB39:AH39)*2+Data!AI39</f>
        <v>93.365163269700261</v>
      </c>
      <c r="Z39" s="80">
        <f>(SUM(Data!CS39:CY39)*2+Data!CZ39)/('Useful Constants'!$B$1*1000000)*$K39/100</f>
        <v>0.38388468469250936</v>
      </c>
      <c r="AA39" s="80">
        <f>(SUM(Data!CT39:CZ39)*2+Data!DA39)/('Useful Constants'!$B$1*1000000)*$K39/100</f>
        <v>0.3863566505065098</v>
      </c>
      <c r="AB39" s="80">
        <f>(SUM(Data!CU39:DA39)*2+Data!DB39)/('Useful Constants'!$B$1*1000000)*$K39/100</f>
        <v>0.37839945829316718</v>
      </c>
      <c r="AC39" s="80">
        <f>(SUM(Data!CV39:DB39)*2+Data!DC39)/('Useful Constants'!$B$1*1000000)*$K39/100</f>
        <v>0.37054746708593561</v>
      </c>
      <c r="AD39" s="80">
        <f>(SUM(Data!CW39:DC39)*2+Data!DD39)/('Useful Constants'!$B$1*1000000)*$K39/100</f>
        <v>0.3618706909729314</v>
      </c>
      <c r="AE39" s="80">
        <f>(SUM(Data!CX39:DD39)*2+Data!DE39)/('Useful Constants'!$B$1*1000000)*$K39/100</f>
        <v>0.36717122045423123</v>
      </c>
      <c r="AF39" s="80">
        <f>(SUM(Data!CY39:DE39)*2+Data!DF39)/('Useful Constants'!$B$1*1000000)*$K39/100</f>
        <v>0.37579756185629221</v>
      </c>
      <c r="AG39" s="80">
        <f>(SUM(Data!CZ39:DF39)*2+Data!DG39)/('Useful Constants'!$B$1*1000000)*$K39/100</f>
        <v>0.38280250073802102</v>
      </c>
      <c r="AH39" s="48">
        <f>Z39*'Useful Constants'!$B$3</f>
        <v>32.246313514170787</v>
      </c>
      <c r="AI39" s="48">
        <f>AA39*'Useful Constants'!$B$3</f>
        <v>32.453958642546823</v>
      </c>
      <c r="AJ39" s="48">
        <f>AB39*'Useful Constants'!$B$3</f>
        <v>31.785554496626045</v>
      </c>
      <c r="AK39" s="48">
        <f>AC39*'Useful Constants'!$B$3</f>
        <v>31.125987235218592</v>
      </c>
      <c r="AL39" s="48">
        <f>AD39*'Useful Constants'!$B$3</f>
        <v>30.397138041726237</v>
      </c>
      <c r="AM39" s="48">
        <f>AE39*'Useful Constants'!$B$3</f>
        <v>30.842382518155425</v>
      </c>
      <c r="AN39" s="48">
        <f>AF39*'Useful Constants'!$B$3</f>
        <v>31.566995195928545</v>
      </c>
      <c r="AO39" s="48">
        <f>AG39*'Useful Constants'!$B$3</f>
        <v>32.155410061993763</v>
      </c>
      <c r="AP39" s="10">
        <f>Z39*'Useful Constants'!$B$4</f>
        <v>10.748771171390262</v>
      </c>
      <c r="AQ39" s="10">
        <f>AA39*'Useful Constants'!$B$4</f>
        <v>10.817986214182275</v>
      </c>
      <c r="AR39" s="10">
        <f>AB39*'Useful Constants'!$B$4</f>
        <v>10.59518483220868</v>
      </c>
      <c r="AS39" s="10">
        <f>AC39*'Useful Constants'!$B$4</f>
        <v>10.375329078406198</v>
      </c>
      <c r="AT39" s="10">
        <f>AD39*'Useful Constants'!$B$4</f>
        <v>10.132379347242079</v>
      </c>
      <c r="AU39" s="10">
        <f>AE39*'Useful Constants'!$B$4</f>
        <v>10.280794172718474</v>
      </c>
      <c r="AV39" s="10">
        <f>AF39*'Useful Constants'!$B$4</f>
        <v>10.522331731976182</v>
      </c>
      <c r="AW39" s="10">
        <f>AG39*'Useful Constants'!$B$4</f>
        <v>10.718470020664588</v>
      </c>
      <c r="AX39" s="48">
        <f>P39/1000000/'Useful Constants'!$B$1*K39/100*'Useful Constants'!$B$3*15</f>
        <v>2613.4145448917943</v>
      </c>
      <c r="AY39" s="48">
        <f>P39/1000000/'Useful Constants'!$B$1*L39/100*'Useful Constants'!$B$3*15</f>
        <v>1306.7072724458972</v>
      </c>
      <c r="AZ39" s="48">
        <f>P39/1000000/'Useful Constants'!$B$1*K39/100*'Useful Constants'!$B$4*15</f>
        <v>871.13818163059796</v>
      </c>
      <c r="BA39" s="48">
        <f>P39/1000000/'Useful Constants'!$B$1*L39/100*'Useful Constants'!$B$4*15</f>
        <v>435.56909081529898</v>
      </c>
      <c r="BB39" s="7">
        <f>Data!AN39</f>
        <v>6031.27801</v>
      </c>
      <c r="BC39" s="7">
        <f>Data!AQ39</f>
        <v>6031.27801</v>
      </c>
      <c r="BD39" s="7">
        <f>Data!AT39</f>
        <v>3850.7849200000001</v>
      </c>
      <c r="BE39" s="6">
        <f>Data!AO39</f>
        <v>9408142710.9406891</v>
      </c>
      <c r="BF39" s="6">
        <f>Data!AP39</f>
        <v>2899014183.5525999</v>
      </c>
      <c r="BG39" s="6">
        <f>Data!AR39</f>
        <v>175159076.02339199</v>
      </c>
      <c r="BH39" s="6">
        <f>Data!AS39</f>
        <v>175159076.02339199</v>
      </c>
      <c r="BI39" s="8">
        <f t="shared" si="50"/>
        <v>0.98172247103167964</v>
      </c>
      <c r="BJ39" s="8">
        <f t="shared" si="51"/>
        <v>0.94302237992677385</v>
      </c>
      <c r="BK39" s="13">
        <f>BB39*'Useful Constants'!$B$5/'Useful Constants'!$B$6*'Useful Constants'!$B$7</f>
        <v>1.5434040427590001</v>
      </c>
      <c r="BL39" s="52">
        <f>1-VLOOKUP($G39,'Useful Constants'!$A$17:$X$23,10,FALSE)</f>
        <v>0</v>
      </c>
      <c r="BM39" s="52">
        <f>1-VLOOKUP($G39,'Useful Constants'!$A$17:$X$23,12,FALSE)</f>
        <v>0</v>
      </c>
      <c r="BN39" s="52">
        <f>1-VLOOKUP($G39,'Useful Constants'!$A$17:$X$23,14,FALSE)</f>
        <v>0</v>
      </c>
      <c r="BO39" s="52">
        <f>1-VLOOKUP($G39,'Useful Constants'!$A$17:$X$23,16,FALSE)</f>
        <v>0</v>
      </c>
      <c r="BP39" s="52">
        <f>1-VLOOKUP($G39,'Useful Constants'!$A$17:$X$23,18,FALSE)</f>
        <v>0</v>
      </c>
      <c r="BQ39" s="52">
        <f>1-VLOOKUP($G39,'Useful Constants'!$A$17:$X$23,20, FALSE)</f>
        <v>0</v>
      </c>
      <c r="BR39" s="52">
        <f>1-VLOOKUP($G39,'Useful Constants'!$A$17:$X$23,22, FALSE)</f>
        <v>0</v>
      </c>
      <c r="BS39" s="52">
        <f>1-VLOOKUP($G39,'Useful Constants'!$A$17:$X$23,24, FALSE)</f>
        <v>0</v>
      </c>
      <c r="BT39" s="13">
        <f t="shared" si="52"/>
        <v>0</v>
      </c>
      <c r="BU39" s="13">
        <f t="shared" si="53"/>
        <v>0</v>
      </c>
      <c r="BV39" s="13">
        <f t="shared" si="54"/>
        <v>0</v>
      </c>
      <c r="BW39" s="13">
        <f t="shared" si="55"/>
        <v>0</v>
      </c>
      <c r="BX39" s="13">
        <f t="shared" si="56"/>
        <v>0</v>
      </c>
      <c r="BY39" s="13">
        <f t="shared" si="57"/>
        <v>0</v>
      </c>
      <c r="BZ39" s="13">
        <f t="shared" si="58"/>
        <v>0</v>
      </c>
      <c r="CA39" s="13">
        <f t="shared" si="59"/>
        <v>0</v>
      </c>
      <c r="CB39" s="59">
        <f>+SUM(Data!BM39:BS39)*2+Data!BT39</f>
        <v>598.07494267865559</v>
      </c>
      <c r="CC39" s="59">
        <f>+SUM(Data!BN39:BT39)*2+Data!BU39</f>
        <v>576.06196537603148</v>
      </c>
      <c r="CD39" s="59">
        <f>+SUM(Data!BO39:BU39)*2+Data!BV39</f>
        <v>533.00039710614146</v>
      </c>
      <c r="CE39" s="59">
        <f>+SUM(Data!BP39:BV39)*2+Data!BW39</f>
        <v>499.77747481031349</v>
      </c>
      <c r="CF39" s="59">
        <f>+SUM(Data!BQ39:BW39)*2+Data!BX39</f>
        <v>513.51212326697009</v>
      </c>
      <c r="CG39" s="59">
        <f>+SUM(Data!BR39:BX39)*2+Data!BY39</f>
        <v>539.04741969530755</v>
      </c>
      <c r="CH39" s="59">
        <f>+SUM(Data!BS39:BY39)*2+Data!BZ39</f>
        <v>513.29099872148868</v>
      </c>
      <c r="CI39" s="59">
        <f>+SUM(Data!BT39:BZ39)*2+Data!CA39</f>
        <v>479.5404711261898</v>
      </c>
      <c r="CJ39" s="13">
        <f>+SUM(Data!AW39:BC39)*2+Data!BD39</f>
        <v>3412.980159472475</v>
      </c>
      <c r="CK39" s="13">
        <f>+SUM(Data!AX39:BD39)*2+Data!BE39</f>
        <v>3293.0915947810431</v>
      </c>
      <c r="CL39" s="13">
        <f>+SUM(Data!AY39:BE39)*2+Data!BF39</f>
        <v>3047.6454949875178</v>
      </c>
      <c r="CM39" s="13">
        <f>+SUM(Data!AZ39:BF39)*2+Data!BG39</f>
        <v>2845.8564755800899</v>
      </c>
      <c r="CN39" s="13">
        <f>+SUM(Data!BA39:BG39)*2+Data!BH39</f>
        <v>2920.747739090792</v>
      </c>
      <c r="CO39" s="13">
        <f>+SUM(Data!BB39:BH39)*2+Data!BI39</f>
        <v>3065.1766407503087</v>
      </c>
      <c r="CP39" s="13">
        <f>+SUM(Data!BC39:BI39)*2+Data!BJ39</f>
        <v>2919.5782150109494</v>
      </c>
      <c r="CQ39" s="13">
        <f>+SUM(Data!BD39:BJ39)*2+Data!BK39</f>
        <v>2720.6009132608297</v>
      </c>
      <c r="CR39" s="59">
        <f>+SUM(Data!CC39:CI39)*2+Data!CJ39</f>
        <v>185.55323008349353</v>
      </c>
      <c r="CS39" s="59">
        <f>+SUM(Data!CD39:CJ39)*2+Data!CK39</f>
        <v>176.41307433333259</v>
      </c>
      <c r="CT39" s="59">
        <f>+SUM(Data!CE39:CK39)*2+Data!CL39</f>
        <v>162.25504391536802</v>
      </c>
      <c r="CU39" s="59">
        <f>+SUM(Data!CF39:CL39)*2+Data!CM39</f>
        <v>149.58582674958373</v>
      </c>
      <c r="CV39" s="59">
        <f>+SUM(Data!CG39:CM39)*2+Data!CN39</f>
        <v>158.48269252689852</v>
      </c>
      <c r="CW39" s="59">
        <f>+SUM(Data!CH39:CN39)*2+Data!CO39</f>
        <v>167.62217125223148</v>
      </c>
      <c r="CX39" s="59">
        <f>+SUM(Data!CI39:CO39)*2+Data!CP39</f>
        <v>158.13841425356694</v>
      </c>
      <c r="CY39" s="59">
        <f>+SUM(Data!CJ39:CP39)*2+Data!CQ39</f>
        <v>149.06461533168729</v>
      </c>
      <c r="CZ39" s="60">
        <f t="shared" si="60"/>
        <v>4196.608332234624</v>
      </c>
      <c r="DA39" s="60">
        <f t="shared" si="61"/>
        <v>4045.5666344904071</v>
      </c>
      <c r="DB39" s="60">
        <f t="shared" si="62"/>
        <v>3742.9009360090272</v>
      </c>
      <c r="DC39" s="60">
        <f t="shared" si="63"/>
        <v>3495.2197771399869</v>
      </c>
      <c r="DD39" s="60">
        <f t="shared" si="64"/>
        <v>3592.7425548846609</v>
      </c>
      <c r="DE39" s="60">
        <f t="shared" si="65"/>
        <v>3771.846231697848</v>
      </c>
      <c r="DF39" s="60">
        <f t="shared" si="66"/>
        <v>3591.007627986005</v>
      </c>
      <c r="DG39" s="60">
        <f t="shared" si="67"/>
        <v>3349.2059997187071</v>
      </c>
      <c r="DH39" s="13">
        <f t="shared" si="68"/>
        <v>0</v>
      </c>
      <c r="DI39" s="13">
        <f t="shared" si="69"/>
        <v>0</v>
      </c>
      <c r="DJ39" s="13">
        <f t="shared" si="70"/>
        <v>0</v>
      </c>
      <c r="DK39" s="13">
        <f t="shared" si="71"/>
        <v>0</v>
      </c>
      <c r="DL39" s="13">
        <f t="shared" si="72"/>
        <v>0</v>
      </c>
      <c r="DM39" s="13">
        <f t="shared" si="73"/>
        <v>0</v>
      </c>
      <c r="DN39" s="13">
        <f t="shared" si="74"/>
        <v>0</v>
      </c>
      <c r="DO39" s="13">
        <f t="shared" si="75"/>
        <v>0</v>
      </c>
      <c r="DP39" s="50">
        <f>DH39*'Useful Constants'!$B$8</f>
        <v>0</v>
      </c>
      <c r="DQ39" s="50">
        <f>DI39*'Useful Constants'!$B$8</f>
        <v>0</v>
      </c>
      <c r="DR39" s="50">
        <f>DJ39*'Useful Constants'!$B$10</f>
        <v>0</v>
      </c>
      <c r="DS39" s="50">
        <f>DK39*'Useful Constants'!$B$10</f>
        <v>0</v>
      </c>
      <c r="DT39" s="50">
        <f>DL39*'Useful Constants'!$B$10</f>
        <v>0</v>
      </c>
      <c r="DU39" s="50">
        <f>DM39*'Useful Constants'!$B$10</f>
        <v>0</v>
      </c>
      <c r="DV39" s="50">
        <f>DN39*'Useful Constants'!$B$10</f>
        <v>0</v>
      </c>
      <c r="DW39" s="50">
        <f>DO39*'Useful Constants'!$B$10</f>
        <v>0</v>
      </c>
      <c r="DX39" s="14">
        <f>DH39*'Useful Constants'!$B$9</f>
        <v>0</v>
      </c>
      <c r="DY39" s="14">
        <f>DI39*'Useful Constants'!$B$9</f>
        <v>0</v>
      </c>
      <c r="DZ39" s="14">
        <f>DJ39*'Useful Constants'!$B$11</f>
        <v>0</v>
      </c>
      <c r="EA39" s="14">
        <f>DK39*'Useful Constants'!$B$11</f>
        <v>0</v>
      </c>
      <c r="EB39" s="14">
        <f>DL39*'Useful Constants'!$B$11</f>
        <v>0</v>
      </c>
      <c r="EC39" s="14">
        <f>DM39*'Useful Constants'!$B$11</f>
        <v>0</v>
      </c>
      <c r="ED39" s="14">
        <f>DN39*'Useful Constants'!$B$11</f>
        <v>0</v>
      </c>
      <c r="EE39" s="14">
        <f>DO39*'Useful Constants'!$B$11</f>
        <v>0</v>
      </c>
      <c r="EF39" s="78">
        <f>(SUM(Data!DI39:DO39)*2+Data!DP39)/('Useful Constants'!$B$1*1000000)*$K39/100</f>
        <v>13.745370278438534</v>
      </c>
      <c r="EG39" s="78">
        <f>(SUM(Data!DJ39:DP39)*2+Data!DQ39)/('Useful Constants'!$B$1*1000000)*$K39/100</f>
        <v>13.841139693845452</v>
      </c>
      <c r="EH39" s="78">
        <f>(SUM(Data!DK39:DQ39)*2+Data!DR39)/('Useful Constants'!$B$1*1000000)*$K39/100</f>
        <v>13.567558272240076</v>
      </c>
      <c r="EI39" s="78">
        <f>(SUM(Data!DL39:DR39)*2+Data!DS39)/('Useful Constants'!$B$1*1000000)*$K39/100</f>
        <v>13.296656166062236</v>
      </c>
      <c r="EJ39" s="78">
        <f>(SUM(Data!DM39:DS39)*2+Data!DT39)/('Useful Constants'!$B$1*1000000)*$K39/100</f>
        <v>12.989307018093889</v>
      </c>
      <c r="EK39" s="78">
        <f>(SUM(Data!DN39:DT39)*2+Data!DU39)/('Useful Constants'!$B$1*1000000)*$K39/100</f>
        <v>13.177231922864996</v>
      </c>
      <c r="EL39" s="78">
        <f>(SUM(Data!DO39:DU39)*2+Data!DV39)/('Useful Constants'!$B$1*1000000)*$K39/100</f>
        <v>13.487216776353128</v>
      </c>
      <c r="EM39" s="78">
        <f>(SUM(Data!DP39:DV39)*2+Data!DW39)/('Useful Constants'!$B$1*1000000)*$K39/100</f>
        <v>13.737677860928448</v>
      </c>
      <c r="EN39" s="79">
        <f>EF39*'Useful Constants'!$B$3</f>
        <v>1154.6111033888369</v>
      </c>
      <c r="EO39" s="79">
        <f>EG39*'Useful Constants'!$B$3</f>
        <v>1162.6557342830181</v>
      </c>
      <c r="EP39" s="79">
        <f>EH39*'Useful Constants'!$B$3</f>
        <v>1139.6748948681663</v>
      </c>
      <c r="EQ39" s="79">
        <f>EI39*'Useful Constants'!$B$3</f>
        <v>1116.9191179492279</v>
      </c>
      <c r="ER39" s="79">
        <f>EJ39*'Useful Constants'!$B$3</f>
        <v>1091.1017895198868</v>
      </c>
      <c r="ES39" s="79">
        <f>EK39*'Useful Constants'!$B$3</f>
        <v>1106.8874815206595</v>
      </c>
      <c r="ET39" s="79">
        <f>EL39*'Useful Constants'!$B$3</f>
        <v>1132.9262092136628</v>
      </c>
      <c r="EU39" s="79">
        <f>EM39*'Useful Constants'!$B$3</f>
        <v>1153.9649403179897</v>
      </c>
      <c r="EV39" s="78">
        <f>EF39*'Useful Constants'!$B$4</f>
        <v>384.87036779627897</v>
      </c>
      <c r="EW39" s="78">
        <f>EG39*'Useful Constants'!$B$4</f>
        <v>387.55191142767268</v>
      </c>
      <c r="EX39" s="78">
        <f>EH39*'Useful Constants'!$B$4</f>
        <v>379.89163162272212</v>
      </c>
      <c r="EY39" s="78">
        <f>EI39*'Useful Constants'!$B$4</f>
        <v>372.30637264974263</v>
      </c>
      <c r="EZ39" s="78">
        <f>EJ39*'Useful Constants'!$B$4</f>
        <v>363.70059650662893</v>
      </c>
      <c r="FA39" s="78">
        <f>EK39*'Useful Constants'!$B$4</f>
        <v>368.96249384021991</v>
      </c>
      <c r="FB39" s="78">
        <f>EL39*'Useful Constants'!$B$4</f>
        <v>377.6420697378876</v>
      </c>
      <c r="FC39" s="78">
        <f>EM39*'Useful Constants'!$B$4</f>
        <v>384.65498010599657</v>
      </c>
      <c r="FD39" s="40">
        <f t="shared" si="76"/>
        <v>0.47155185122331322</v>
      </c>
      <c r="FE39" s="40">
        <f t="shared" si="77"/>
        <v>0.49029425730825926</v>
      </c>
      <c r="FF39" s="40">
        <f t="shared" si="78"/>
        <v>0.52793032775428672</v>
      </c>
      <c r="FG39" s="40">
        <f t="shared" si="79"/>
        <v>0.55880354242276364</v>
      </c>
      <c r="FH39" s="40">
        <f t="shared" si="80"/>
        <v>0.54664998054189673</v>
      </c>
      <c r="FI39" s="40">
        <f t="shared" si="81"/>
        <v>0.52434762054092632</v>
      </c>
      <c r="FJ39" s="40">
        <f t="shared" si="82"/>
        <v>0.5468659112957005</v>
      </c>
      <c r="FK39" s="40">
        <f t="shared" si="83"/>
        <v>0.57702420220461315</v>
      </c>
      <c r="FL39" s="4">
        <f t="shared" si="84"/>
        <v>0.55008137728785522</v>
      </c>
      <c r="FM39" s="4">
        <f t="shared" si="85"/>
        <v>0.56195285410216178</v>
      </c>
      <c r="FN39" s="4">
        <f t="shared" si="86"/>
        <v>0.58902993529586856</v>
      </c>
      <c r="FO39" s="4">
        <f t="shared" si="87"/>
        <v>0.61155659537455187</v>
      </c>
      <c r="FP39" s="4">
        <f t="shared" si="88"/>
        <v>0.60558411080111241</v>
      </c>
      <c r="FQ39" s="4">
        <f t="shared" si="89"/>
        <v>0.58935990165425434</v>
      </c>
      <c r="FR39" s="4">
        <f t="shared" si="90"/>
        <v>0.60224569688526464</v>
      </c>
      <c r="FS39" s="4">
        <f t="shared" si="91"/>
        <v>0.62064104779318008</v>
      </c>
      <c r="FT39" s="38">
        <f t="shared" si="92"/>
        <v>0.50517776153491523</v>
      </c>
      <c r="FU39" s="38">
        <f t="shared" si="93"/>
        <v>0.52098155192464246</v>
      </c>
      <c r="FV39" s="38">
        <f t="shared" si="94"/>
        <v>0.55410020937730609</v>
      </c>
      <c r="FW39" s="38">
        <f t="shared" si="95"/>
        <v>0.58140131187238742</v>
      </c>
      <c r="FX39" s="38">
        <f t="shared" si="96"/>
        <v>0.57189298752279705</v>
      </c>
      <c r="FY39" s="38">
        <f t="shared" si="97"/>
        <v>0.5521913386659737</v>
      </c>
      <c r="FZ39" s="38">
        <f t="shared" si="98"/>
        <v>0.57058786642253301</v>
      </c>
      <c r="GA39" s="38">
        <f t="shared" si="99"/>
        <v>0.59571099957817375</v>
      </c>
    </row>
    <row r="40" spans="1:183" x14ac:dyDescent="0.25">
      <c r="A40" s="1" t="str">
        <f>Data!A40</f>
        <v>MA_BOSTON-LOGAN-IAP_725090_TY3A</v>
      </c>
      <c r="B40" s="1" t="str">
        <f>TY3A_REP_CITIES!B40</f>
        <v>Boston</v>
      </c>
      <c r="C40" s="1" t="str">
        <f>TY3A_REP_CITIES!C40</f>
        <v>Suffolk</v>
      </c>
      <c r="D40" s="2" t="str">
        <f>TY3A_REP_CITIES!A40</f>
        <v>MA</v>
      </c>
      <c r="E40" s="42">
        <f>TY3A_REP_CITIES!E40</f>
        <v>803907</v>
      </c>
      <c r="F40" s="2">
        <f>TY3A_REP_CITIES!G40</f>
        <v>5</v>
      </c>
      <c r="G40" s="2" t="str">
        <f>TY3A_REP_CITIES!H40</f>
        <v>Cold</v>
      </c>
      <c r="H40" s="2" t="str">
        <f>TY3A_REP_CITIES!I40</f>
        <v>Northeast</v>
      </c>
      <c r="I40" s="2">
        <f>Data!B40</f>
        <v>42.37</v>
      </c>
      <c r="J40" s="2">
        <f>Data!C40</f>
        <v>-71.02</v>
      </c>
      <c r="K40" s="2">
        <f>VLOOKUP(D40,Table1[],2,FALSE)</f>
        <v>1</v>
      </c>
      <c r="L40" s="2">
        <v>0.5</v>
      </c>
      <c r="M40" s="10">
        <f>Data!N40</f>
        <v>4763.2717000000002</v>
      </c>
      <c r="N40" s="10">
        <f>Data!Q40</f>
        <v>29308</v>
      </c>
      <c r="O40" s="10">
        <f>Data!O40</f>
        <v>45382789624.614502</v>
      </c>
      <c r="P40" s="10">
        <f>Data!P40</f>
        <v>47273739192.306747</v>
      </c>
      <c r="Q40" s="10">
        <f>Data!S40*15</f>
        <v>35668.697032064752</v>
      </c>
      <c r="R40" s="48">
        <f>SUM(Data!U40:AA40)*2+Data!AB40</f>
        <v>89.132073220156173</v>
      </c>
      <c r="S40" s="48">
        <f>SUM(Data!V40:AB40)*2+Data!AC40</f>
        <v>84.380923742812882</v>
      </c>
      <c r="T40" s="48">
        <f>SUM(Data!W40:AC40)*2+Data!AD40</f>
        <v>89.534361833981507</v>
      </c>
      <c r="U40" s="48">
        <f>SUM(Data!X40:AD40)*2+Data!AE40</f>
        <v>89.732745528615993</v>
      </c>
      <c r="V40" s="48">
        <f>SUM(Data!Y40:AE40)*2+Data!AF40</f>
        <v>90.674515026916211</v>
      </c>
      <c r="W40" s="48">
        <f>SUM(Data!Z40:AF40)*2+Data!AG40</f>
        <v>76.388244637358042</v>
      </c>
      <c r="X40" s="48">
        <f>SUM(Data!AA40:AG40)*2+Data!AH40</f>
        <v>81.080232227474994</v>
      </c>
      <c r="Y40" s="48">
        <f>SUM(Data!AB40:AH40)*2+Data!AI40</f>
        <v>84.388531130493476</v>
      </c>
      <c r="Z40" s="80">
        <f>(SUM(Data!CS40:CY40)*2+Data!CZ40)/('Useful Constants'!$B$1*1000000)*$K40/100</f>
        <v>0.52883616258336985</v>
      </c>
      <c r="AA40" s="80">
        <f>(SUM(Data!CT40:CZ40)*2+Data!DA40)/('Useful Constants'!$B$1*1000000)*$K40/100</f>
        <v>0.41534674647690073</v>
      </c>
      <c r="AB40" s="80">
        <f>(SUM(Data!CU40:DA40)*2+Data!DB40)/('Useful Constants'!$B$1*1000000)*$K40/100</f>
        <v>0.33197774891989612</v>
      </c>
      <c r="AC40" s="80">
        <f>(SUM(Data!CV40:DB40)*2+Data!DC40)/('Useful Constants'!$B$1*1000000)*$K40/100</f>
        <v>0.29302088287934619</v>
      </c>
      <c r="AD40" s="80">
        <f>(SUM(Data!CW40:DC40)*2+Data!DD40)/('Useful Constants'!$B$1*1000000)*$K40/100</f>
        <v>0.26298671229641779</v>
      </c>
      <c r="AE40" s="80">
        <f>(SUM(Data!CX40:DD40)*2+Data!DE40)/('Useful Constants'!$B$1*1000000)*$K40/100</f>
        <v>0.24586984598458467</v>
      </c>
      <c r="AF40" s="80">
        <f>(SUM(Data!CY40:DE40)*2+Data!DF40)/('Useful Constants'!$B$1*1000000)*$K40/100</f>
        <v>0.22328457011058192</v>
      </c>
      <c r="AG40" s="80">
        <f>(SUM(Data!CZ40:DF40)*2+Data!DG40)/('Useful Constants'!$B$1*1000000)*$K40/100</f>
        <v>0.21105363466526753</v>
      </c>
      <c r="AH40" s="48">
        <f>Z40*'Useful Constants'!$B$3</f>
        <v>44.422237657003066</v>
      </c>
      <c r="AI40" s="48">
        <f>AA40*'Useful Constants'!$B$3</f>
        <v>34.889126704059663</v>
      </c>
      <c r="AJ40" s="48">
        <f>AB40*'Useful Constants'!$B$3</f>
        <v>27.886130909271273</v>
      </c>
      <c r="AK40" s="48">
        <f>AC40*'Useful Constants'!$B$3</f>
        <v>24.613754161865081</v>
      </c>
      <c r="AL40" s="48">
        <f>AD40*'Useful Constants'!$B$3</f>
        <v>22.090883832899095</v>
      </c>
      <c r="AM40" s="48">
        <f>AE40*'Useful Constants'!$B$3</f>
        <v>20.653067062705112</v>
      </c>
      <c r="AN40" s="48">
        <f>AF40*'Useful Constants'!$B$3</f>
        <v>18.755903889288881</v>
      </c>
      <c r="AO40" s="48">
        <f>AG40*'Useful Constants'!$B$3</f>
        <v>17.728505311882472</v>
      </c>
      <c r="AP40" s="10">
        <f>Z40*'Useful Constants'!$B$4</f>
        <v>14.807412552334355</v>
      </c>
      <c r="AQ40" s="10">
        <f>AA40*'Useful Constants'!$B$4</f>
        <v>11.62970890135322</v>
      </c>
      <c r="AR40" s="10">
        <f>AB40*'Useful Constants'!$B$4</f>
        <v>9.2953769697570916</v>
      </c>
      <c r="AS40" s="10">
        <f>AC40*'Useful Constants'!$B$4</f>
        <v>8.2045847206216926</v>
      </c>
      <c r="AT40" s="10">
        <f>AD40*'Useful Constants'!$B$4</f>
        <v>7.3636279442996981</v>
      </c>
      <c r="AU40" s="10">
        <f>AE40*'Useful Constants'!$B$4</f>
        <v>6.8843556875683705</v>
      </c>
      <c r="AV40" s="10">
        <f>AF40*'Useful Constants'!$B$4</f>
        <v>6.2519679630962939</v>
      </c>
      <c r="AW40" s="10">
        <f>AG40*'Useful Constants'!$B$4</f>
        <v>5.9095017706274904</v>
      </c>
      <c r="AX40" s="48">
        <f>P40/1000000/'Useful Constants'!$B$1*K40/100*'Useful Constants'!$B$3*15</f>
        <v>11912.9822764613</v>
      </c>
      <c r="AY40" s="48">
        <f>P40/1000000/'Useful Constants'!$B$1*L40/100*'Useful Constants'!$B$3*15</f>
        <v>5956.49113823065</v>
      </c>
      <c r="AZ40" s="48">
        <f>P40/1000000/'Useful Constants'!$B$1*K40/100*'Useful Constants'!$B$4*15</f>
        <v>3970.9940921537673</v>
      </c>
      <c r="BA40" s="48">
        <f>P40/1000000/'Useful Constants'!$B$1*L40/100*'Useful Constants'!$B$4*15</f>
        <v>1985.4970460768836</v>
      </c>
      <c r="BB40" s="7">
        <f>Data!AN40</f>
        <v>4763.2717000000002</v>
      </c>
      <c r="BC40" s="7">
        <f>Data!AQ40</f>
        <v>4763.2717000000002</v>
      </c>
      <c r="BD40" s="7">
        <f>Data!AT40</f>
        <v>8139.5942999999997</v>
      </c>
      <c r="BE40" s="6">
        <f>Data!AO40</f>
        <v>38138441875.262398</v>
      </c>
      <c r="BF40" s="6">
        <f>Data!AP40</f>
        <v>12796772130.2353</v>
      </c>
      <c r="BG40" s="6">
        <f>Data!AR40</f>
        <v>5436601749.81394</v>
      </c>
      <c r="BH40" s="6">
        <f>Data!AS40</f>
        <v>5436601749.81394</v>
      </c>
      <c r="BI40" s="8">
        <f t="shared" si="50"/>
        <v>0.87523588509535499</v>
      </c>
      <c r="BJ40" s="8">
        <f t="shared" si="51"/>
        <v>0.70183237695999801</v>
      </c>
      <c r="BK40" s="13">
        <f>BB40*'Useful Constants'!$B$5/'Useful Constants'!$B$6*'Useful Constants'!$B$7</f>
        <v>1.2189212280300001</v>
      </c>
      <c r="BL40" s="52">
        <f>1-VLOOKUP($G40,'Useful Constants'!$A$17:$X$23,10,FALSE)</f>
        <v>6.6471999999999865E-2</v>
      </c>
      <c r="BM40" s="52">
        <f>1-VLOOKUP($G40,'Useful Constants'!$A$17:$X$23,12,FALSE)</f>
        <v>4.945672000000001E-2</v>
      </c>
      <c r="BN40" s="52">
        <f>1-VLOOKUP($G40,'Useful Constants'!$A$17:$X$23,14,FALSE)</f>
        <v>3.4455679999999989E-2</v>
      </c>
      <c r="BO40" s="52">
        <f>1-VLOOKUP($G40,'Useful Constants'!$A$17:$X$23,16,FALSE)</f>
        <v>2.1468880000000024E-2</v>
      </c>
      <c r="BP40" s="52">
        <f>1-VLOOKUP($G40,'Useful Constants'!$A$17:$X$23,18,FALSE)</f>
        <v>0</v>
      </c>
      <c r="BQ40" s="52">
        <f>1-VLOOKUP($G40,'Useful Constants'!$A$17:$X$23,20, FALSE)</f>
        <v>0</v>
      </c>
      <c r="BR40" s="52">
        <f>1-VLOOKUP($G40,'Useful Constants'!$A$17:$X$23,22, FALSE)</f>
        <v>0</v>
      </c>
      <c r="BS40" s="52">
        <f>1-VLOOKUP($G40,'Useful Constants'!$A$17:$X$23,24, FALSE)</f>
        <v>0</v>
      </c>
      <c r="BT40" s="13">
        <f t="shared" si="52"/>
        <v>8.1024131869610008E-2</v>
      </c>
      <c r="BU40" s="13">
        <f t="shared" si="53"/>
        <v>6.0283845876735881E-2</v>
      </c>
      <c r="BV40" s="13">
        <f t="shared" si="54"/>
        <v>4.1998759778208702E-2</v>
      </c>
      <c r="BW40" s="13">
        <f t="shared" si="55"/>
        <v>2.6168873574028736E-2</v>
      </c>
      <c r="BX40" s="13">
        <f t="shared" si="56"/>
        <v>0</v>
      </c>
      <c r="BY40" s="13">
        <f t="shared" si="57"/>
        <v>0</v>
      </c>
      <c r="BZ40" s="13">
        <f t="shared" si="58"/>
        <v>0</v>
      </c>
      <c r="CA40" s="13">
        <f t="shared" si="59"/>
        <v>0</v>
      </c>
      <c r="CB40" s="59">
        <f>+SUM(Data!BM40:BS40)*2+Data!BT40</f>
        <v>558.54056435942368</v>
      </c>
      <c r="CC40" s="59">
        <f>+SUM(Data!BN40:BT40)*2+Data!BU40</f>
        <v>528.99565202556118</v>
      </c>
      <c r="CD40" s="59">
        <f>+SUM(Data!BO40:BU40)*2+Data!BV40</f>
        <v>561.52485071302613</v>
      </c>
      <c r="CE40" s="59">
        <f>+SUM(Data!BP40:BV40)*2+Data!BW40</f>
        <v>561.81960798929958</v>
      </c>
      <c r="CF40" s="59">
        <f>+SUM(Data!BQ40:BW40)*2+Data!BX40</f>
        <v>568.19710235525997</v>
      </c>
      <c r="CG40" s="59">
        <f>+SUM(Data!BR40:BX40)*2+Data!BY40</f>
        <v>478.95661191184757</v>
      </c>
      <c r="CH40" s="59">
        <f>+SUM(Data!BS40:BY40)*2+Data!BZ40</f>
        <v>508.8648573058739</v>
      </c>
      <c r="CI40" s="59">
        <f>+SUM(Data!BT40:BZ40)*2+Data!CA40</f>
        <v>528.9898162145505</v>
      </c>
      <c r="CJ40" s="13">
        <f>+SUM(Data!AW40:BC40)*2+Data!BD40</f>
        <v>3123.0237029469722</v>
      </c>
      <c r="CK40" s="13">
        <f>+SUM(Data!AX40:BD40)*2+Data!BE40</f>
        <v>2961.8485599614842</v>
      </c>
      <c r="CL40" s="13">
        <f>+SUM(Data!AY40:BE40)*2+Data!BF40</f>
        <v>3144.6975122034642</v>
      </c>
      <c r="CM40" s="13">
        <f>+SUM(Data!AZ40:BF40)*2+Data!BG40</f>
        <v>3155.6582591459705</v>
      </c>
      <c r="CN40" s="13">
        <f>+SUM(Data!BA40:BG40)*2+Data!BH40</f>
        <v>3189.9358098400307</v>
      </c>
      <c r="CO40" s="13">
        <f>+SUM(Data!BB40:BH40)*2+Data!BI40</f>
        <v>2692.7767873329799</v>
      </c>
      <c r="CP40" s="13">
        <f>+SUM(Data!BC40:BI40)*2+Data!BJ40</f>
        <v>2863.2561949767942</v>
      </c>
      <c r="CQ40" s="13">
        <f>+SUM(Data!BD40:BJ40)*2+Data!BK40</f>
        <v>2984.7902576693723</v>
      </c>
      <c r="CR40" s="59">
        <f>+SUM(Data!CC40:CI40)*2+Data!CJ40</f>
        <v>1244.7560792371457</v>
      </c>
      <c r="CS40" s="59">
        <f>+SUM(Data!CD40:CJ40)*2+Data!CK40</f>
        <v>1191.7533767338673</v>
      </c>
      <c r="CT40" s="59">
        <f>+SUM(Data!CE40:CK40)*2+Data!CL40</f>
        <v>1260.7362563673089</v>
      </c>
      <c r="CU40" s="59">
        <f>+SUM(Data!CF40:CL40)*2+Data!CM40</f>
        <v>1312.427447364953</v>
      </c>
      <c r="CV40" s="59">
        <f>+SUM(Data!CG40:CM40)*2+Data!CN40</f>
        <v>1304.0408563106198</v>
      </c>
      <c r="CW40" s="59">
        <f>+SUM(Data!CH40:CN40)*2+Data!CO40</f>
        <v>1099.5554104322566</v>
      </c>
      <c r="CX40" s="59">
        <f>+SUM(Data!CI40:CO40)*2+Data!CP40</f>
        <v>1155.3713402799517</v>
      </c>
      <c r="CY40" s="59">
        <f>+SUM(Data!CJ40:CP40)*2+Data!CQ40</f>
        <v>1237.189018100255</v>
      </c>
      <c r="CZ40" s="60">
        <f t="shared" si="60"/>
        <v>4926.3203465435417</v>
      </c>
      <c r="DA40" s="60">
        <f t="shared" si="61"/>
        <v>4682.5975887209124</v>
      </c>
      <c r="DB40" s="60">
        <f t="shared" si="62"/>
        <v>4966.9586192837987</v>
      </c>
      <c r="DC40" s="60">
        <f t="shared" si="63"/>
        <v>5029.9053145002235</v>
      </c>
      <c r="DD40" s="60">
        <f t="shared" si="64"/>
        <v>5062.1737685059106</v>
      </c>
      <c r="DE40" s="60">
        <f t="shared" si="65"/>
        <v>4271.2888096770839</v>
      </c>
      <c r="DF40" s="60">
        <f t="shared" si="66"/>
        <v>4527.4923925626199</v>
      </c>
      <c r="DG40" s="60">
        <f t="shared" si="67"/>
        <v>4750.9690919841778</v>
      </c>
      <c r="DH40" s="13">
        <f t="shared" si="68"/>
        <v>8.3306790984560591E-2</v>
      </c>
      <c r="DI40" s="13">
        <f t="shared" si="69"/>
        <v>6.1982197554187428E-2</v>
      </c>
      <c r="DJ40" s="13">
        <f t="shared" si="70"/>
        <v>4.3181973342022353E-2</v>
      </c>
      <c r="DK40" s="13">
        <f t="shared" si="71"/>
        <v>2.6906118348065632E-2</v>
      </c>
      <c r="DL40" s="13">
        <f t="shared" si="72"/>
        <v>0</v>
      </c>
      <c r="DM40" s="13">
        <f t="shared" si="73"/>
        <v>0</v>
      </c>
      <c r="DN40" s="13">
        <f t="shared" si="74"/>
        <v>0</v>
      </c>
      <c r="DO40" s="13">
        <f t="shared" si="75"/>
        <v>0</v>
      </c>
      <c r="DP40" s="50">
        <f>DH40*'Useful Constants'!$B$8</f>
        <v>354.88692959422809</v>
      </c>
      <c r="DQ40" s="50">
        <f>DI40*'Useful Constants'!$B$8</f>
        <v>264.04416158083842</v>
      </c>
      <c r="DR40" s="50">
        <f>DJ40*'Useful Constants'!$B$10</f>
        <v>104.93219522111431</v>
      </c>
      <c r="DS40" s="50">
        <f>DK40*'Useful Constants'!$B$10</f>
        <v>65.381867585799483</v>
      </c>
      <c r="DT40" s="50">
        <f>DL40*'Useful Constants'!$B$10</f>
        <v>0</v>
      </c>
      <c r="DU40" s="50">
        <f>DM40*'Useful Constants'!$B$10</f>
        <v>0</v>
      </c>
      <c r="DV40" s="50">
        <f>DN40*'Useful Constants'!$B$10</f>
        <v>0</v>
      </c>
      <c r="DW40" s="50">
        <f>DO40*'Useful Constants'!$B$10</f>
        <v>0</v>
      </c>
      <c r="DX40" s="14">
        <f>DH40*'Useful Constants'!$B$9</f>
        <v>160.28226585429456</v>
      </c>
      <c r="DY40" s="14">
        <f>DI40*'Useful Constants'!$B$9</f>
        <v>119.25374809425661</v>
      </c>
      <c r="DZ40" s="14">
        <f>DJ40*'Useful Constants'!$B$11</f>
        <v>29.234195952549133</v>
      </c>
      <c r="EA40" s="14">
        <f>DK40*'Useful Constants'!$B$11</f>
        <v>18.215442121640432</v>
      </c>
      <c r="EB40" s="14">
        <f>DL40*'Useful Constants'!$B$11</f>
        <v>0</v>
      </c>
      <c r="EC40" s="14">
        <f>DM40*'Useful Constants'!$B$11</f>
        <v>0</v>
      </c>
      <c r="ED40" s="14">
        <f>DN40*'Useful Constants'!$B$11</f>
        <v>0</v>
      </c>
      <c r="EE40" s="14">
        <f>DO40*'Useful Constants'!$B$11</f>
        <v>0</v>
      </c>
      <c r="EF40" s="78">
        <f>(SUM(Data!DI40:DO40)*2+Data!DP40)/('Useful Constants'!$B$1*1000000)*$K40/100</f>
        <v>30.347140812960042</v>
      </c>
      <c r="EG40" s="78">
        <f>(SUM(Data!DJ40:DP40)*2+Data!DQ40)/('Useful Constants'!$B$1*1000000)*$K40/100</f>
        <v>23.657912613935991</v>
      </c>
      <c r="EH40" s="78">
        <f>(SUM(Data!DK40:DQ40)*2+Data!DR40)/('Useful Constants'!$B$1*1000000)*$K40/100</f>
        <v>18.900880062055439</v>
      </c>
      <c r="EI40" s="78">
        <f>(SUM(Data!DL40:DR40)*2+Data!DS40)/('Useful Constants'!$B$1*1000000)*$K40/100</f>
        <v>16.541239546047866</v>
      </c>
      <c r="EJ40" s="78">
        <f>(SUM(Data!DM40:DS40)*2+Data!DT40)/('Useful Constants'!$B$1*1000000)*$K40/100</f>
        <v>14.841141223116557</v>
      </c>
      <c r="EK40" s="78">
        <f>(SUM(Data!DN40:DT40)*2+Data!DU40)/('Useful Constants'!$B$1*1000000)*$K40/100</f>
        <v>13.810842219835809</v>
      </c>
      <c r="EL40" s="78">
        <f>(SUM(Data!DO40:DU40)*2+Data!DV40)/('Useful Constants'!$B$1*1000000)*$K40/100</f>
        <v>12.493888721824348</v>
      </c>
      <c r="EM40" s="78">
        <f>(SUM(Data!DP40:DV40)*2+Data!DW40)/('Useful Constants'!$B$1*1000000)*$K40/100</f>
        <v>11.771407349233087</v>
      </c>
      <c r="EN40" s="79">
        <f>EF40*'Useful Constants'!$B$3</f>
        <v>2549.1598282886434</v>
      </c>
      <c r="EO40" s="79">
        <f>EG40*'Useful Constants'!$B$3</f>
        <v>1987.2646595706233</v>
      </c>
      <c r="EP40" s="79">
        <f>EH40*'Useful Constants'!$B$3</f>
        <v>1587.673925212657</v>
      </c>
      <c r="EQ40" s="79">
        <f>EI40*'Useful Constants'!$B$3</f>
        <v>1389.4641218680208</v>
      </c>
      <c r="ER40" s="79">
        <f>EJ40*'Useful Constants'!$B$3</f>
        <v>1246.6558627417908</v>
      </c>
      <c r="ES40" s="79">
        <f>EK40*'Useful Constants'!$B$3</f>
        <v>1160.110746466208</v>
      </c>
      <c r="ET40" s="79">
        <f>EL40*'Useful Constants'!$B$3</f>
        <v>1049.4866526332453</v>
      </c>
      <c r="EU40" s="79">
        <f>EM40*'Useful Constants'!$B$3</f>
        <v>988.79821733557924</v>
      </c>
      <c r="EV40" s="78">
        <f>EF40*'Useful Constants'!$B$4</f>
        <v>849.71994276288115</v>
      </c>
      <c r="EW40" s="78">
        <f>EG40*'Useful Constants'!$B$4</f>
        <v>662.42155319020776</v>
      </c>
      <c r="EX40" s="78">
        <f>EH40*'Useful Constants'!$B$4</f>
        <v>529.22464173755225</v>
      </c>
      <c r="EY40" s="78">
        <f>EI40*'Useful Constants'!$B$4</f>
        <v>463.15470728934025</v>
      </c>
      <c r="EZ40" s="78">
        <f>EJ40*'Useful Constants'!$B$4</f>
        <v>415.55195424726361</v>
      </c>
      <c r="FA40" s="78">
        <f>EK40*'Useful Constants'!$B$4</f>
        <v>386.70358215540267</v>
      </c>
      <c r="FB40" s="78">
        <f>EL40*'Useful Constants'!$B$4</f>
        <v>349.82888421108174</v>
      </c>
      <c r="FC40" s="78">
        <f>EM40*'Useful Constants'!$B$4</f>
        <v>329.59940577852643</v>
      </c>
      <c r="FD40" s="40">
        <f t="shared" si="76"/>
        <v>0.86223100032055788</v>
      </c>
      <c r="FE40" s="40">
        <f t="shared" si="77"/>
        <v>0.86902952538774936</v>
      </c>
      <c r="FF40" s="40">
        <f t="shared" si="78"/>
        <v>0.86109607702434388</v>
      </c>
      <c r="FG40" s="40">
        <f t="shared" si="79"/>
        <v>0.85933651601077798</v>
      </c>
      <c r="FH40" s="40">
        <f t="shared" si="80"/>
        <v>0.85843784301859127</v>
      </c>
      <c r="FI40" s="40">
        <f t="shared" si="81"/>
        <v>0.88050696266037387</v>
      </c>
      <c r="FJ40" s="40">
        <f t="shared" si="82"/>
        <v>0.87335606711360425</v>
      </c>
      <c r="FK40" s="40">
        <f t="shared" si="83"/>
        <v>0.86711722870501295</v>
      </c>
      <c r="FL40" s="4">
        <f t="shared" si="84"/>
        <v>0.85410628892985818</v>
      </c>
      <c r="FM40" s="4">
        <f t="shared" si="85"/>
        <v>0.87077455902441447</v>
      </c>
      <c r="FN40" s="4">
        <f t="shared" si="86"/>
        <v>0.87588311631444615</v>
      </c>
      <c r="FO40" s="4">
        <f t="shared" si="87"/>
        <v>0.87913425738392215</v>
      </c>
      <c r="FP40" s="4">
        <f t="shared" si="88"/>
        <v>0.88240970018860987</v>
      </c>
      <c r="FQ40" s="4">
        <f t="shared" si="89"/>
        <v>0.89873444369711264</v>
      </c>
      <c r="FR40" s="4">
        <f t="shared" si="90"/>
        <v>0.89602560944208187</v>
      </c>
      <c r="FS40" s="4">
        <f t="shared" si="91"/>
        <v>0.8929952172400728</v>
      </c>
      <c r="FT40" s="38">
        <f t="shared" si="92"/>
        <v>0.85774151321618852</v>
      </c>
      <c r="FU40" s="38">
        <f t="shared" si="93"/>
        <v>0.86902886190268391</v>
      </c>
      <c r="FV40" s="38">
        <f t="shared" si="94"/>
        <v>0.86757225852477338</v>
      </c>
      <c r="FW40" s="38">
        <f t="shared" si="95"/>
        <v>0.86790837460536696</v>
      </c>
      <c r="FX40" s="38">
        <f t="shared" si="96"/>
        <v>0.86871279604253815</v>
      </c>
      <c r="FY40" s="38">
        <f t="shared" si="97"/>
        <v>0.88832020396414146</v>
      </c>
      <c r="FZ40" s="38">
        <f t="shared" si="98"/>
        <v>0.88307296625919818</v>
      </c>
      <c r="GA40" s="38">
        <f t="shared" si="99"/>
        <v>0.87820905471375288</v>
      </c>
    </row>
    <row r="41" spans="1:183" x14ac:dyDescent="0.25">
      <c r="A41" s="1" t="str">
        <f>Data!A41</f>
        <v>MD_BALTIMORE-BLT-WASHNGTN-IAP_724060_TY3A</v>
      </c>
      <c r="B41" s="1" t="str">
        <f>TY3A_REP_CITIES!B41</f>
        <v>Baltimore</v>
      </c>
      <c r="C41" s="1" t="str">
        <f>TY3A_REP_CITIES!C41</f>
        <v>Baltimore</v>
      </c>
      <c r="D41" s="2" t="str">
        <f>TY3A_REP_CITIES!A41</f>
        <v>MD</v>
      </c>
      <c r="E41" s="42">
        <f>TY3A_REP_CITIES!E41</f>
        <v>827370</v>
      </c>
      <c r="F41" s="2">
        <f>TY3A_REP_CITIES!G41</f>
        <v>4</v>
      </c>
      <c r="G41" s="2" t="str">
        <f>TY3A_REP_CITIES!H41</f>
        <v>Mixed-Humid</v>
      </c>
      <c r="H41" s="2" t="str">
        <f>TY3A_REP_CITIES!I41</f>
        <v>Southeast</v>
      </c>
      <c r="I41" s="2">
        <f>Data!B41</f>
        <v>39.17</v>
      </c>
      <c r="J41" s="2">
        <f>Data!C41</f>
        <v>-76.680000000000007</v>
      </c>
      <c r="K41" s="2">
        <f>VLOOKUP(D41,Table1[],2,FALSE)</f>
        <v>0.9</v>
      </c>
      <c r="L41" s="2">
        <v>0.5</v>
      </c>
      <c r="M41" s="10">
        <f>Data!N41</f>
        <v>5224.9735799999999</v>
      </c>
      <c r="N41" s="10">
        <f>Data!Q41</f>
        <v>29308</v>
      </c>
      <c r="O41" s="10">
        <f>Data!O41</f>
        <v>35390253721.302101</v>
      </c>
      <c r="P41" s="10">
        <f>Data!P41</f>
        <v>36864847626.356255</v>
      </c>
      <c r="Q41" s="10">
        <f>Data!S41*15</f>
        <v>27815.042845853874</v>
      </c>
      <c r="R41" s="48">
        <f>SUM(Data!U41:AA41)*2+Data!AB41</f>
        <v>245.56679178576121</v>
      </c>
      <c r="S41" s="48">
        <f>SUM(Data!V41:AB41)*2+Data!AC41</f>
        <v>260.09036436118959</v>
      </c>
      <c r="T41" s="48">
        <f>SUM(Data!W41:AC41)*2+Data!AD41</f>
        <v>240.81780190050503</v>
      </c>
      <c r="U41" s="48">
        <f>SUM(Data!X41:AD41)*2+Data!AE41</f>
        <v>234.66623890645218</v>
      </c>
      <c r="V41" s="48">
        <f>SUM(Data!Y41:AE41)*2+Data!AF41</f>
        <v>249.3464081362595</v>
      </c>
      <c r="W41" s="48">
        <f>SUM(Data!Z41:AF41)*2+Data!AG41</f>
        <v>227.57501741403672</v>
      </c>
      <c r="X41" s="48">
        <f>SUM(Data!AA41:AG41)*2+Data!AH41</f>
        <v>231.67334547314084</v>
      </c>
      <c r="Y41" s="48">
        <f>SUM(Data!AB41:AH41)*2+Data!AI41</f>
        <v>223.87381549203741</v>
      </c>
      <c r="Z41" s="80">
        <f>(SUM(Data!CS41:CY41)*2+Data!CZ41)/('Useful Constants'!$B$1*1000000)*$K41/100</f>
        <v>0.47022774334329914</v>
      </c>
      <c r="AA41" s="80">
        <f>(SUM(Data!CT41:CZ41)*2+Data!DA41)/('Useful Constants'!$B$1*1000000)*$K41/100</f>
        <v>0.41276905893824906</v>
      </c>
      <c r="AB41" s="80">
        <f>(SUM(Data!CU41:DA41)*2+Data!DB41)/('Useful Constants'!$B$1*1000000)*$K41/100</f>
        <v>0.36483392086480493</v>
      </c>
      <c r="AC41" s="80">
        <f>(SUM(Data!CV41:DB41)*2+Data!DC41)/('Useful Constants'!$B$1*1000000)*$K41/100</f>
        <v>0.33762226590043359</v>
      </c>
      <c r="AD41" s="80">
        <f>(SUM(Data!CW41:DC41)*2+Data!DD41)/('Useful Constants'!$B$1*1000000)*$K41/100</f>
        <v>0.3258530214596343</v>
      </c>
      <c r="AE41" s="80">
        <f>(SUM(Data!CX41:DD41)*2+Data!DE41)/('Useful Constants'!$B$1*1000000)*$K41/100</f>
        <v>0.31890650551418148</v>
      </c>
      <c r="AF41" s="80">
        <f>(SUM(Data!CY41:DE41)*2+Data!DF41)/('Useful Constants'!$B$1*1000000)*$K41/100</f>
        <v>0.31180958267820807</v>
      </c>
      <c r="AG41" s="80">
        <f>(SUM(Data!CZ41:DF41)*2+Data!DG41)/('Useful Constants'!$B$1*1000000)*$K41/100</f>
        <v>0.32531786521280226</v>
      </c>
      <c r="AH41" s="48">
        <f>Z41*'Useful Constants'!$B$3</f>
        <v>39.499130440837128</v>
      </c>
      <c r="AI41" s="48">
        <f>AA41*'Useful Constants'!$B$3</f>
        <v>34.672600950812921</v>
      </c>
      <c r="AJ41" s="48">
        <f>AB41*'Useful Constants'!$B$3</f>
        <v>30.646049352643615</v>
      </c>
      <c r="AK41" s="48">
        <f>AC41*'Useful Constants'!$B$3</f>
        <v>28.360270335636422</v>
      </c>
      <c r="AL41" s="48">
        <f>AD41*'Useful Constants'!$B$3</f>
        <v>27.371653802609281</v>
      </c>
      <c r="AM41" s="48">
        <f>AE41*'Useful Constants'!$B$3</f>
        <v>26.788146463191243</v>
      </c>
      <c r="AN41" s="48">
        <f>AF41*'Useful Constants'!$B$3</f>
        <v>26.192004944969479</v>
      </c>
      <c r="AO41" s="48">
        <f>AG41*'Useful Constants'!$B$3</f>
        <v>27.32670067787539</v>
      </c>
      <c r="AP41" s="10">
        <f>Z41*'Useful Constants'!$B$4</f>
        <v>13.166376813612375</v>
      </c>
      <c r="AQ41" s="10">
        <f>AA41*'Useful Constants'!$B$4</f>
        <v>11.557533650270974</v>
      </c>
      <c r="AR41" s="10">
        <f>AB41*'Useful Constants'!$B$4</f>
        <v>10.215349784214538</v>
      </c>
      <c r="AS41" s="10">
        <f>AC41*'Useful Constants'!$B$4</f>
        <v>9.45342344521214</v>
      </c>
      <c r="AT41" s="10">
        <f>AD41*'Useful Constants'!$B$4</f>
        <v>9.1238846008697596</v>
      </c>
      <c r="AU41" s="10">
        <f>AE41*'Useful Constants'!$B$4</f>
        <v>8.9293821543970822</v>
      </c>
      <c r="AV41" s="10">
        <f>AF41*'Useful Constants'!$B$4</f>
        <v>8.7306683149898259</v>
      </c>
      <c r="AW41" s="10">
        <f>AG41*'Useful Constants'!$B$4</f>
        <v>9.1089002259584628</v>
      </c>
      <c r="AX41" s="48">
        <f>P41/1000000/'Useful Constants'!$B$1*K41/100*'Useful Constants'!$B$3*15</f>
        <v>8360.9474416575977</v>
      </c>
      <c r="AY41" s="48">
        <f>P41/1000000/'Useful Constants'!$B$1*L41/100*'Useful Constants'!$B$3*15</f>
        <v>4644.970800920888</v>
      </c>
      <c r="AZ41" s="48">
        <f>P41/1000000/'Useful Constants'!$B$1*K41/100*'Useful Constants'!$B$4*15</f>
        <v>2786.9824805525327</v>
      </c>
      <c r="BA41" s="48">
        <f>P41/1000000/'Useful Constants'!$B$1*L41/100*'Useful Constants'!$B$4*15</f>
        <v>1548.3236003069626</v>
      </c>
      <c r="BB41" s="7">
        <f>Data!AN41</f>
        <v>5224.9735799999999</v>
      </c>
      <c r="BC41" s="7">
        <f>Data!AQ41</f>
        <v>5224.9735799999999</v>
      </c>
      <c r="BD41" s="7">
        <f>Data!AT41</f>
        <v>6610.5454200000004</v>
      </c>
      <c r="BE41" s="6">
        <f>Data!AO41</f>
        <v>31753769778.4813</v>
      </c>
      <c r="BF41" s="6">
        <f>Data!AP41</f>
        <v>10155474676.7691</v>
      </c>
      <c r="BG41" s="6">
        <f>Data!AR41</f>
        <v>2269537046.2804999</v>
      </c>
      <c r="BH41" s="6">
        <f>Data!AS41</f>
        <v>2269537046.2804999</v>
      </c>
      <c r="BI41" s="8">
        <f t="shared" si="50"/>
        <v>0.93329463658633105</v>
      </c>
      <c r="BJ41" s="8">
        <f t="shared" si="51"/>
        <v>0.81734125513376465</v>
      </c>
      <c r="BK41" s="13">
        <f>BB41*'Useful Constants'!$B$5/'Useful Constants'!$B$6*'Useful Constants'!$B$7</f>
        <v>1.337070739122</v>
      </c>
      <c r="BL41" s="52">
        <f>1-VLOOKUP($G41,'Useful Constants'!$A$17:$X$23,10,FALSE)</f>
        <v>0</v>
      </c>
      <c r="BM41" s="52">
        <f>1-VLOOKUP($G41,'Useful Constants'!$A$17:$X$23,12,FALSE)</f>
        <v>0</v>
      </c>
      <c r="BN41" s="52">
        <f>1-VLOOKUP($G41,'Useful Constants'!$A$17:$X$23,14,FALSE)</f>
        <v>0</v>
      </c>
      <c r="BO41" s="52">
        <f>1-VLOOKUP($G41,'Useful Constants'!$A$17:$X$23,16,FALSE)</f>
        <v>0</v>
      </c>
      <c r="BP41" s="52">
        <f>1-VLOOKUP($G41,'Useful Constants'!$A$17:$X$23,18,FALSE)</f>
        <v>0</v>
      </c>
      <c r="BQ41" s="52">
        <f>1-VLOOKUP($G41,'Useful Constants'!$A$17:$X$23,20, FALSE)</f>
        <v>0</v>
      </c>
      <c r="BR41" s="52">
        <f>1-VLOOKUP($G41,'Useful Constants'!$A$17:$X$23,22, FALSE)</f>
        <v>0</v>
      </c>
      <c r="BS41" s="52">
        <f>1-VLOOKUP($G41,'Useful Constants'!$A$17:$X$23,24, FALSE)</f>
        <v>0</v>
      </c>
      <c r="BT41" s="13">
        <f t="shared" si="52"/>
        <v>0</v>
      </c>
      <c r="BU41" s="13">
        <f t="shared" si="53"/>
        <v>0</v>
      </c>
      <c r="BV41" s="13">
        <f t="shared" si="54"/>
        <v>0</v>
      </c>
      <c r="BW41" s="13">
        <f t="shared" si="55"/>
        <v>0</v>
      </c>
      <c r="BX41" s="13">
        <f t="shared" si="56"/>
        <v>0</v>
      </c>
      <c r="BY41" s="13">
        <f t="shared" si="57"/>
        <v>0</v>
      </c>
      <c r="BZ41" s="13">
        <f t="shared" si="58"/>
        <v>0</v>
      </c>
      <c r="CA41" s="13">
        <f t="shared" si="59"/>
        <v>0</v>
      </c>
      <c r="CB41" s="59">
        <f>+SUM(Data!BM41:BS41)*2+Data!BT41</f>
        <v>1415.1330240211557</v>
      </c>
      <c r="CC41" s="59">
        <f>+SUM(Data!BN41:BT41)*2+Data!BU41</f>
        <v>1498.6782029223245</v>
      </c>
      <c r="CD41" s="59">
        <f>+SUM(Data!BO41:BU41)*2+Data!BV41</f>
        <v>1387.4772973390839</v>
      </c>
      <c r="CE41" s="59">
        <f>+SUM(Data!BP41:BV41)*2+Data!BW41</f>
        <v>1352.3518096182331</v>
      </c>
      <c r="CF41" s="59">
        <f>+SUM(Data!BQ41:BW41)*2+Data!BX41</f>
        <v>1436.9538905672982</v>
      </c>
      <c r="CG41" s="59">
        <f>+SUM(Data!BR41:BX41)*2+Data!BY41</f>
        <v>1312.2695974032636</v>
      </c>
      <c r="CH41" s="59">
        <f>+SUM(Data!BS41:BY41)*2+Data!BZ41</f>
        <v>1336.3445435296649</v>
      </c>
      <c r="CI41" s="59">
        <f>+SUM(Data!BT41:BZ41)*2+Data!CA41</f>
        <v>1291.274379699189</v>
      </c>
      <c r="CJ41" s="13">
        <f>+SUM(Data!AW41:BC41)*2+Data!BD41</f>
        <v>8109.8218178753641</v>
      </c>
      <c r="CK41" s="13">
        <f>+SUM(Data!AX41:BD41)*2+Data!BE41</f>
        <v>8591.9893787071014</v>
      </c>
      <c r="CL41" s="13">
        <f>+SUM(Data!AY41:BE41)*2+Data!BF41</f>
        <v>7934.5661937937657</v>
      </c>
      <c r="CM41" s="13">
        <f>+SUM(Data!AZ41:BF41)*2+Data!BG41</f>
        <v>7738.0292976313513</v>
      </c>
      <c r="CN41" s="13">
        <f>+SUM(Data!BA41:BG41)*2+Data!BH41</f>
        <v>8227.1268105717245</v>
      </c>
      <c r="CO41" s="13">
        <f>+SUM(Data!BB41:BH41)*2+Data!BI41</f>
        <v>7529.8679570001814</v>
      </c>
      <c r="CP41" s="13">
        <f>+SUM(Data!BC41:BI41)*2+Data!BJ41</f>
        <v>7648.0766457828668</v>
      </c>
      <c r="CQ41" s="13">
        <f>+SUM(Data!BD41:BJ41)*2+Data!BK41</f>
        <v>7318.4735178729425</v>
      </c>
      <c r="CR41" s="59">
        <f>+SUM(Data!CC41:CI41)*2+Data!CJ41</f>
        <v>1973.3814485602402</v>
      </c>
      <c r="CS41" s="59">
        <f>+SUM(Data!CD41:CJ41)*2+Data!CK41</f>
        <v>2082.5507964648637</v>
      </c>
      <c r="CT41" s="59">
        <f>+SUM(Data!CE41:CK41)*2+Data!CL41</f>
        <v>1886.7524517264219</v>
      </c>
      <c r="CU41" s="59">
        <f>+SUM(Data!CF41:CL41)*2+Data!CM41</f>
        <v>1842.6194147678559</v>
      </c>
      <c r="CV41" s="59">
        <f>+SUM(Data!CG41:CM41)*2+Data!CN41</f>
        <v>1960.3409270066898</v>
      </c>
      <c r="CW41" s="59">
        <f>+SUM(Data!CH41:CN41)*2+Data!CO41</f>
        <v>1799.3639087877984</v>
      </c>
      <c r="CX41" s="59">
        <f>+SUM(Data!CI41:CO41)*2+Data!CP41</f>
        <v>1825.2630715044354</v>
      </c>
      <c r="CY41" s="59">
        <f>+SUM(Data!CJ41:CP41)*2+Data!CQ41</f>
        <v>1665.1895797487853</v>
      </c>
      <c r="CZ41" s="60">
        <f t="shared" si="60"/>
        <v>11498.33629045676</v>
      </c>
      <c r="DA41" s="60">
        <f t="shared" si="61"/>
        <v>12173.218378094291</v>
      </c>
      <c r="DB41" s="60">
        <f t="shared" si="62"/>
        <v>11208.795942859273</v>
      </c>
      <c r="DC41" s="60">
        <f t="shared" si="63"/>
        <v>10933.000522017441</v>
      </c>
      <c r="DD41" s="60">
        <f t="shared" si="64"/>
        <v>11624.421628145712</v>
      </c>
      <c r="DE41" s="60">
        <f t="shared" si="65"/>
        <v>10641.501463191244</v>
      </c>
      <c r="DF41" s="60">
        <f t="shared" si="66"/>
        <v>10809.684260816968</v>
      </c>
      <c r="DG41" s="60">
        <f t="shared" si="67"/>
        <v>10274.937477320917</v>
      </c>
      <c r="DH41" s="13">
        <f t="shared" si="68"/>
        <v>0</v>
      </c>
      <c r="DI41" s="13">
        <f t="shared" si="69"/>
        <v>0</v>
      </c>
      <c r="DJ41" s="13">
        <f t="shared" si="70"/>
        <v>0</v>
      </c>
      <c r="DK41" s="13">
        <f t="shared" si="71"/>
        <v>0</v>
      </c>
      <c r="DL41" s="13">
        <f t="shared" si="72"/>
        <v>0</v>
      </c>
      <c r="DM41" s="13">
        <f t="shared" si="73"/>
        <v>0</v>
      </c>
      <c r="DN41" s="13">
        <f t="shared" si="74"/>
        <v>0</v>
      </c>
      <c r="DO41" s="13">
        <f t="shared" si="75"/>
        <v>0</v>
      </c>
      <c r="DP41" s="50">
        <f>DH41*'Useful Constants'!$B$8</f>
        <v>0</v>
      </c>
      <c r="DQ41" s="50">
        <f>DI41*'Useful Constants'!$B$8</f>
        <v>0</v>
      </c>
      <c r="DR41" s="50">
        <f>DJ41*'Useful Constants'!$B$10</f>
        <v>0</v>
      </c>
      <c r="DS41" s="50">
        <f>DK41*'Useful Constants'!$B$10</f>
        <v>0</v>
      </c>
      <c r="DT41" s="50">
        <f>DL41*'Useful Constants'!$B$10</f>
        <v>0</v>
      </c>
      <c r="DU41" s="50">
        <f>DM41*'Useful Constants'!$B$10</f>
        <v>0</v>
      </c>
      <c r="DV41" s="50">
        <f>DN41*'Useful Constants'!$B$10</f>
        <v>0</v>
      </c>
      <c r="DW41" s="50">
        <f>DO41*'Useful Constants'!$B$10</f>
        <v>0</v>
      </c>
      <c r="DX41" s="14">
        <f>DH41*'Useful Constants'!$B$9</f>
        <v>0</v>
      </c>
      <c r="DY41" s="14">
        <f>DI41*'Useful Constants'!$B$9</f>
        <v>0</v>
      </c>
      <c r="DZ41" s="14">
        <f>DJ41*'Useful Constants'!$B$11</f>
        <v>0</v>
      </c>
      <c r="EA41" s="14">
        <f>DK41*'Useful Constants'!$B$11</f>
        <v>0</v>
      </c>
      <c r="EB41" s="14">
        <f>DL41*'Useful Constants'!$B$11</f>
        <v>0</v>
      </c>
      <c r="EC41" s="14">
        <f>DM41*'Useful Constants'!$B$11</f>
        <v>0</v>
      </c>
      <c r="ED41" s="14">
        <f>DN41*'Useful Constants'!$B$11</f>
        <v>0</v>
      </c>
      <c r="EE41" s="14">
        <f>DO41*'Useful Constants'!$B$11</f>
        <v>0</v>
      </c>
      <c r="EF41" s="78">
        <f>(SUM(Data!DI41:DO41)*2+Data!DP41)/('Useful Constants'!$B$1*1000000)*$K41/100</f>
        <v>22.1764169672043</v>
      </c>
      <c r="EG41" s="78">
        <f>(SUM(Data!DJ41:DP41)*2+Data!DQ41)/('Useful Constants'!$B$1*1000000)*$K41/100</f>
        <v>19.63686291722906</v>
      </c>
      <c r="EH41" s="78">
        <f>(SUM(Data!DK41:DQ41)*2+Data!DR41)/('Useful Constants'!$B$1*1000000)*$K41/100</f>
        <v>17.551691895306398</v>
      </c>
      <c r="EI41" s="78">
        <f>(SUM(Data!DL41:DR41)*2+Data!DS41)/('Useful Constants'!$B$1*1000000)*$K41/100</f>
        <v>16.398708964640797</v>
      </c>
      <c r="EJ41" s="78">
        <f>(SUM(Data!DM41:DS41)*2+Data!DT41)/('Useful Constants'!$B$1*1000000)*$K41/100</f>
        <v>15.907094670332013</v>
      </c>
      <c r="EK41" s="78">
        <f>(SUM(Data!DN41:DT41)*2+Data!DU41)/('Useful Constants'!$B$1*1000000)*$K41/100</f>
        <v>15.643990294264588</v>
      </c>
      <c r="EL41" s="78">
        <f>(SUM(Data!DO41:DU41)*2+Data!DV41)/('Useful Constants'!$B$1*1000000)*$K41/100</f>
        <v>15.367057416494601</v>
      </c>
      <c r="EM41" s="78">
        <f>(SUM(Data!DP41:DV41)*2+Data!DW41)/('Useful Constants'!$B$1*1000000)*$K41/100</f>
        <v>16.047511482232288</v>
      </c>
      <c r="EN41" s="79">
        <f>EF41*'Useful Constants'!$B$3</f>
        <v>1862.8190252451611</v>
      </c>
      <c r="EO41" s="79">
        <f>EG41*'Useful Constants'!$B$3</f>
        <v>1649.4964850472411</v>
      </c>
      <c r="EP41" s="79">
        <f>EH41*'Useful Constants'!$B$3</f>
        <v>1474.3421192057374</v>
      </c>
      <c r="EQ41" s="79">
        <f>EI41*'Useful Constants'!$B$3</f>
        <v>1377.4915530298269</v>
      </c>
      <c r="ER41" s="79">
        <f>EJ41*'Useful Constants'!$B$3</f>
        <v>1336.195952307889</v>
      </c>
      <c r="ES41" s="79">
        <f>EK41*'Useful Constants'!$B$3</f>
        <v>1314.0951847182255</v>
      </c>
      <c r="ET41" s="79">
        <f>EL41*'Useful Constants'!$B$3</f>
        <v>1290.8328229855465</v>
      </c>
      <c r="EU41" s="79">
        <f>EM41*'Useful Constants'!$B$3</f>
        <v>1347.9909645075122</v>
      </c>
      <c r="EV41" s="78">
        <f>EF41*'Useful Constants'!$B$4</f>
        <v>620.93967508172045</v>
      </c>
      <c r="EW41" s="78">
        <f>EG41*'Useful Constants'!$B$4</f>
        <v>549.8321616824137</v>
      </c>
      <c r="EX41" s="78">
        <f>EH41*'Useful Constants'!$B$4</f>
        <v>491.44737306857917</v>
      </c>
      <c r="EY41" s="78">
        <f>EI41*'Useful Constants'!$B$4</f>
        <v>459.16385100994228</v>
      </c>
      <c r="EZ41" s="78">
        <f>EJ41*'Useful Constants'!$B$4</f>
        <v>445.39865076929635</v>
      </c>
      <c r="FA41" s="78">
        <f>EK41*'Useful Constants'!$B$4</f>
        <v>438.03172823940849</v>
      </c>
      <c r="FB41" s="78">
        <f>EL41*'Useful Constants'!$B$4</f>
        <v>430.27760766184883</v>
      </c>
      <c r="FC41" s="78">
        <f>EM41*'Useful Constants'!$B$4</f>
        <v>449.33032150250403</v>
      </c>
      <c r="FD41" s="40">
        <f t="shared" si="76"/>
        <v>0.59023212827731131</v>
      </c>
      <c r="FE41" s="40">
        <f t="shared" si="77"/>
        <v>0.56640567697591204</v>
      </c>
      <c r="FF41" s="40">
        <f t="shared" si="78"/>
        <v>0.60048290503052393</v>
      </c>
      <c r="FG41" s="40">
        <f t="shared" si="79"/>
        <v>0.61022766799540729</v>
      </c>
      <c r="FH41" s="40">
        <f t="shared" si="80"/>
        <v>0.5857945981670355</v>
      </c>
      <c r="FI41" s="40">
        <f t="shared" si="81"/>
        <v>0.62052396409358801</v>
      </c>
      <c r="FJ41" s="40">
        <f t="shared" si="82"/>
        <v>0.61458289137750521</v>
      </c>
      <c r="FK41" s="40">
        <f t="shared" si="83"/>
        <v>0.63354727283433843</v>
      </c>
      <c r="FL41" s="4">
        <f t="shared" si="84"/>
        <v>0.67495872777397525</v>
      </c>
      <c r="FM41" s="4">
        <f t="shared" si="85"/>
        <v>0.6638095234545015</v>
      </c>
      <c r="FN41" s="4">
        <f t="shared" si="86"/>
        <v>0.69135094653866203</v>
      </c>
      <c r="FO41" s="4">
        <f t="shared" si="87"/>
        <v>0.70035790596567848</v>
      </c>
      <c r="FP41" s="4">
        <f t="shared" si="88"/>
        <v>0.68463869862255877</v>
      </c>
      <c r="FQ41" s="4">
        <f t="shared" si="89"/>
        <v>0.70893481997924257</v>
      </c>
      <c r="FR41" s="4">
        <f t="shared" si="90"/>
        <v>0.70543177269644675</v>
      </c>
      <c r="FS41" s="4">
        <f t="shared" si="91"/>
        <v>0.71701201038013929</v>
      </c>
      <c r="FT41" s="38">
        <f t="shared" si="92"/>
        <v>0.62605309431792677</v>
      </c>
      <c r="FU41" s="38">
        <f t="shared" si="93"/>
        <v>0.60757967473261298</v>
      </c>
      <c r="FV41" s="38">
        <f t="shared" si="94"/>
        <v>0.63889678262433225</v>
      </c>
      <c r="FW41" s="38">
        <f t="shared" si="95"/>
        <v>0.64832995047577713</v>
      </c>
      <c r="FX41" s="38">
        <f t="shared" si="96"/>
        <v>0.62757605585114373</v>
      </c>
      <c r="FY41" s="38">
        <f t="shared" si="97"/>
        <v>0.65790028812587187</v>
      </c>
      <c r="FZ41" s="38">
        <f t="shared" si="98"/>
        <v>0.65298855852083837</v>
      </c>
      <c r="GA41" s="38">
        <f t="shared" si="99"/>
        <v>0.66883370997036062</v>
      </c>
    </row>
    <row r="42" spans="1:183" x14ac:dyDescent="0.25">
      <c r="A42" s="1" t="str">
        <f>Data!A42</f>
        <v>ME_PORTLAND-INTL-JETPORT_726060_TY3A</v>
      </c>
      <c r="B42" s="1" t="str">
        <f>TY3A_REP_CITIES!B42</f>
        <v>Portland</v>
      </c>
      <c r="C42" s="1" t="str">
        <f>TY3A_REP_CITIES!C42</f>
        <v>Cumberland</v>
      </c>
      <c r="D42" s="2" t="str">
        <f>TY3A_REP_CITIES!A42</f>
        <v>ME</v>
      </c>
      <c r="E42" s="42">
        <f>TY3A_REP_CITIES!E42</f>
        <v>295003</v>
      </c>
      <c r="F42" s="2">
        <f>TY3A_REP_CITIES!G42</f>
        <v>6</v>
      </c>
      <c r="G42" s="2" t="str">
        <f>TY3A_REP_CITIES!H42</f>
        <v>Cold</v>
      </c>
      <c r="H42" s="2" t="str">
        <f>TY3A_REP_CITIES!I42</f>
        <v>Northeast</v>
      </c>
      <c r="I42" s="2">
        <f>Data!B42</f>
        <v>43.65</v>
      </c>
      <c r="J42" s="2">
        <f>Data!C42</f>
        <v>-70.3</v>
      </c>
      <c r="K42" s="2">
        <f>VLOOKUP(D42,Table1[],2,FALSE)</f>
        <v>0.9</v>
      </c>
      <c r="L42" s="2">
        <v>0.5</v>
      </c>
      <c r="M42" s="10">
        <f>Data!N42</f>
        <v>5007.7712899999997</v>
      </c>
      <c r="N42" s="10">
        <f>Data!Q42</f>
        <v>29308</v>
      </c>
      <c r="O42" s="10">
        <f>Data!O42</f>
        <v>63435996411.986603</v>
      </c>
      <c r="P42" s="10">
        <f>Data!P42</f>
        <v>66079162929.152832</v>
      </c>
      <c r="Q42" s="10">
        <f>Data!S42*15</f>
        <v>49857.65211134313</v>
      </c>
      <c r="R42" s="48">
        <f>SUM(Data!U42:AA42)*2+Data!AB42</f>
        <v>277.45988508739947</v>
      </c>
      <c r="S42" s="48">
        <f>SUM(Data!V42:AB42)*2+Data!AC42</f>
        <v>274.78416742734197</v>
      </c>
      <c r="T42" s="48">
        <f>SUM(Data!W42:AC42)*2+Data!AD42</f>
        <v>249.30392026598346</v>
      </c>
      <c r="U42" s="48">
        <f>SUM(Data!X42:AD42)*2+Data!AE42</f>
        <v>237.15213579592051</v>
      </c>
      <c r="V42" s="48">
        <f>SUM(Data!Y42:AE42)*2+Data!AF42</f>
        <v>230.76718162229201</v>
      </c>
      <c r="W42" s="48">
        <f>SUM(Data!Z42:AF42)*2+Data!AG42</f>
        <v>210.26293576420076</v>
      </c>
      <c r="X42" s="48">
        <f>SUM(Data!AA42:AG42)*2+Data!AH42</f>
        <v>205.45213731661258</v>
      </c>
      <c r="Y42" s="48">
        <f>SUM(Data!AB42:AH42)*2+Data!AI42</f>
        <v>218.03244359609096</v>
      </c>
      <c r="Z42" s="80">
        <f>(SUM(Data!CS42:CY42)*2+Data!CZ42)/('Useful Constants'!$B$1*1000000)*$K42/100</f>
        <v>0.30155731197837754</v>
      </c>
      <c r="AA42" s="80">
        <f>(SUM(Data!CT42:CZ42)*2+Data!DA42)/('Useful Constants'!$B$1*1000000)*$K42/100</f>
        <v>0.25440900632849667</v>
      </c>
      <c r="AB42" s="80">
        <f>(SUM(Data!CU42:DA42)*2+Data!DB42)/('Useful Constants'!$B$1*1000000)*$K42/100</f>
        <v>0.21865351522233692</v>
      </c>
      <c r="AC42" s="80">
        <f>(SUM(Data!CV42:DB42)*2+Data!DC42)/('Useful Constants'!$B$1*1000000)*$K42/100</f>
        <v>0.19650335895758894</v>
      </c>
      <c r="AD42" s="80">
        <f>(SUM(Data!CW42:DC42)*2+Data!DD42)/('Useful Constants'!$B$1*1000000)*$K42/100</f>
        <v>0.18589696873706046</v>
      </c>
      <c r="AE42" s="80">
        <f>(SUM(Data!CX42:DD42)*2+Data!DE42)/('Useful Constants'!$B$1*1000000)*$K42/100</f>
        <v>0.18523883027748403</v>
      </c>
      <c r="AF42" s="80">
        <f>(SUM(Data!CY42:DE42)*2+Data!DF42)/('Useful Constants'!$B$1*1000000)*$K42/100</f>
        <v>0.18631668786450567</v>
      </c>
      <c r="AG42" s="80">
        <f>(SUM(Data!CZ42:DF42)*2+Data!DG42)/('Useful Constants'!$B$1*1000000)*$K42/100</f>
        <v>0.18959543326316886</v>
      </c>
      <c r="AH42" s="48">
        <f>Z42*'Useful Constants'!$B$3</f>
        <v>25.330814206183714</v>
      </c>
      <c r="AI42" s="48">
        <f>AA42*'Useful Constants'!$B$3</f>
        <v>21.370356531593721</v>
      </c>
      <c r="AJ42" s="48">
        <f>AB42*'Useful Constants'!$B$3</f>
        <v>18.366895278676303</v>
      </c>
      <c r="AK42" s="48">
        <f>AC42*'Useful Constants'!$B$3</f>
        <v>16.506282152437471</v>
      </c>
      <c r="AL42" s="48">
        <f>AD42*'Useful Constants'!$B$3</f>
        <v>15.61534537391308</v>
      </c>
      <c r="AM42" s="48">
        <f>AE42*'Useful Constants'!$B$3</f>
        <v>15.560061743308658</v>
      </c>
      <c r="AN42" s="48">
        <f>AF42*'Useful Constants'!$B$3</f>
        <v>15.650601780618477</v>
      </c>
      <c r="AO42" s="48">
        <f>AG42*'Useful Constants'!$B$3</f>
        <v>15.926016394106185</v>
      </c>
      <c r="AP42" s="10">
        <f>Z42*'Useful Constants'!$B$4</f>
        <v>8.4436047353945707</v>
      </c>
      <c r="AQ42" s="10">
        <f>AA42*'Useful Constants'!$B$4</f>
        <v>7.1234521771979065</v>
      </c>
      <c r="AR42" s="10">
        <f>AB42*'Useful Constants'!$B$4</f>
        <v>6.1222984262254334</v>
      </c>
      <c r="AS42" s="10">
        <f>AC42*'Useful Constants'!$B$4</f>
        <v>5.5020940508124907</v>
      </c>
      <c r="AT42" s="10">
        <f>AD42*'Useful Constants'!$B$4</f>
        <v>5.2051151246376932</v>
      </c>
      <c r="AU42" s="10">
        <f>AE42*'Useful Constants'!$B$4</f>
        <v>5.1866872477695525</v>
      </c>
      <c r="AV42" s="10">
        <f>AF42*'Useful Constants'!$B$4</f>
        <v>5.2168672602061585</v>
      </c>
      <c r="AW42" s="10">
        <f>AG42*'Useful Constants'!$B$4</f>
        <v>5.308672131368728</v>
      </c>
      <c r="AX42" s="48">
        <f>P42/1000000/'Useful Constants'!$B$1*K42/100*'Useful Constants'!$B$3*15</f>
        <v>14986.754152331861</v>
      </c>
      <c r="AY42" s="48">
        <f>P42/1000000/'Useful Constants'!$B$1*L42/100*'Useful Constants'!$B$3*15</f>
        <v>8325.9745290732571</v>
      </c>
      <c r="AZ42" s="48">
        <f>P42/1000000/'Useful Constants'!$B$1*K42/100*'Useful Constants'!$B$4*15</f>
        <v>4995.5847174439541</v>
      </c>
      <c r="BA42" s="48">
        <f>P42/1000000/'Useful Constants'!$B$1*L42/100*'Useful Constants'!$B$4*15</f>
        <v>2775.3248430244189</v>
      </c>
      <c r="BB42" s="7">
        <f>Data!AN42</f>
        <v>5007.7712899999997</v>
      </c>
      <c r="BC42" s="7">
        <f>Data!AQ42</f>
        <v>5007.7712899999997</v>
      </c>
      <c r="BD42" s="7">
        <f>Data!AT42</f>
        <v>8787.6838700000008</v>
      </c>
      <c r="BE42" s="6">
        <f>Data!AO42</f>
        <v>49154913903.5522</v>
      </c>
      <c r="BF42" s="6">
        <f>Data!AP42</f>
        <v>17869341880.4967</v>
      </c>
      <c r="BG42" s="6">
        <f>Data!AR42</f>
        <v>11722106674.215</v>
      </c>
      <c r="BH42" s="6">
        <f>Data!AS42</f>
        <v>11722106674.215</v>
      </c>
      <c r="BI42" s="8">
        <f t="shared" si="50"/>
        <v>0.80744611738610594</v>
      </c>
      <c r="BJ42" s="8">
        <f t="shared" si="51"/>
        <v>0.6038684401494584</v>
      </c>
      <c r="BK42" s="13">
        <f>BB42*'Useful Constants'!$B$5/'Useful Constants'!$B$6*'Useful Constants'!$B$7</f>
        <v>1.2814886731109998</v>
      </c>
      <c r="BL42" s="52">
        <f>1-VLOOKUP($G42,'Useful Constants'!$A$17:$X$23,10,FALSE)</f>
        <v>6.6471999999999865E-2</v>
      </c>
      <c r="BM42" s="52">
        <f>1-VLOOKUP($G42,'Useful Constants'!$A$17:$X$23,12,FALSE)</f>
        <v>4.945672000000001E-2</v>
      </c>
      <c r="BN42" s="52">
        <f>1-VLOOKUP($G42,'Useful Constants'!$A$17:$X$23,14,FALSE)</f>
        <v>3.4455679999999989E-2</v>
      </c>
      <c r="BO42" s="52">
        <f>1-VLOOKUP($G42,'Useful Constants'!$A$17:$X$23,16,FALSE)</f>
        <v>2.1468880000000024E-2</v>
      </c>
      <c r="BP42" s="52">
        <f>1-VLOOKUP($G42,'Useful Constants'!$A$17:$X$23,18,FALSE)</f>
        <v>0</v>
      </c>
      <c r="BQ42" s="52">
        <f>1-VLOOKUP($G42,'Useful Constants'!$A$17:$X$23,20, FALSE)</f>
        <v>0</v>
      </c>
      <c r="BR42" s="52">
        <f>1-VLOOKUP($G42,'Useful Constants'!$A$17:$X$23,22, FALSE)</f>
        <v>0</v>
      </c>
      <c r="BS42" s="52">
        <f>1-VLOOKUP($G42,'Useful Constants'!$A$17:$X$23,24, FALSE)</f>
        <v>0</v>
      </c>
      <c r="BT42" s="13">
        <f t="shared" si="52"/>
        <v>8.51831150790342E-2</v>
      </c>
      <c r="BU42" s="13">
        <f t="shared" si="53"/>
        <v>6.3378226489222256E-2</v>
      </c>
      <c r="BV42" s="13">
        <f t="shared" si="54"/>
        <v>4.4154563644337196E-2</v>
      </c>
      <c r="BW42" s="13">
        <f t="shared" si="55"/>
        <v>2.751212654437931E-2</v>
      </c>
      <c r="BX42" s="13">
        <f t="shared" si="56"/>
        <v>0</v>
      </c>
      <c r="BY42" s="13">
        <f t="shared" si="57"/>
        <v>0</v>
      </c>
      <c r="BZ42" s="13">
        <f t="shared" si="58"/>
        <v>0</v>
      </c>
      <c r="CA42" s="13">
        <f t="shared" si="59"/>
        <v>0</v>
      </c>
      <c r="CB42" s="59">
        <f>+SUM(Data!BM42:BS42)*2+Data!BT42</f>
        <v>1613.5561360955223</v>
      </c>
      <c r="CC42" s="59">
        <f>+SUM(Data!BN42:BT42)*2+Data!BU42</f>
        <v>1598.4330358589812</v>
      </c>
      <c r="CD42" s="59">
        <f>+SUM(Data!BO42:BU42)*2+Data!BV42</f>
        <v>1448.2708292948341</v>
      </c>
      <c r="CE42" s="59">
        <f>+SUM(Data!BP42:BV42)*2+Data!BW42</f>
        <v>1379.8086121866863</v>
      </c>
      <c r="CF42" s="59">
        <f>+SUM(Data!BQ42:BW42)*2+Data!BX42</f>
        <v>1339.6753546074558</v>
      </c>
      <c r="CG42" s="59">
        <f>+SUM(Data!BR42:BX42)*2+Data!BY42</f>
        <v>1222.6724279025946</v>
      </c>
      <c r="CH42" s="59">
        <f>+SUM(Data!BS42:BY42)*2+Data!BZ42</f>
        <v>1196.0983842204687</v>
      </c>
      <c r="CI42" s="59">
        <f>+SUM(Data!BT42:BZ42)*2+Data!CA42</f>
        <v>1265.6496178893706</v>
      </c>
      <c r="CJ42" s="13">
        <f>+SUM(Data!AW42:BC42)*2+Data!BD42</f>
        <v>8977.6581713331288</v>
      </c>
      <c r="CK42" s="13">
        <f>+SUM(Data!AX42:BD42)*2+Data!BE42</f>
        <v>8906.0237837826571</v>
      </c>
      <c r="CL42" s="13">
        <f>+SUM(Data!AY42:BE42)*2+Data!BF42</f>
        <v>8072.6058621624006</v>
      </c>
      <c r="CM42" s="13">
        <f>+SUM(Data!AZ42:BF42)*2+Data!BG42</f>
        <v>7690.9294008596717</v>
      </c>
      <c r="CN42" s="13">
        <f>+SUM(Data!BA42:BG42)*2+Data!BH42</f>
        <v>7473.5000657529654</v>
      </c>
      <c r="CO42" s="13">
        <f>+SUM(Data!BB42:BH42)*2+Data!BI42</f>
        <v>6829.6566114482039</v>
      </c>
      <c r="CP42" s="13">
        <f>+SUM(Data!BC42:BI42)*2+Data!BJ42</f>
        <v>6685.1673032359859</v>
      </c>
      <c r="CQ42" s="13">
        <f>+SUM(Data!BD42:BJ42)*2+Data!BK42</f>
        <v>7088.8730227167434</v>
      </c>
      <c r="CR42" s="59">
        <f>+SUM(Data!CC42:CI42)*2+Data!CJ42</f>
        <v>6112.6036249010594</v>
      </c>
      <c r="CS42" s="59">
        <f>+SUM(Data!CD42:CJ42)*2+Data!CK42</f>
        <v>6093.8574980149615</v>
      </c>
      <c r="CT42" s="59">
        <f>+SUM(Data!CE42:CK42)*2+Data!CL42</f>
        <v>5635.8900331172736</v>
      </c>
      <c r="CU42" s="59">
        <f>+SUM(Data!CF42:CL42)*2+Data!CM42</f>
        <v>5275.6911004450822</v>
      </c>
      <c r="CV42" s="59">
        <f>+SUM(Data!CG42:CM42)*2+Data!CN42</f>
        <v>5239.9525098096019</v>
      </c>
      <c r="CW42" s="59">
        <f>+SUM(Data!CH42:CN42)*2+Data!CO42</f>
        <v>4682.713146964491</v>
      </c>
      <c r="CX42" s="59">
        <f>+SUM(Data!CI42:CO42)*2+Data!CP42</f>
        <v>4532.5662108160159</v>
      </c>
      <c r="CY42" s="59">
        <f>+SUM(Data!CJ42:CP42)*2+Data!CQ42</f>
        <v>4973.9467231244334</v>
      </c>
      <c r="CZ42" s="60">
        <f t="shared" si="60"/>
        <v>16703.817932329708</v>
      </c>
      <c r="DA42" s="60">
        <f t="shared" si="61"/>
        <v>16598.314317656601</v>
      </c>
      <c r="DB42" s="60">
        <f t="shared" si="62"/>
        <v>15156.766724574509</v>
      </c>
      <c r="DC42" s="60">
        <f t="shared" si="63"/>
        <v>14346.429113491438</v>
      </c>
      <c r="DD42" s="60">
        <f t="shared" si="64"/>
        <v>14053.127930170023</v>
      </c>
      <c r="DE42" s="60">
        <f t="shared" si="65"/>
        <v>12735.04218631529</v>
      </c>
      <c r="DF42" s="60">
        <f t="shared" si="66"/>
        <v>12413.83189827247</v>
      </c>
      <c r="DG42" s="60">
        <f t="shared" si="67"/>
        <v>13328.469363730546</v>
      </c>
      <c r="DH42" s="13">
        <f t="shared" si="68"/>
        <v>8.7582943495436799E-2</v>
      </c>
      <c r="DI42" s="13">
        <f t="shared" si="69"/>
        <v>6.5163754862643655E-2</v>
      </c>
      <c r="DJ42" s="13">
        <f t="shared" si="70"/>
        <v>4.5398511772428346E-2</v>
      </c>
      <c r="DK42" s="13">
        <f t="shared" si="71"/>
        <v>2.8287214224791177E-2</v>
      </c>
      <c r="DL42" s="13">
        <f t="shared" si="72"/>
        <v>0</v>
      </c>
      <c r="DM42" s="13">
        <f t="shared" si="73"/>
        <v>0</v>
      </c>
      <c r="DN42" s="13">
        <f t="shared" si="74"/>
        <v>0</v>
      </c>
      <c r="DO42" s="13">
        <f t="shared" si="75"/>
        <v>0</v>
      </c>
      <c r="DP42" s="50">
        <f>DH42*'Useful Constants'!$B$8</f>
        <v>373.10333929056077</v>
      </c>
      <c r="DQ42" s="50">
        <f>DI42*'Useful Constants'!$B$8</f>
        <v>277.597595714862</v>
      </c>
      <c r="DR42" s="50">
        <f>DJ42*'Useful Constants'!$B$10</f>
        <v>110.31838360700088</v>
      </c>
      <c r="DS42" s="50">
        <f>DK42*'Useful Constants'!$B$10</f>
        <v>68.737930566242554</v>
      </c>
      <c r="DT42" s="50">
        <f>DL42*'Useful Constants'!$B$10</f>
        <v>0</v>
      </c>
      <c r="DU42" s="50">
        <f>DM42*'Useful Constants'!$B$10</f>
        <v>0</v>
      </c>
      <c r="DV42" s="50">
        <f>DN42*'Useful Constants'!$B$10</f>
        <v>0</v>
      </c>
      <c r="DW42" s="50">
        <f>DO42*'Useful Constants'!$B$10</f>
        <v>0</v>
      </c>
      <c r="DX42" s="14">
        <f>DH42*'Useful Constants'!$B$9</f>
        <v>168.5095832852204</v>
      </c>
      <c r="DY42" s="14">
        <f>DI42*'Useful Constants'!$B$9</f>
        <v>125.37506435572639</v>
      </c>
      <c r="DZ42" s="14">
        <f>DJ42*'Useful Constants'!$B$11</f>
        <v>30.734792469933989</v>
      </c>
      <c r="EA42" s="14">
        <f>DK42*'Useful Constants'!$B$11</f>
        <v>19.150444030183628</v>
      </c>
      <c r="EB42" s="14">
        <f>DL42*'Useful Constants'!$B$11</f>
        <v>0</v>
      </c>
      <c r="EC42" s="14">
        <f>DM42*'Useful Constants'!$B$11</f>
        <v>0</v>
      </c>
      <c r="ED42" s="14">
        <f>DN42*'Useful Constants'!$B$11</f>
        <v>0</v>
      </c>
      <c r="EE42" s="14">
        <f>DO42*'Useful Constants'!$B$11</f>
        <v>0</v>
      </c>
      <c r="EF42" s="78">
        <f>(SUM(Data!DI42:DO42)*2+Data!DP42)/('Useful Constants'!$B$1*1000000)*$K42/100</f>
        <v>18.405357798885078</v>
      </c>
      <c r="EG42" s="78">
        <f>(SUM(Data!DJ42:DP42)*2+Data!DQ42)/('Useful Constants'!$B$1*1000000)*$K42/100</f>
        <v>15.549028920790235</v>
      </c>
      <c r="EH42" s="78">
        <f>(SUM(Data!DK42:DQ42)*2+Data!DR42)/('Useful Constants'!$B$1*1000000)*$K42/100</f>
        <v>13.215737411049339</v>
      </c>
      <c r="EI42" s="78">
        <f>(SUM(Data!DL42:DR42)*2+Data!DS42)/('Useful Constants'!$B$1*1000000)*$K42/100</f>
        <v>11.743867751317397</v>
      </c>
      <c r="EJ42" s="78">
        <f>(SUM(Data!DM42:DS42)*2+Data!DT42)/('Useful Constants'!$B$1*1000000)*$K42/100</f>
        <v>10.984887627981173</v>
      </c>
      <c r="EK42" s="78">
        <f>(SUM(Data!DN42:DT42)*2+Data!DU42)/('Useful Constants'!$B$1*1000000)*$K42/100</f>
        <v>11.025060720764504</v>
      </c>
      <c r="EL42" s="78">
        <f>(SUM(Data!DO42:DU42)*2+Data!DV42)/('Useful Constants'!$B$1*1000000)*$K42/100</f>
        <v>11.113978431368974</v>
      </c>
      <c r="EM42" s="78">
        <f>(SUM(Data!DP42:DV42)*2+Data!DW42)/('Useful Constants'!$B$1*1000000)*$K42/100</f>
        <v>11.23963941542444</v>
      </c>
      <c r="EN42" s="79">
        <f>EF42*'Useful Constants'!$B$3</f>
        <v>1546.0500551063465</v>
      </c>
      <c r="EO42" s="79">
        <f>EG42*'Useful Constants'!$B$3</f>
        <v>1306.1184293463798</v>
      </c>
      <c r="EP42" s="79">
        <f>EH42*'Useful Constants'!$B$3</f>
        <v>1110.1219425281445</v>
      </c>
      <c r="EQ42" s="79">
        <f>EI42*'Useful Constants'!$B$3</f>
        <v>986.48489111066135</v>
      </c>
      <c r="ER42" s="79">
        <f>EJ42*'Useful Constants'!$B$3</f>
        <v>922.73056075041859</v>
      </c>
      <c r="ES42" s="79">
        <f>EK42*'Useful Constants'!$B$3</f>
        <v>926.10510054421832</v>
      </c>
      <c r="ET42" s="79">
        <f>EL42*'Useful Constants'!$B$3</f>
        <v>933.57418823499381</v>
      </c>
      <c r="EU42" s="79">
        <f>EM42*'Useful Constants'!$B$3</f>
        <v>944.12971089565292</v>
      </c>
      <c r="EV42" s="78">
        <f>EF42*'Useful Constants'!$B$4</f>
        <v>515.35001836878223</v>
      </c>
      <c r="EW42" s="78">
        <f>EG42*'Useful Constants'!$B$4</f>
        <v>435.37280978212658</v>
      </c>
      <c r="EX42" s="78">
        <f>EH42*'Useful Constants'!$B$4</f>
        <v>370.04064750938153</v>
      </c>
      <c r="EY42" s="78">
        <f>EI42*'Useful Constants'!$B$4</f>
        <v>328.82829703688714</v>
      </c>
      <c r="EZ42" s="78">
        <f>EJ42*'Useful Constants'!$B$4</f>
        <v>307.57685358347283</v>
      </c>
      <c r="FA42" s="78">
        <f>EK42*'Useful Constants'!$B$4</f>
        <v>308.70170018140612</v>
      </c>
      <c r="FB42" s="78">
        <f>EL42*'Useful Constants'!$B$4</f>
        <v>311.19139607833125</v>
      </c>
      <c r="FC42" s="78">
        <f>EM42*'Useful Constants'!$B$4</f>
        <v>314.70990363188434</v>
      </c>
      <c r="FD42" s="40">
        <f t="shared" si="76"/>
        <v>0.66682396294399482</v>
      </c>
      <c r="FE42" s="40">
        <f t="shared" si="77"/>
        <v>0.66891067840073293</v>
      </c>
      <c r="FF42" s="40">
        <f t="shared" si="78"/>
        <v>0.6975117244197967</v>
      </c>
      <c r="FG42" s="40">
        <f t="shared" si="79"/>
        <v>0.71361442909898642</v>
      </c>
      <c r="FH42" s="40">
        <f t="shared" si="80"/>
        <v>0.71943359106675397</v>
      </c>
      <c r="FI42" s="40">
        <f t="shared" si="81"/>
        <v>0.74564464738878611</v>
      </c>
      <c r="FJ42" s="40">
        <f t="shared" si="82"/>
        <v>0.75203631327746101</v>
      </c>
      <c r="FK42" s="40">
        <f t="shared" si="83"/>
        <v>0.73383350657727775</v>
      </c>
      <c r="FL42" s="4">
        <f t="shared" si="84"/>
        <v>0.74653372178518607</v>
      </c>
      <c r="FM42" s="4">
        <f t="shared" si="85"/>
        <v>0.75251275612308577</v>
      </c>
      <c r="FN42" s="4">
        <f t="shared" si="86"/>
        <v>0.7769928982040113</v>
      </c>
      <c r="FO42" s="4">
        <f t="shared" si="87"/>
        <v>0.79023692920281896</v>
      </c>
      <c r="FP42" s="4">
        <f t="shared" si="88"/>
        <v>0.79601581690958467</v>
      </c>
      <c r="FQ42" s="4">
        <f t="shared" si="89"/>
        <v>0.81387120067001073</v>
      </c>
      <c r="FR42" s="4">
        <f t="shared" si="90"/>
        <v>0.81813412886365955</v>
      </c>
      <c r="FS42" s="4">
        <f t="shared" si="91"/>
        <v>0.80556191609484806</v>
      </c>
      <c r="FT42" s="38">
        <f t="shared" si="92"/>
        <v>0.6997696950933382</v>
      </c>
      <c r="FU42" s="38">
        <f t="shared" si="93"/>
        <v>0.70369671664294553</v>
      </c>
      <c r="FV42" s="38">
        <f t="shared" si="94"/>
        <v>0.7312289161212725</v>
      </c>
      <c r="FW42" s="38">
        <f t="shared" si="95"/>
        <v>0.74608434217921016</v>
      </c>
      <c r="FX42" s="38">
        <f t="shared" si="96"/>
        <v>0.75182199183429699</v>
      </c>
      <c r="FY42" s="38">
        <f t="shared" si="97"/>
        <v>0.77450139444834809</v>
      </c>
      <c r="FZ42" s="38">
        <f t="shared" si="98"/>
        <v>0.77999321316101922</v>
      </c>
      <c r="GA42" s="38">
        <f t="shared" si="99"/>
        <v>0.76417060442303886</v>
      </c>
    </row>
    <row r="43" spans="1:183" x14ac:dyDescent="0.25">
      <c r="A43" s="1" t="str">
        <f>Data!A43</f>
        <v>ME_PRESQUE-ISLE-MUNI-AP_727130_TY3A</v>
      </c>
      <c r="B43" s="1" t="str">
        <f>TY3A_REP_CITIES!B43</f>
        <v>Presque-Isle</v>
      </c>
      <c r="C43" s="1" t="str">
        <f>TY3A_REP_CITIES!C43</f>
        <v>Aroostook</v>
      </c>
      <c r="D43" s="2" t="str">
        <f>TY3A_REP_CITIES!A43</f>
        <v>ME</v>
      </c>
      <c r="E43" s="42">
        <f>TY3A_REP_CITIES!E43</f>
        <v>67055</v>
      </c>
      <c r="F43" s="2">
        <f>TY3A_REP_CITIES!G43</f>
        <v>7</v>
      </c>
      <c r="G43" s="2" t="str">
        <f>TY3A_REP_CITIES!H43</f>
        <v>Very Cold</v>
      </c>
      <c r="H43" s="2" t="str">
        <f>TY3A_REP_CITIES!I43</f>
        <v>Northeast</v>
      </c>
      <c r="I43" s="2">
        <f>Data!B43</f>
        <v>46.68</v>
      </c>
      <c r="J43" s="2">
        <f>Data!C43</f>
        <v>-68.05</v>
      </c>
      <c r="K43" s="2">
        <f>VLOOKUP(D43,Table1[],2,FALSE)</f>
        <v>0.9</v>
      </c>
      <c r="L43" s="2">
        <v>0.5</v>
      </c>
      <c r="M43" s="10">
        <f>Data!N43</f>
        <v>6239.39624</v>
      </c>
      <c r="N43" s="10">
        <f>Data!Q43</f>
        <v>29308</v>
      </c>
      <c r="O43" s="10">
        <f>Data!O43</f>
        <v>76381541535.219299</v>
      </c>
      <c r="P43" s="10">
        <f>Data!P43</f>
        <v>79564105765.853668</v>
      </c>
      <c r="Q43" s="10">
        <f>Data!S43*15</f>
        <v>60032.229979625503</v>
      </c>
      <c r="R43" s="48">
        <f>SUM(Data!U43:AA43)*2+Data!AB43</f>
        <v>434.90399090570133</v>
      </c>
      <c r="S43" s="48">
        <f>SUM(Data!V43:AB43)*2+Data!AC43</f>
        <v>431.0434758257195</v>
      </c>
      <c r="T43" s="48">
        <f>SUM(Data!W43:AC43)*2+Data!AD43</f>
        <v>391.54239571940849</v>
      </c>
      <c r="U43" s="48">
        <f>SUM(Data!X43:AD43)*2+Data!AE43</f>
        <v>372.06039558379041</v>
      </c>
      <c r="V43" s="48">
        <f>SUM(Data!Y43:AE43)*2+Data!AF43</f>
        <v>361.09778546952515</v>
      </c>
      <c r="W43" s="48">
        <f>SUM(Data!Z43:AF43)*2+Data!AG43</f>
        <v>327.42099888339902</v>
      </c>
      <c r="X43" s="48">
        <f>SUM(Data!AA43:AG43)*2+Data!AH43</f>
        <v>319.8677839125055</v>
      </c>
      <c r="Y43" s="48">
        <f>SUM(Data!AB43:AH43)*2+Data!AI43</f>
        <v>338.72385212089858</v>
      </c>
      <c r="Z43" s="80">
        <f>(SUM(Data!CS43:CY43)*2+Data!CZ43)/('Useful Constants'!$B$1*1000000)*$K43/100</f>
        <v>0.45408671796747052</v>
      </c>
      <c r="AA43" s="80">
        <f>(SUM(Data!CT43:CZ43)*2+Data!DA43)/('Useful Constants'!$B$1*1000000)*$K43/100</f>
        <v>0.375155665471328</v>
      </c>
      <c r="AB43" s="80">
        <f>(SUM(Data!CU43:DA43)*2+Data!DB43)/('Useful Constants'!$B$1*1000000)*$K43/100</f>
        <v>0.31837257669460434</v>
      </c>
      <c r="AC43" s="80">
        <f>(SUM(Data!CV43:DB43)*2+Data!DC43)/('Useful Constants'!$B$1*1000000)*$K43/100</f>
        <v>0.28684272122956611</v>
      </c>
      <c r="AD43" s="80">
        <f>(SUM(Data!CW43:DC43)*2+Data!DD43)/('Useful Constants'!$B$1*1000000)*$K43/100</f>
        <v>0.2716957218329018</v>
      </c>
      <c r="AE43" s="80">
        <f>(SUM(Data!CX43:DD43)*2+Data!DE43)/('Useful Constants'!$B$1*1000000)*$K43/100</f>
        <v>0.26750363273579975</v>
      </c>
      <c r="AF43" s="80">
        <f>(SUM(Data!CY43:DE43)*2+Data!DF43)/('Useful Constants'!$B$1*1000000)*$K43/100</f>
        <v>0.26636540865096875</v>
      </c>
      <c r="AG43" s="80">
        <f>(SUM(Data!CZ43:DF43)*2+Data!DG43)/('Useful Constants'!$B$1*1000000)*$K43/100</f>
        <v>0.26944340907830155</v>
      </c>
      <c r="AH43" s="48">
        <f>Z43*'Useful Constants'!$B$3</f>
        <v>38.143284309267521</v>
      </c>
      <c r="AI43" s="48">
        <f>AA43*'Useful Constants'!$B$3</f>
        <v>31.513075899591552</v>
      </c>
      <c r="AJ43" s="48">
        <f>AB43*'Useful Constants'!$B$3</f>
        <v>26.743296442346765</v>
      </c>
      <c r="AK43" s="48">
        <f>AC43*'Useful Constants'!$B$3</f>
        <v>24.094788583283552</v>
      </c>
      <c r="AL43" s="48">
        <f>AD43*'Useful Constants'!$B$3</f>
        <v>22.822440633963751</v>
      </c>
      <c r="AM43" s="48">
        <f>AE43*'Useful Constants'!$B$3</f>
        <v>22.470305149807178</v>
      </c>
      <c r="AN43" s="48">
        <f>AF43*'Useful Constants'!$B$3</f>
        <v>22.374694326681375</v>
      </c>
      <c r="AO43" s="48">
        <f>AG43*'Useful Constants'!$B$3</f>
        <v>22.633246362577331</v>
      </c>
      <c r="AP43" s="10">
        <f>Z43*'Useful Constants'!$B$4</f>
        <v>12.714428103089174</v>
      </c>
      <c r="AQ43" s="10">
        <f>AA43*'Useful Constants'!$B$4</f>
        <v>10.504358633197183</v>
      </c>
      <c r="AR43" s="10">
        <f>AB43*'Useful Constants'!$B$4</f>
        <v>8.9144321474489221</v>
      </c>
      <c r="AS43" s="10">
        <f>AC43*'Useful Constants'!$B$4</f>
        <v>8.031596194427852</v>
      </c>
      <c r="AT43" s="10">
        <f>AD43*'Useful Constants'!$B$4</f>
        <v>7.607480211321251</v>
      </c>
      <c r="AU43" s="10">
        <f>AE43*'Useful Constants'!$B$4</f>
        <v>7.4901017166023927</v>
      </c>
      <c r="AV43" s="10">
        <f>AF43*'Useful Constants'!$B$4</f>
        <v>7.4582314422271248</v>
      </c>
      <c r="AW43" s="10">
        <f>AG43*'Useful Constants'!$B$4</f>
        <v>7.5444154541924435</v>
      </c>
      <c r="AX43" s="48">
        <f>P43/1000000/'Useful Constants'!$B$1*K43/100*'Useful Constants'!$B$3*15</f>
        <v>18045.139187695615</v>
      </c>
      <c r="AY43" s="48">
        <f>P43/1000000/'Useful Constants'!$B$1*L43/100*'Useful Constants'!$B$3*15</f>
        <v>10025.077326497561</v>
      </c>
      <c r="AZ43" s="48">
        <f>P43/1000000/'Useful Constants'!$B$1*K43/100*'Useful Constants'!$B$4*15</f>
        <v>6015.0463958985383</v>
      </c>
      <c r="BA43" s="48">
        <f>P43/1000000/'Useful Constants'!$B$1*L43/100*'Useful Constants'!$B$4*15</f>
        <v>3341.6924421658541</v>
      </c>
      <c r="BB43" s="7">
        <f>Data!AN43</f>
        <v>6239.39624</v>
      </c>
      <c r="BC43" s="7">
        <f>Data!AQ43</f>
        <v>6239.39624</v>
      </c>
      <c r="BD43" s="7">
        <f>Data!AT43</f>
        <v>11392.38134</v>
      </c>
      <c r="BE43" s="6">
        <f>Data!AO43</f>
        <v>51772980616.714996</v>
      </c>
      <c r="BF43" s="6">
        <f>Data!AP43</f>
        <v>19441878449.3629</v>
      </c>
      <c r="BG43" s="6">
        <f>Data!AR43</f>
        <v>21631693265.617802</v>
      </c>
      <c r="BH43" s="6">
        <f>Data!AS43</f>
        <v>21631693265.617802</v>
      </c>
      <c r="BI43" s="8">
        <f t="shared" si="50"/>
        <v>0.70530904748254508</v>
      </c>
      <c r="BJ43" s="8">
        <f t="shared" si="51"/>
        <v>0.4733427758431803</v>
      </c>
      <c r="BK43" s="13">
        <f>BB43*'Useful Constants'!$B$5/'Useful Constants'!$B$6*'Useful Constants'!$B$7</f>
        <v>1.5966614978159999</v>
      </c>
      <c r="BL43" s="52">
        <f>1-VLOOKUP($G43,'Useful Constants'!$A$17:$X$23,10,FALSE)</f>
        <v>6.6471999999999865E-2</v>
      </c>
      <c r="BM43" s="52">
        <f>1-VLOOKUP($G43,'Useful Constants'!$A$17:$X$23,12,FALSE)</f>
        <v>4.945672000000001E-2</v>
      </c>
      <c r="BN43" s="52">
        <f>1-VLOOKUP($G43,'Useful Constants'!$A$17:$X$23,14,FALSE)</f>
        <v>3.4455679999999989E-2</v>
      </c>
      <c r="BO43" s="52">
        <f>1-VLOOKUP($G43,'Useful Constants'!$A$17:$X$23,16,FALSE)</f>
        <v>2.1468880000000024E-2</v>
      </c>
      <c r="BP43" s="52">
        <f>1-VLOOKUP($G43,'Useful Constants'!$A$17:$X$23,18,FALSE)</f>
        <v>0</v>
      </c>
      <c r="BQ43" s="52">
        <f>1-VLOOKUP($G43,'Useful Constants'!$A$17:$X$23,20, FALSE)</f>
        <v>0</v>
      </c>
      <c r="BR43" s="52">
        <f>1-VLOOKUP($G43,'Useful Constants'!$A$17:$X$23,22, FALSE)</f>
        <v>0</v>
      </c>
      <c r="BS43" s="52">
        <f>1-VLOOKUP($G43,'Useful Constants'!$A$17:$X$23,24, FALSE)</f>
        <v>0</v>
      </c>
      <c r="BT43" s="13">
        <f t="shared" si="52"/>
        <v>0.10613328308282492</v>
      </c>
      <c r="BU43" s="13">
        <f t="shared" si="53"/>
        <v>7.8965640632266534E-2</v>
      </c>
      <c r="BV43" s="13">
        <f t="shared" si="54"/>
        <v>5.5014057637068771E-2</v>
      </c>
      <c r="BW43" s="13">
        <f t="shared" si="55"/>
        <v>3.4278534097232E-2</v>
      </c>
      <c r="BX43" s="13">
        <f t="shared" si="56"/>
        <v>0</v>
      </c>
      <c r="BY43" s="13">
        <f t="shared" si="57"/>
        <v>0</v>
      </c>
      <c r="BZ43" s="13">
        <f t="shared" si="58"/>
        <v>0</v>
      </c>
      <c r="CA43" s="13">
        <f t="shared" si="59"/>
        <v>0</v>
      </c>
      <c r="CB43" s="59">
        <f>+SUM(Data!BM43:BS43)*2+Data!BT43</f>
        <v>1964.1333113986252</v>
      </c>
      <c r="CC43" s="59">
        <f>+SUM(Data!BN43:BT43)*2+Data!BU43</f>
        <v>1944.4640904083199</v>
      </c>
      <c r="CD43" s="59">
        <f>+SUM(Data!BO43:BU43)*2+Data!BV43</f>
        <v>1763.6151277457716</v>
      </c>
      <c r="CE43" s="59">
        <f>+SUM(Data!BP43:BV43)*2+Data!BW43</f>
        <v>1677.5033971878124</v>
      </c>
      <c r="CF43" s="59">
        <f>+SUM(Data!BQ43:BW43)*2+Data!BX43</f>
        <v>1627.0049919688101</v>
      </c>
      <c r="CG43" s="59">
        <f>+SUM(Data!BR43:BX43)*2+Data!BY43</f>
        <v>1479.9028665514763</v>
      </c>
      <c r="CH43" s="59">
        <f>+SUM(Data!BS43:BY43)*2+Data!BZ43</f>
        <v>1446.6177653072268</v>
      </c>
      <c r="CI43" s="59">
        <f>+SUM(Data!BT43:BZ43)*2+Data!CA43</f>
        <v>1525.1242841132957</v>
      </c>
      <c r="CJ43" s="13">
        <f>+SUM(Data!AW43:BC43)*2+Data!BD43</f>
        <v>9459.7402898006003</v>
      </c>
      <c r="CK43" s="13">
        <f>+SUM(Data!AX43:BD43)*2+Data!BE43</f>
        <v>9345.211439227347</v>
      </c>
      <c r="CL43" s="13">
        <f>+SUM(Data!AY43:BE43)*2+Data!BF43</f>
        <v>8486.2256323074598</v>
      </c>
      <c r="CM43" s="13">
        <f>+SUM(Data!AZ43:BF43)*2+Data!BG43</f>
        <v>8086.1729548891471</v>
      </c>
      <c r="CN43" s="13">
        <f>+SUM(Data!BA43:BG43)*2+Data!BH43</f>
        <v>7837.144063580834</v>
      </c>
      <c r="CO43" s="13">
        <f>+SUM(Data!BB43:BH43)*2+Data!BI43</f>
        <v>7180.4583493264499</v>
      </c>
      <c r="CP43" s="13">
        <f>+SUM(Data!BC43:BI43)*2+Data!BJ43</f>
        <v>7039.4711190532253</v>
      </c>
      <c r="CQ43" s="13">
        <f>+SUM(Data!BD43:BJ43)*2+Data!BK43</f>
        <v>7351.518697836148</v>
      </c>
      <c r="CR43" s="59">
        <f>+SUM(Data!CC43:CI43)*2+Data!CJ43</f>
        <v>11350.436377270695</v>
      </c>
      <c r="CS43" s="59">
        <f>+SUM(Data!CD43:CJ43)*2+Data!CK43</f>
        <v>11382.086124485331</v>
      </c>
      <c r="CT43" s="59">
        <f>+SUM(Data!CE43:CK43)*2+Data!CL43</f>
        <v>10467.308011978897</v>
      </c>
      <c r="CU43" s="59">
        <f>+SUM(Data!CF43:CL43)*2+Data!CM43</f>
        <v>9814.0904536223243</v>
      </c>
      <c r="CV43" s="59">
        <f>+SUM(Data!CG43:CM43)*2+Data!CN43</f>
        <v>9644.5359643950433</v>
      </c>
      <c r="CW43" s="59">
        <f>+SUM(Data!CH43:CN43)*2+Data!CO43</f>
        <v>8511.340469312001</v>
      </c>
      <c r="CX43" s="59">
        <f>+SUM(Data!CI43:CO43)*2+Data!CP43</f>
        <v>8246.5248525197876</v>
      </c>
      <c r="CY43" s="59">
        <f>+SUM(Data!CJ43:CP43)*2+Data!CQ43</f>
        <v>9125.6807652992975</v>
      </c>
      <c r="CZ43" s="60">
        <f t="shared" si="60"/>
        <v>22774.309978469922</v>
      </c>
      <c r="DA43" s="60">
        <f t="shared" si="61"/>
        <v>22671.761654121001</v>
      </c>
      <c r="DB43" s="60">
        <f t="shared" si="62"/>
        <v>20717.148772032131</v>
      </c>
      <c r="DC43" s="60">
        <f t="shared" si="63"/>
        <v>19577.766805699284</v>
      </c>
      <c r="DD43" s="60">
        <f t="shared" si="64"/>
        <v>19108.685019944685</v>
      </c>
      <c r="DE43" s="60">
        <f t="shared" si="65"/>
        <v>17171.701685189928</v>
      </c>
      <c r="DF43" s="60">
        <f t="shared" si="66"/>
        <v>16732.613736880237</v>
      </c>
      <c r="DG43" s="60">
        <f t="shared" si="67"/>
        <v>18002.323747248742</v>
      </c>
      <c r="DH43" s="13">
        <f t="shared" si="68"/>
        <v>0.10912333185518959</v>
      </c>
      <c r="DI43" s="13">
        <f t="shared" si="69"/>
        <v>8.1190306731092871E-2</v>
      </c>
      <c r="DJ43" s="13">
        <f t="shared" si="70"/>
        <v>5.656394576567917E-2</v>
      </c>
      <c r="DK43" s="13">
        <f t="shared" si="71"/>
        <v>3.5244248958948884E-2</v>
      </c>
      <c r="DL43" s="13">
        <f t="shared" si="72"/>
        <v>0</v>
      </c>
      <c r="DM43" s="13">
        <f t="shared" si="73"/>
        <v>0</v>
      </c>
      <c r="DN43" s="13">
        <f t="shared" si="74"/>
        <v>0</v>
      </c>
      <c r="DO43" s="13">
        <f t="shared" si="75"/>
        <v>0</v>
      </c>
      <c r="DP43" s="50">
        <f>DH43*'Useful Constants'!$B$8</f>
        <v>464.86539370310766</v>
      </c>
      <c r="DQ43" s="50">
        <f>DI43*'Useful Constants'!$B$8</f>
        <v>345.87070667445562</v>
      </c>
      <c r="DR43" s="50">
        <f>DJ43*'Useful Constants'!$B$10</f>
        <v>137.45038821060038</v>
      </c>
      <c r="DS43" s="50">
        <f>DK43*'Useful Constants'!$B$10</f>
        <v>85.643524970245792</v>
      </c>
      <c r="DT43" s="50">
        <f>DL43*'Useful Constants'!$B$10</f>
        <v>0</v>
      </c>
      <c r="DU43" s="50">
        <f>DM43*'Useful Constants'!$B$10</f>
        <v>0</v>
      </c>
      <c r="DV43" s="50">
        <f>DN43*'Useful Constants'!$B$10</f>
        <v>0</v>
      </c>
      <c r="DW43" s="50">
        <f>DO43*'Useful Constants'!$B$10</f>
        <v>0</v>
      </c>
      <c r="DX43" s="14">
        <f>DH43*'Useful Constants'!$B$9</f>
        <v>209.95329048938478</v>
      </c>
      <c r="DY43" s="14">
        <f>DI43*'Useful Constants'!$B$9</f>
        <v>156.2101501506227</v>
      </c>
      <c r="DZ43" s="14">
        <f>DJ43*'Useful Constants'!$B$11</f>
        <v>38.293791283364797</v>
      </c>
      <c r="EA43" s="14">
        <f>DK43*'Useful Constants'!$B$11</f>
        <v>23.860356545208393</v>
      </c>
      <c r="EB43" s="14">
        <f>DL43*'Useful Constants'!$B$11</f>
        <v>0</v>
      </c>
      <c r="EC43" s="14">
        <f>DM43*'Useful Constants'!$B$11</f>
        <v>0</v>
      </c>
      <c r="ED43" s="14">
        <f>DN43*'Useful Constants'!$B$11</f>
        <v>0</v>
      </c>
      <c r="EE43" s="14">
        <f>DO43*'Useful Constants'!$B$11</f>
        <v>0</v>
      </c>
      <c r="EF43" s="78">
        <f>(SUM(Data!DI43:DO43)*2+Data!DP43)/('Useful Constants'!$B$1*1000000)*$K43/100</f>
        <v>23.985047507198406</v>
      </c>
      <c r="EG43" s="78">
        <f>(SUM(Data!DJ43:DP43)*2+Data!DQ43)/('Useful Constants'!$B$1*1000000)*$K43/100</f>
        <v>19.576758678942493</v>
      </c>
      <c r="EH43" s="78">
        <f>(SUM(Data!DK43:DQ43)*2+Data!DR43)/('Useful Constants'!$B$1*1000000)*$K43/100</f>
        <v>16.475448706974181</v>
      </c>
      <c r="EI43" s="78">
        <f>(SUM(Data!DL43:DR43)*2+Data!DS43)/('Useful Constants'!$B$1*1000000)*$K43/100</f>
        <v>14.817893800075678</v>
      </c>
      <c r="EJ43" s="78">
        <f>(SUM(Data!DM43:DS43)*2+Data!DT43)/('Useful Constants'!$B$1*1000000)*$K43/100</f>
        <v>13.971007112629032</v>
      </c>
      <c r="EK43" s="78">
        <f>(SUM(Data!DN43:DT43)*2+Data!DU43)/('Useful Constants'!$B$1*1000000)*$K43/100</f>
        <v>13.606594050746413</v>
      </c>
      <c r="EL43" s="78">
        <f>(SUM(Data!DO43:DU43)*2+Data!DV43)/('Useful Constants'!$B$1*1000000)*$K43/100</f>
        <v>13.402701391633018</v>
      </c>
      <c r="EM43" s="78">
        <f>(SUM(Data!DP43:DV43)*2+Data!DW43)/('Useful Constants'!$B$1*1000000)*$K43/100</f>
        <v>13.396519819703816</v>
      </c>
      <c r="EN43" s="79">
        <f>EF43*'Useful Constants'!$B$3</f>
        <v>2014.7439906046661</v>
      </c>
      <c r="EO43" s="79">
        <f>EG43*'Useful Constants'!$B$3</f>
        <v>1644.4477290311695</v>
      </c>
      <c r="EP43" s="79">
        <f>EH43*'Useful Constants'!$B$3</f>
        <v>1383.9376913858312</v>
      </c>
      <c r="EQ43" s="79">
        <f>EI43*'Useful Constants'!$B$3</f>
        <v>1244.703079206357</v>
      </c>
      <c r="ER43" s="79">
        <f>EJ43*'Useful Constants'!$B$3</f>
        <v>1173.5645974608387</v>
      </c>
      <c r="ES43" s="79">
        <f>EK43*'Useful Constants'!$B$3</f>
        <v>1142.9539002626987</v>
      </c>
      <c r="ET43" s="79">
        <f>EL43*'Useful Constants'!$B$3</f>
        <v>1125.8269168971735</v>
      </c>
      <c r="EU43" s="79">
        <f>EM43*'Useful Constants'!$B$3</f>
        <v>1125.3076648551205</v>
      </c>
      <c r="EV43" s="78">
        <f>EF43*'Useful Constants'!$B$4</f>
        <v>671.58133020155537</v>
      </c>
      <c r="EW43" s="78">
        <f>EG43*'Useful Constants'!$B$4</f>
        <v>548.1492430103898</v>
      </c>
      <c r="EX43" s="78">
        <f>EH43*'Useful Constants'!$B$4</f>
        <v>461.31256379527707</v>
      </c>
      <c r="EY43" s="78">
        <f>EI43*'Useful Constants'!$B$4</f>
        <v>414.90102640211899</v>
      </c>
      <c r="EZ43" s="78">
        <f>EJ43*'Useful Constants'!$B$4</f>
        <v>391.18819915361291</v>
      </c>
      <c r="FA43" s="78">
        <f>EK43*'Useful Constants'!$B$4</f>
        <v>380.98463342089957</v>
      </c>
      <c r="FB43" s="78">
        <f>EL43*'Useful Constants'!$B$4</f>
        <v>375.27563896572451</v>
      </c>
      <c r="FC43" s="78">
        <f>EM43*'Useful Constants'!$B$4</f>
        <v>375.10255495170685</v>
      </c>
      <c r="FD43" s="40">
        <f t="shared" si="76"/>
        <v>0.62336051863200537</v>
      </c>
      <c r="FE43" s="40">
        <f t="shared" si="77"/>
        <v>0.62503251381476488</v>
      </c>
      <c r="FF43" s="40">
        <f t="shared" si="78"/>
        <v>0.65713579345328199</v>
      </c>
      <c r="FG43" s="40">
        <f t="shared" si="79"/>
        <v>0.67588781054972458</v>
      </c>
      <c r="FH43" s="40">
        <f t="shared" si="80"/>
        <v>0.68359609037823621</v>
      </c>
      <c r="FI43" s="40">
        <f t="shared" si="81"/>
        <v>0.71551025549660785</v>
      </c>
      <c r="FJ43" s="40">
        <f t="shared" si="82"/>
        <v>0.72275008894571813</v>
      </c>
      <c r="FK43" s="40">
        <f t="shared" si="83"/>
        <v>0.70180488124436236</v>
      </c>
      <c r="FL43" s="4">
        <f t="shared" si="84"/>
        <v>0.71488818985724267</v>
      </c>
      <c r="FM43" s="4">
        <f t="shared" si="85"/>
        <v>0.72153695882396895</v>
      </c>
      <c r="FN43" s="4">
        <f t="shared" si="86"/>
        <v>0.74877594996722563</v>
      </c>
      <c r="FO43" s="4">
        <f t="shared" si="87"/>
        <v>0.7637463980961765</v>
      </c>
      <c r="FP43" s="4">
        <f t="shared" si="88"/>
        <v>0.77078672829224548</v>
      </c>
      <c r="FQ43" s="4">
        <f t="shared" si="89"/>
        <v>0.7929432274892636</v>
      </c>
      <c r="FR43" s="4">
        <f t="shared" si="90"/>
        <v>0.79808351568267266</v>
      </c>
      <c r="FS43" s="4">
        <f t="shared" si="91"/>
        <v>0.78378013791656265</v>
      </c>
      <c r="FT43" s="38">
        <f t="shared" si="92"/>
        <v>0.66126860525151976</v>
      </c>
      <c r="FU43" s="38">
        <f t="shared" si="93"/>
        <v>0.66524490769949529</v>
      </c>
      <c r="FV43" s="38">
        <f t="shared" si="94"/>
        <v>0.69598897066633802</v>
      </c>
      <c r="FW43" s="38">
        <f t="shared" si="95"/>
        <v>0.71310308672049316</v>
      </c>
      <c r="FX43" s="38">
        <f t="shared" si="96"/>
        <v>0.72046268062502961</v>
      </c>
      <c r="FY43" s="38">
        <f t="shared" si="97"/>
        <v>0.74825430915231628</v>
      </c>
      <c r="FZ43" s="38">
        <f t="shared" si="98"/>
        <v>0.75460701953803433</v>
      </c>
      <c r="GA43" s="38">
        <f t="shared" si="99"/>
        <v>0.73646857642814856</v>
      </c>
    </row>
    <row r="44" spans="1:183" x14ac:dyDescent="0.25">
      <c r="A44" s="1" t="str">
        <f>Data!A44</f>
        <v>MI_DETROIT-CITY-AP_725375_TY3A</v>
      </c>
      <c r="B44" s="1" t="str">
        <f>TY3A_REP_CITIES!B44</f>
        <v>Detroit</v>
      </c>
      <c r="C44" s="1" t="str">
        <f>TY3A_REP_CITIES!C44</f>
        <v>Wayne</v>
      </c>
      <c r="D44" s="2" t="str">
        <f>TY3A_REP_CITIES!A44</f>
        <v>MI</v>
      </c>
      <c r="E44" s="42">
        <f>TY3A_REP_CITIES!E44</f>
        <v>1749343</v>
      </c>
      <c r="F44" s="2">
        <f>TY3A_REP_CITIES!G44</f>
        <v>5</v>
      </c>
      <c r="G44" s="2" t="str">
        <f>TY3A_REP_CITIES!H44</f>
        <v>Cold</v>
      </c>
      <c r="H44" s="2" t="str">
        <f>TY3A_REP_CITIES!I44</f>
        <v>Midwest</v>
      </c>
      <c r="I44" s="2">
        <f>Data!B44</f>
        <v>42.4</v>
      </c>
      <c r="J44" s="2">
        <f>Data!C44</f>
        <v>-83</v>
      </c>
      <c r="K44" s="2">
        <f>VLOOKUP(D44,Table1[],2,FALSE)</f>
        <v>1.4</v>
      </c>
      <c r="L44" s="2">
        <v>0.5</v>
      </c>
      <c r="M44" s="10">
        <f>Data!N44</f>
        <v>4648.6446699999997</v>
      </c>
      <c r="N44" s="10">
        <f>Data!Q44</f>
        <v>29308</v>
      </c>
      <c r="O44" s="10">
        <f>Data!O44</f>
        <v>48049938343.013</v>
      </c>
      <c r="P44" s="10">
        <f>Data!P44</f>
        <v>50052019107.305336</v>
      </c>
      <c r="Q44" s="10">
        <f>Data!S44*15</f>
        <v>37764.948063852877</v>
      </c>
      <c r="R44" s="48">
        <f>SUM(Data!U44:AA44)*2+Data!AB44</f>
        <v>478.05082886792036</v>
      </c>
      <c r="S44" s="48">
        <f>SUM(Data!V44:AB44)*2+Data!AC44</f>
        <v>500.50017087203116</v>
      </c>
      <c r="T44" s="48">
        <f>SUM(Data!W44:AC44)*2+Data!AD44</f>
        <v>449.21766948730362</v>
      </c>
      <c r="U44" s="48">
        <f>SUM(Data!X44:AD44)*2+Data!AE44</f>
        <v>460.95169529473173</v>
      </c>
      <c r="V44" s="48">
        <f>SUM(Data!Y44:AE44)*2+Data!AF44</f>
        <v>478.24755139990128</v>
      </c>
      <c r="W44" s="48">
        <f>SUM(Data!Z44:AF44)*2+Data!AG44</f>
        <v>451.69913562535328</v>
      </c>
      <c r="X44" s="48">
        <f>SUM(Data!AA44:AG44)*2+Data!AH44</f>
        <v>421.1705460460991</v>
      </c>
      <c r="Y44" s="48">
        <f>SUM(Data!AB44:AH44)*2+Data!AI44</f>
        <v>387.45880626363891</v>
      </c>
      <c r="Z44" s="80">
        <f>(SUM(Data!CS44:CY44)*2+Data!CZ44)/('Useful Constants'!$B$1*1000000)*$K44/100</f>
        <v>0.52437889548852157</v>
      </c>
      <c r="AA44" s="80">
        <f>(SUM(Data!CT44:CZ44)*2+Data!DA44)/('Useful Constants'!$B$1*1000000)*$K44/100</f>
        <v>0.48864610021203303</v>
      </c>
      <c r="AB44" s="80">
        <f>(SUM(Data!CU44:DA44)*2+Data!DB44)/('Useful Constants'!$B$1*1000000)*$K44/100</f>
        <v>0.48396412631529578</v>
      </c>
      <c r="AC44" s="80">
        <f>(SUM(Data!CV44:DB44)*2+Data!DC44)/('Useful Constants'!$B$1*1000000)*$K44/100</f>
        <v>0.4984768043663852</v>
      </c>
      <c r="AD44" s="80">
        <f>(SUM(Data!CW44:DC44)*2+Data!DD44)/('Useful Constants'!$B$1*1000000)*$K44/100</f>
        <v>0.53283349625755405</v>
      </c>
      <c r="AE44" s="80">
        <f>(SUM(Data!CX44:DD44)*2+Data!DE44)/('Useful Constants'!$B$1*1000000)*$K44/100</f>
        <v>0.55371298639261779</v>
      </c>
      <c r="AF44" s="80">
        <f>(SUM(Data!CY44:DE44)*2+Data!DF44)/('Useful Constants'!$B$1*1000000)*$K44/100</f>
        <v>0.56257883200854741</v>
      </c>
      <c r="AG44" s="80">
        <f>(SUM(Data!CZ44:DF44)*2+Data!DG44)/('Useful Constants'!$B$1*1000000)*$K44/100</f>
        <v>0.58672106372728483</v>
      </c>
      <c r="AH44" s="48">
        <f>Z44*'Useful Constants'!$B$3</f>
        <v>44.04782722103581</v>
      </c>
      <c r="AI44" s="48">
        <f>AA44*'Useful Constants'!$B$3</f>
        <v>41.046272417810776</v>
      </c>
      <c r="AJ44" s="48">
        <f>AB44*'Useful Constants'!$B$3</f>
        <v>40.652986610484845</v>
      </c>
      <c r="AK44" s="48">
        <f>AC44*'Useful Constants'!$B$3</f>
        <v>41.872051566776356</v>
      </c>
      <c r="AL44" s="48">
        <f>AD44*'Useful Constants'!$B$3</f>
        <v>44.758013685634538</v>
      </c>
      <c r="AM44" s="48">
        <f>AE44*'Useful Constants'!$B$3</f>
        <v>46.511890856979896</v>
      </c>
      <c r="AN44" s="48">
        <f>AF44*'Useful Constants'!$B$3</f>
        <v>47.25662188871798</v>
      </c>
      <c r="AO44" s="48">
        <f>AG44*'Useful Constants'!$B$3</f>
        <v>49.284569353091925</v>
      </c>
      <c r="AP44" s="10">
        <f>Z44*'Useful Constants'!$B$4</f>
        <v>14.682609073678604</v>
      </c>
      <c r="AQ44" s="10">
        <f>AA44*'Useful Constants'!$B$4</f>
        <v>13.682090805936925</v>
      </c>
      <c r="AR44" s="10">
        <f>AB44*'Useful Constants'!$B$4</f>
        <v>13.550995536828282</v>
      </c>
      <c r="AS44" s="10">
        <f>AC44*'Useful Constants'!$B$4</f>
        <v>13.957350522258785</v>
      </c>
      <c r="AT44" s="10">
        <f>AD44*'Useful Constants'!$B$4</f>
        <v>14.919337895211513</v>
      </c>
      <c r="AU44" s="10">
        <f>AE44*'Useful Constants'!$B$4</f>
        <v>15.503963618993298</v>
      </c>
      <c r="AV44" s="10">
        <f>AF44*'Useful Constants'!$B$4</f>
        <v>15.752207296239327</v>
      </c>
      <c r="AW44" s="10">
        <f>AG44*'Useful Constants'!$B$4</f>
        <v>16.428189784363976</v>
      </c>
      <c r="AX44" s="48">
        <f>P44/1000000/'Useful Constants'!$B$1*K44/100*'Useful Constants'!$B$3*15</f>
        <v>17658.352341057322</v>
      </c>
      <c r="AY44" s="48">
        <f>P44/1000000/'Useful Constants'!$B$1*L44/100*'Useful Constants'!$B$3*15</f>
        <v>6306.5544075204725</v>
      </c>
      <c r="AZ44" s="48">
        <f>P44/1000000/'Useful Constants'!$B$1*K44/100*'Useful Constants'!$B$4*15</f>
        <v>5886.1174470191072</v>
      </c>
      <c r="BA44" s="48">
        <f>P44/1000000/'Useful Constants'!$B$1*L44/100*'Useful Constants'!$B$4*15</f>
        <v>2102.1848025068239</v>
      </c>
      <c r="BB44" s="7">
        <f>Data!AN44</f>
        <v>4648.6446699999997</v>
      </c>
      <c r="BC44" s="7">
        <f>Data!AQ44</f>
        <v>4648.6446699999997</v>
      </c>
      <c r="BD44" s="7">
        <f>Data!AT44</f>
        <v>7802.57773</v>
      </c>
      <c r="BE44" s="6">
        <f>Data!AO44</f>
        <v>37871270058.879501</v>
      </c>
      <c r="BF44" s="6">
        <f>Data!AP44</f>
        <v>13691622941.2516</v>
      </c>
      <c r="BG44" s="6">
        <f>Data!AR44</f>
        <v>8287594830.6018</v>
      </c>
      <c r="BH44" s="6">
        <f>Data!AS44</f>
        <v>8287594830.6018</v>
      </c>
      <c r="BI44" s="8">
        <f t="shared" si="50"/>
        <v>0.82045496893294745</v>
      </c>
      <c r="BJ44" s="8">
        <f t="shared" si="51"/>
        <v>0.62293495079634276</v>
      </c>
      <c r="BK44" s="13">
        <f>BB44*'Useful Constants'!$B$5/'Useful Constants'!$B$6*'Useful Constants'!$B$7</f>
        <v>1.1895881710530001</v>
      </c>
      <c r="BL44" s="52">
        <f>1-VLOOKUP($G44,'Useful Constants'!$A$17:$X$23,10,FALSE)</f>
        <v>6.6471999999999865E-2</v>
      </c>
      <c r="BM44" s="52">
        <f>1-VLOOKUP($G44,'Useful Constants'!$A$17:$X$23,12,FALSE)</f>
        <v>4.945672000000001E-2</v>
      </c>
      <c r="BN44" s="52">
        <f>1-VLOOKUP($G44,'Useful Constants'!$A$17:$X$23,14,FALSE)</f>
        <v>3.4455679999999989E-2</v>
      </c>
      <c r="BO44" s="52">
        <f>1-VLOOKUP($G44,'Useful Constants'!$A$17:$X$23,16,FALSE)</f>
        <v>2.1468880000000024E-2</v>
      </c>
      <c r="BP44" s="52">
        <f>1-VLOOKUP($G44,'Useful Constants'!$A$17:$X$23,18,FALSE)</f>
        <v>0</v>
      </c>
      <c r="BQ44" s="52">
        <f>1-VLOOKUP($G44,'Useful Constants'!$A$17:$X$23,20, FALSE)</f>
        <v>0</v>
      </c>
      <c r="BR44" s="52">
        <f>1-VLOOKUP($G44,'Useful Constants'!$A$17:$X$23,22, FALSE)</f>
        <v>0</v>
      </c>
      <c r="BS44" s="52">
        <f>1-VLOOKUP($G44,'Useful Constants'!$A$17:$X$23,24, FALSE)</f>
        <v>0</v>
      </c>
      <c r="BT44" s="13">
        <f t="shared" si="52"/>
        <v>7.9074304906234863E-2</v>
      </c>
      <c r="BU44" s="13">
        <f t="shared" si="53"/>
        <v>5.8833129091080343E-2</v>
      </c>
      <c r="BV44" s="13">
        <f t="shared" si="54"/>
        <v>4.0988069353587418E-2</v>
      </c>
      <c r="BW44" s="13">
        <f t="shared" si="55"/>
        <v>2.5539125693756361E-2</v>
      </c>
      <c r="BX44" s="13">
        <f t="shared" si="56"/>
        <v>0</v>
      </c>
      <c r="BY44" s="13">
        <f t="shared" si="57"/>
        <v>0</v>
      </c>
      <c r="BZ44" s="13">
        <f t="shared" si="58"/>
        <v>0</v>
      </c>
      <c r="CA44" s="13">
        <f t="shared" si="59"/>
        <v>0</v>
      </c>
      <c r="CB44" s="59">
        <f>+SUM(Data!BM44:BS44)*2+Data!BT44</f>
        <v>2988.5565550260085</v>
      </c>
      <c r="CC44" s="59">
        <f>+SUM(Data!BN44:BT44)*2+Data!BU44</f>
        <v>3131.8164763618952</v>
      </c>
      <c r="CD44" s="59">
        <f>+SUM(Data!BO44:BU44)*2+Data!BV44</f>
        <v>2813.5466184144248</v>
      </c>
      <c r="CE44" s="59">
        <f>+SUM(Data!BP44:BV44)*2+Data!BW44</f>
        <v>2881.9377529249505</v>
      </c>
      <c r="CF44" s="59">
        <f>+SUM(Data!BQ44:BW44)*2+Data!BX44</f>
        <v>2987.7726716863176</v>
      </c>
      <c r="CG44" s="59">
        <f>+SUM(Data!BR44:BX44)*2+Data!BY44</f>
        <v>2819.9340079783774</v>
      </c>
      <c r="CH44" s="59">
        <f>+SUM(Data!BS44:BY44)*2+Data!BZ44</f>
        <v>2630.1201683249183</v>
      </c>
      <c r="CI44" s="59">
        <f>+SUM(Data!BT44:BZ44)*2+Data!CA44</f>
        <v>2420.2356321882303</v>
      </c>
      <c r="CJ44" s="13">
        <f>+SUM(Data!AW44:BC44)*2+Data!BD44</f>
        <v>17251.322928315432</v>
      </c>
      <c r="CK44" s="13">
        <f>+SUM(Data!AX44:BD44)*2+Data!BE44</f>
        <v>18069.896145189512</v>
      </c>
      <c r="CL44" s="13">
        <f>+SUM(Data!AY44:BE44)*2+Data!BF44</f>
        <v>16214.774134338233</v>
      </c>
      <c r="CM44" s="13">
        <f>+SUM(Data!AZ44:BF44)*2+Data!BG44</f>
        <v>16596.33626719944</v>
      </c>
      <c r="CN44" s="13">
        <f>+SUM(Data!BA44:BG44)*2+Data!BH44</f>
        <v>17207.844109085312</v>
      </c>
      <c r="CO44" s="13">
        <f>+SUM(Data!BB44:BH44)*2+Data!BI44</f>
        <v>16242.490460920131</v>
      </c>
      <c r="CP44" s="13">
        <f>+SUM(Data!BC44:BI44)*2+Data!BJ44</f>
        <v>15146.531770755328</v>
      </c>
      <c r="CQ44" s="13">
        <f>+SUM(Data!BD44:BJ44)*2+Data!BK44</f>
        <v>13943.226898811514</v>
      </c>
      <c r="CR44" s="59">
        <f>+SUM(Data!CC44:CI44)*2+Data!CJ44</f>
        <v>10779.559992532861</v>
      </c>
      <c r="CS44" s="59">
        <f>+SUM(Data!CD44:CJ44)*2+Data!CK44</f>
        <v>11187.722158388135</v>
      </c>
      <c r="CT44" s="59">
        <f>+SUM(Data!CE44:CK44)*2+Data!CL44</f>
        <v>9916.9074396947381</v>
      </c>
      <c r="CU44" s="59">
        <f>+SUM(Data!CF44:CL44)*2+Data!CM44</f>
        <v>10278.460128406934</v>
      </c>
      <c r="CV44" s="59">
        <f>+SUM(Data!CG44:CM44)*2+Data!CN44</f>
        <v>10723.182696050299</v>
      </c>
      <c r="CW44" s="59">
        <f>+SUM(Data!CH44:CN44)*2+Data!CO44</f>
        <v>10177.905264740937</v>
      </c>
      <c r="CX44" s="59">
        <f>+SUM(Data!CI44:CO44)*2+Data!CP44</f>
        <v>9482.8246557389648</v>
      </c>
      <c r="CY44" s="59">
        <f>+SUM(Data!CJ44:CP44)*2+Data!CQ44</f>
        <v>8707.8391798928533</v>
      </c>
      <c r="CZ44" s="60">
        <f t="shared" si="60"/>
        <v>31019.4394758743</v>
      </c>
      <c r="DA44" s="60">
        <f t="shared" si="61"/>
        <v>32389.43477993954</v>
      </c>
      <c r="DB44" s="60">
        <f t="shared" si="62"/>
        <v>28945.228192447394</v>
      </c>
      <c r="DC44" s="60">
        <f t="shared" si="63"/>
        <v>29756.734148531323</v>
      </c>
      <c r="DD44" s="60">
        <f t="shared" si="64"/>
        <v>30918.799476821929</v>
      </c>
      <c r="DE44" s="60">
        <f t="shared" si="65"/>
        <v>29240.329733639446</v>
      </c>
      <c r="DF44" s="60">
        <f t="shared" si="66"/>
        <v>27259.476594819211</v>
      </c>
      <c r="DG44" s="60">
        <f t="shared" si="67"/>
        <v>25071.3017108926</v>
      </c>
      <c r="DH44" s="13">
        <f t="shared" si="68"/>
        <v>8.1302032358385443E-2</v>
      </c>
      <c r="DI44" s="13">
        <f t="shared" si="69"/>
        <v>6.049061032885452E-2</v>
      </c>
      <c r="DJ44" s="13">
        <f t="shared" si="70"/>
        <v>4.2142809157091385E-2</v>
      </c>
      <c r="DK44" s="13">
        <f t="shared" si="71"/>
        <v>2.6258628843096335E-2</v>
      </c>
      <c r="DL44" s="13">
        <f t="shared" si="72"/>
        <v>0</v>
      </c>
      <c r="DM44" s="13">
        <f t="shared" si="73"/>
        <v>0</v>
      </c>
      <c r="DN44" s="13">
        <f t="shared" si="74"/>
        <v>0</v>
      </c>
      <c r="DO44" s="13">
        <f t="shared" si="75"/>
        <v>0</v>
      </c>
      <c r="DP44" s="50">
        <f>DH44*'Useful Constants'!$B$8</f>
        <v>346.346657846722</v>
      </c>
      <c r="DQ44" s="50">
        <f>DI44*'Useful Constants'!$B$8</f>
        <v>257.69000000092024</v>
      </c>
      <c r="DR44" s="50">
        <f>DJ44*'Useful Constants'!$B$10</f>
        <v>102.40702625173206</v>
      </c>
      <c r="DS44" s="50">
        <f>DK44*'Useful Constants'!$B$10</f>
        <v>63.808468088724091</v>
      </c>
      <c r="DT44" s="50">
        <f>DL44*'Useful Constants'!$B$10</f>
        <v>0</v>
      </c>
      <c r="DU44" s="50">
        <f>DM44*'Useful Constants'!$B$10</f>
        <v>0</v>
      </c>
      <c r="DV44" s="50">
        <f>DN44*'Useful Constants'!$B$10</f>
        <v>0</v>
      </c>
      <c r="DW44" s="50">
        <f>DO44*'Useful Constants'!$B$10</f>
        <v>0</v>
      </c>
      <c r="DX44" s="14">
        <f>DH44*'Useful Constants'!$B$9</f>
        <v>156.42511025753359</v>
      </c>
      <c r="DY44" s="14">
        <f>DI44*'Useful Constants'!$B$9</f>
        <v>116.3839342727161</v>
      </c>
      <c r="DZ44" s="14">
        <f>DJ44*'Useful Constants'!$B$11</f>
        <v>28.530681799350866</v>
      </c>
      <c r="EA44" s="14">
        <f>DK44*'Useful Constants'!$B$11</f>
        <v>17.77709172677622</v>
      </c>
      <c r="EB44" s="14">
        <f>DL44*'Useful Constants'!$B$11</f>
        <v>0</v>
      </c>
      <c r="EC44" s="14">
        <f>DM44*'Useful Constants'!$B$11</f>
        <v>0</v>
      </c>
      <c r="ED44" s="14">
        <f>DN44*'Useful Constants'!$B$11</f>
        <v>0</v>
      </c>
      <c r="EE44" s="14">
        <f>DO44*'Useful Constants'!$B$11</f>
        <v>0</v>
      </c>
      <c r="EF44" s="78">
        <f>(SUM(Data!DI44:DO44)*2+Data!DP44)/('Useful Constants'!$B$1*1000000)*$K44/100</f>
        <v>33.711118874628553</v>
      </c>
      <c r="EG44" s="78">
        <f>(SUM(Data!DJ44:DP44)*2+Data!DQ44)/('Useful Constants'!$B$1*1000000)*$K44/100</f>
        <v>31.5039378833538</v>
      </c>
      <c r="EH44" s="78">
        <f>(SUM(Data!DK44:DQ44)*2+Data!DR44)/('Useful Constants'!$B$1*1000000)*$K44/100</f>
        <v>31.24031004956316</v>
      </c>
      <c r="EI44" s="78">
        <f>(SUM(Data!DL44:DR44)*2+Data!DS44)/('Useful Constants'!$B$1*1000000)*$K44/100</f>
        <v>32.204516442121424</v>
      </c>
      <c r="EJ44" s="78">
        <f>(SUM(Data!DM44:DS44)*2+Data!DT44)/('Useful Constants'!$B$1*1000000)*$K44/100</f>
        <v>34.416260256996182</v>
      </c>
      <c r="EK44" s="78">
        <f>(SUM(Data!DN44:DT44)*2+Data!DU44)/('Useful Constants'!$B$1*1000000)*$K44/100</f>
        <v>35.719952938343432</v>
      </c>
      <c r="EL44" s="78">
        <f>(SUM(Data!DO44:DU44)*2+Data!DV44)/('Useful Constants'!$B$1*1000000)*$K44/100</f>
        <v>36.222505340228444</v>
      </c>
      <c r="EM44" s="78">
        <f>(SUM(Data!DP44:DV44)*2+Data!DW44)/('Useful Constants'!$B$1*1000000)*$K44/100</f>
        <v>37.702872879077141</v>
      </c>
      <c r="EN44" s="79">
        <f>EF44*'Useful Constants'!$B$3</f>
        <v>2831.7339854687984</v>
      </c>
      <c r="EO44" s="79">
        <f>EG44*'Useful Constants'!$B$3</f>
        <v>2646.3307822017191</v>
      </c>
      <c r="EP44" s="79">
        <f>EH44*'Useful Constants'!$B$3</f>
        <v>2624.1860441633053</v>
      </c>
      <c r="EQ44" s="79">
        <f>EI44*'Useful Constants'!$B$3</f>
        <v>2705.1793811381995</v>
      </c>
      <c r="ER44" s="79">
        <f>EJ44*'Useful Constants'!$B$3</f>
        <v>2890.9658615876792</v>
      </c>
      <c r="ES44" s="79">
        <f>EK44*'Useful Constants'!$B$3</f>
        <v>3000.4760468208483</v>
      </c>
      <c r="ET44" s="79">
        <f>EL44*'Useful Constants'!$B$3</f>
        <v>3042.6904485791893</v>
      </c>
      <c r="EU44" s="79">
        <f>EM44*'Useful Constants'!$B$3</f>
        <v>3167.0413218424796</v>
      </c>
      <c r="EV44" s="78">
        <f>EF44*'Useful Constants'!$B$4</f>
        <v>943.91132848959955</v>
      </c>
      <c r="EW44" s="78">
        <f>EG44*'Useful Constants'!$B$4</f>
        <v>882.11026073390644</v>
      </c>
      <c r="EX44" s="78">
        <f>EH44*'Useful Constants'!$B$4</f>
        <v>874.72868138776846</v>
      </c>
      <c r="EY44" s="78">
        <f>EI44*'Useful Constants'!$B$4</f>
        <v>901.7264603793999</v>
      </c>
      <c r="EZ44" s="78">
        <f>EJ44*'Useful Constants'!$B$4</f>
        <v>963.65528719589315</v>
      </c>
      <c r="FA44" s="78">
        <f>EK44*'Useful Constants'!$B$4</f>
        <v>1000.1586822736161</v>
      </c>
      <c r="FB44" s="78">
        <f>EL44*'Useful Constants'!$B$4</f>
        <v>1014.2301495263964</v>
      </c>
      <c r="FC44" s="78">
        <f>EM44*'Useful Constants'!$B$4</f>
        <v>1055.68044061416</v>
      </c>
      <c r="FD44" s="40">
        <f t="shared" si="76"/>
        <v>0.18888579938801384</v>
      </c>
      <c r="FE44" s="40">
        <f t="shared" si="77"/>
        <v>0.15355924798636061</v>
      </c>
      <c r="FF44" s="40">
        <f t="shared" si="78"/>
        <v>0.24255239812303547</v>
      </c>
      <c r="FG44" s="40">
        <f t="shared" si="79"/>
        <v>0.221555690355976</v>
      </c>
      <c r="FH44" s="40">
        <f t="shared" si="80"/>
        <v>0.19152155097388393</v>
      </c>
      <c r="FI44" s="40">
        <f t="shared" si="81"/>
        <v>0.23487977422470854</v>
      </c>
      <c r="FJ44" s="40">
        <f t="shared" si="82"/>
        <v>0.28614172932064524</v>
      </c>
      <c r="FK44" s="40">
        <f t="shared" si="83"/>
        <v>0.34286448044434914</v>
      </c>
      <c r="FL44" s="4">
        <f t="shared" si="84"/>
        <v>0.4506594859471636</v>
      </c>
      <c r="FM44" s="4">
        <f t="shared" si="85"/>
        <v>0.43323171069801536</v>
      </c>
      <c r="FN44" s="4">
        <f t="shared" si="86"/>
        <v>0.49096816123236603</v>
      </c>
      <c r="FO44" s="4">
        <f t="shared" si="87"/>
        <v>0.47735301210328973</v>
      </c>
      <c r="FP44" s="4">
        <f t="shared" si="88"/>
        <v>0.45689619507635282</v>
      </c>
      <c r="FQ44" s="4">
        <f t="shared" si="89"/>
        <v>0.48189285098591023</v>
      </c>
      <c r="FR44" s="4">
        <f t="shared" si="90"/>
        <v>0.51281343987983352</v>
      </c>
      <c r="FS44" s="4">
        <f t="shared" si="91"/>
        <v>0.5457634186880056</v>
      </c>
      <c r="FT44" s="38">
        <f t="shared" si="92"/>
        <v>0.30545804610104432</v>
      </c>
      <c r="FU44" s="38">
        <f t="shared" si="93"/>
        <v>0.27837082983191258</v>
      </c>
      <c r="FV44" s="38">
        <f t="shared" si="94"/>
        <v>0.35415277612762541</v>
      </c>
      <c r="FW44" s="38">
        <f t="shared" si="95"/>
        <v>0.33641663164044355</v>
      </c>
      <c r="FX44" s="38">
        <f t="shared" si="96"/>
        <v>0.31059622144795235</v>
      </c>
      <c r="FY44" s="38">
        <f t="shared" si="97"/>
        <v>0.34573362693032</v>
      </c>
      <c r="FZ44" s="38">
        <f t="shared" si="98"/>
        <v>0.38788480607109704</v>
      </c>
      <c r="GA44" s="38">
        <f t="shared" si="99"/>
        <v>0.43395575041065715</v>
      </c>
    </row>
    <row r="45" spans="1:183" x14ac:dyDescent="0.25">
      <c r="A45" s="1" t="str">
        <f>Data!A45</f>
        <v>MI_HOUGHTON-LAKE-ROSCOMMON-AP_726380_TY3A</v>
      </c>
      <c r="B45" s="1" t="str">
        <f>TY3A_REP_CITIES!B45</f>
        <v>Houghton</v>
      </c>
      <c r="C45" s="1" t="str">
        <f>TY3A_REP_CITIES!C45</f>
        <v>Roscommon</v>
      </c>
      <c r="D45" s="2" t="str">
        <f>TY3A_REP_CITIES!A45</f>
        <v>MI</v>
      </c>
      <c r="E45" s="42">
        <f>TY3A_REP_CITIES!E45</f>
        <v>24019</v>
      </c>
      <c r="F45" s="2">
        <f>TY3A_REP_CITIES!G45</f>
        <v>7</v>
      </c>
      <c r="G45" s="2" t="str">
        <f>TY3A_REP_CITIES!H45</f>
        <v>Very Cold</v>
      </c>
      <c r="H45" s="2" t="str">
        <f>TY3A_REP_CITIES!I45</f>
        <v>Midwest</v>
      </c>
      <c r="I45" s="2">
        <f>Data!B45</f>
        <v>44.37</v>
      </c>
      <c r="J45" s="2">
        <f>Data!C45</f>
        <v>-84.68</v>
      </c>
      <c r="K45" s="2">
        <f>VLOOKUP(D45,Table1[],2,FALSE)</f>
        <v>1.4</v>
      </c>
      <c r="L45" s="2">
        <v>0.5</v>
      </c>
      <c r="M45" s="10">
        <f>Data!N45</f>
        <v>5400.7634799999996</v>
      </c>
      <c r="N45" s="10">
        <f>Data!Q45</f>
        <v>29308</v>
      </c>
      <c r="O45" s="10">
        <f>Data!O45</f>
        <v>70038367781.833099</v>
      </c>
      <c r="P45" s="10">
        <f>Data!P45</f>
        <v>72956633106.075836</v>
      </c>
      <c r="Q45" s="10">
        <f>Data!S45*15</f>
        <v>55046.799495894629</v>
      </c>
      <c r="R45" s="48">
        <f>SUM(Data!U45:AA45)*2+Data!AB45</f>
        <v>856.29504226409313</v>
      </c>
      <c r="S45" s="48">
        <f>SUM(Data!V45:AB45)*2+Data!AC45</f>
        <v>898.13931705907294</v>
      </c>
      <c r="T45" s="48">
        <f>SUM(Data!W45:AC45)*2+Data!AD45</f>
        <v>808.75001460784426</v>
      </c>
      <c r="U45" s="48">
        <f>SUM(Data!X45:AD45)*2+Data!AE45</f>
        <v>829.09538743425037</v>
      </c>
      <c r="V45" s="48">
        <f>SUM(Data!Y45:AE45)*2+Data!AF45</f>
        <v>862.23363890984797</v>
      </c>
      <c r="W45" s="48">
        <f>SUM(Data!Z45:AF45)*2+Data!AG45</f>
        <v>814.68438105183316</v>
      </c>
      <c r="X45" s="48">
        <f>SUM(Data!AA45:AG45)*2+Data!AH45</f>
        <v>759.17280609869499</v>
      </c>
      <c r="Y45" s="48">
        <f>SUM(Data!AB45:AH45)*2+Data!AI45</f>
        <v>699.08305485019207</v>
      </c>
      <c r="Z45" s="80">
        <f>(SUM(Data!CS45:CY45)*2+Data!CZ45)/('Useful Constants'!$B$1*1000000)*$K45/100</f>
        <v>0.94306275496917091</v>
      </c>
      <c r="AA45" s="80">
        <f>(SUM(Data!CT45:CZ45)*2+Data!DA45)/('Useful Constants'!$B$1*1000000)*$K45/100</f>
        <v>0.88046348672582508</v>
      </c>
      <c r="AB45" s="80">
        <f>(SUM(Data!CU45:DA45)*2+Data!DB45)/('Useful Constants'!$B$1*1000000)*$K45/100</f>
        <v>0.87296829070345217</v>
      </c>
      <c r="AC45" s="80">
        <f>(SUM(Data!CV45:DB45)*2+Data!DC45)/('Useful Constants'!$B$1*1000000)*$K45/100</f>
        <v>0.902369284475389</v>
      </c>
      <c r="AD45" s="80">
        <f>(SUM(Data!CW45:DC45)*2+Data!DD45)/('Useful Constants'!$B$1*1000000)*$K45/100</f>
        <v>0.96678249754050871</v>
      </c>
      <c r="AE45" s="80">
        <f>(SUM(Data!CX45:DD45)*2+Data!DE45)/('Useful Constants'!$B$1*1000000)*$K45/100</f>
        <v>1.0075505992843987</v>
      </c>
      <c r="AF45" s="80">
        <f>(SUM(Data!CY45:DE45)*2+Data!DF45)/('Useful Constants'!$B$1*1000000)*$K45/100</f>
        <v>1.0267311169546365</v>
      </c>
      <c r="AG45" s="80">
        <f>(SUM(Data!CZ45:DF45)*2+Data!DG45)/('Useful Constants'!$B$1*1000000)*$K45/100</f>
        <v>1.0744553299178445</v>
      </c>
      <c r="AH45" s="48">
        <f>Z45*'Useful Constants'!$B$3</f>
        <v>79.217271417410359</v>
      </c>
      <c r="AI45" s="48">
        <f>AA45*'Useful Constants'!$B$3</f>
        <v>73.9589328849693</v>
      </c>
      <c r="AJ45" s="48">
        <f>AB45*'Useful Constants'!$B$3</f>
        <v>73.329336419089984</v>
      </c>
      <c r="AK45" s="48">
        <f>AC45*'Useful Constants'!$B$3</f>
        <v>75.799019895932673</v>
      </c>
      <c r="AL45" s="48">
        <f>AD45*'Useful Constants'!$B$3</f>
        <v>81.20972979340273</v>
      </c>
      <c r="AM45" s="48">
        <f>AE45*'Useful Constants'!$B$3</f>
        <v>84.634250339889491</v>
      </c>
      <c r="AN45" s="48">
        <f>AF45*'Useful Constants'!$B$3</f>
        <v>86.24541382418947</v>
      </c>
      <c r="AO45" s="48">
        <f>AG45*'Useful Constants'!$B$3</f>
        <v>90.254247713098948</v>
      </c>
      <c r="AP45" s="10">
        <f>Z45*'Useful Constants'!$B$4</f>
        <v>26.405757139136785</v>
      </c>
      <c r="AQ45" s="10">
        <f>AA45*'Useful Constants'!$B$4</f>
        <v>24.652977628323104</v>
      </c>
      <c r="AR45" s="10">
        <f>AB45*'Useful Constants'!$B$4</f>
        <v>24.443112139696659</v>
      </c>
      <c r="AS45" s="10">
        <f>AC45*'Useful Constants'!$B$4</f>
        <v>25.266339965310891</v>
      </c>
      <c r="AT45" s="10">
        <f>AD45*'Useful Constants'!$B$4</f>
        <v>27.069909931134244</v>
      </c>
      <c r="AU45" s="10">
        <f>AE45*'Useful Constants'!$B$4</f>
        <v>28.211416779963166</v>
      </c>
      <c r="AV45" s="10">
        <f>AF45*'Useful Constants'!$B$4</f>
        <v>28.748471274729823</v>
      </c>
      <c r="AW45" s="10">
        <f>AG45*'Useful Constants'!$B$4</f>
        <v>30.084749237699647</v>
      </c>
      <c r="AX45" s="48">
        <f>P45/1000000/'Useful Constants'!$B$1*K45/100*'Useful Constants'!$B$3*15</f>
        <v>25739.100159823553</v>
      </c>
      <c r="AY45" s="48">
        <f>P45/1000000/'Useful Constants'!$B$1*L45/100*'Useful Constants'!$B$3*15</f>
        <v>9192.5357713655558</v>
      </c>
      <c r="AZ45" s="48">
        <f>P45/1000000/'Useful Constants'!$B$1*K45/100*'Useful Constants'!$B$4*15</f>
        <v>8579.7000532745169</v>
      </c>
      <c r="BA45" s="48">
        <f>P45/1000000/'Useful Constants'!$B$1*L45/100*'Useful Constants'!$B$4*15</f>
        <v>3064.1785904551853</v>
      </c>
      <c r="BB45" s="7">
        <f>Data!AN45</f>
        <v>5400.7634799999996</v>
      </c>
      <c r="BC45" s="7">
        <f>Data!AQ45</f>
        <v>5400.7634799999996</v>
      </c>
      <c r="BD45" s="7">
        <f>Data!AT45</f>
        <v>9379.2446199999995</v>
      </c>
      <c r="BE45" s="6">
        <f>Data!AO45</f>
        <v>51858731249.548103</v>
      </c>
      <c r="BF45" s="6">
        <f>Data!AP45</f>
        <v>19600121280.097599</v>
      </c>
      <c r="BG45" s="6">
        <f>Data!AR45</f>
        <v>15333004271.313601</v>
      </c>
      <c r="BH45" s="6">
        <f>Data!AS45</f>
        <v>15333004271.313601</v>
      </c>
      <c r="BI45" s="8">
        <f t="shared" si="50"/>
        <v>0.77180222906203988</v>
      </c>
      <c r="BJ45" s="8">
        <f t="shared" si="51"/>
        <v>0.56107551130092936</v>
      </c>
      <c r="BK45" s="13">
        <f>BB45*'Useful Constants'!$B$5/'Useful Constants'!$B$6*'Useful Constants'!$B$7</f>
        <v>1.3820553745320001</v>
      </c>
      <c r="BL45" s="52">
        <f>1-VLOOKUP($G45,'Useful Constants'!$A$17:$X$23,10,FALSE)</f>
        <v>6.6471999999999865E-2</v>
      </c>
      <c r="BM45" s="52">
        <f>1-VLOOKUP($G45,'Useful Constants'!$A$17:$X$23,12,FALSE)</f>
        <v>4.945672000000001E-2</v>
      </c>
      <c r="BN45" s="52">
        <f>1-VLOOKUP($G45,'Useful Constants'!$A$17:$X$23,14,FALSE)</f>
        <v>3.4455679999999989E-2</v>
      </c>
      <c r="BO45" s="52">
        <f>1-VLOOKUP($G45,'Useful Constants'!$A$17:$X$23,16,FALSE)</f>
        <v>2.1468880000000024E-2</v>
      </c>
      <c r="BP45" s="52">
        <f>1-VLOOKUP($G45,'Useful Constants'!$A$17:$X$23,18,FALSE)</f>
        <v>0</v>
      </c>
      <c r="BQ45" s="52">
        <f>1-VLOOKUP($G45,'Useful Constants'!$A$17:$X$23,20, FALSE)</f>
        <v>0</v>
      </c>
      <c r="BR45" s="52">
        <f>1-VLOOKUP($G45,'Useful Constants'!$A$17:$X$23,22, FALSE)</f>
        <v>0</v>
      </c>
      <c r="BS45" s="52">
        <f>1-VLOOKUP($G45,'Useful Constants'!$A$17:$X$23,24, FALSE)</f>
        <v>0</v>
      </c>
      <c r="BT45" s="13">
        <f t="shared" si="52"/>
        <v>9.1867984855890927E-2</v>
      </c>
      <c r="BU45" s="13">
        <f t="shared" si="53"/>
        <v>6.8351925682724274E-2</v>
      </c>
      <c r="BV45" s="13">
        <f t="shared" si="54"/>
        <v>4.7619657727154728E-2</v>
      </c>
      <c r="BW45" s="13">
        <f t="shared" si="55"/>
        <v>2.9671180989182599E-2</v>
      </c>
      <c r="BX45" s="13">
        <f t="shared" si="56"/>
        <v>0</v>
      </c>
      <c r="BY45" s="13">
        <f t="shared" si="57"/>
        <v>0</v>
      </c>
      <c r="BZ45" s="13">
        <f t="shared" si="58"/>
        <v>0</v>
      </c>
      <c r="CA45" s="13">
        <f t="shared" si="59"/>
        <v>0</v>
      </c>
      <c r="CB45" s="59">
        <f>+SUM(Data!BM45:BS45)*2+Data!BT45</f>
        <v>4613.3724156564949</v>
      </c>
      <c r="CC45" s="59">
        <f>+SUM(Data!BN45:BT45)*2+Data!BU45</f>
        <v>4841.3870285793346</v>
      </c>
      <c r="CD45" s="59">
        <f>+SUM(Data!BO45:BU45)*2+Data!BV45</f>
        <v>4365.2571619115006</v>
      </c>
      <c r="CE45" s="59">
        <f>+SUM(Data!BP45:BV45)*2+Data!BW45</f>
        <v>4471.7379928626724</v>
      </c>
      <c r="CF45" s="59">
        <f>+SUM(Data!BQ45:BW45)*2+Data!BX45</f>
        <v>4649.301176882479</v>
      </c>
      <c r="CG45" s="59">
        <f>+SUM(Data!BR45:BX45)*2+Data!BY45</f>
        <v>4389.8294435971284</v>
      </c>
      <c r="CH45" s="59">
        <f>+SUM(Data!BS45:BY45)*2+Data!BZ45</f>
        <v>4087.8620336083814</v>
      </c>
      <c r="CI45" s="59">
        <f>+SUM(Data!BT45:BZ45)*2+Data!CA45</f>
        <v>3767.376501169209</v>
      </c>
      <c r="CJ45" s="13">
        <f>+SUM(Data!AW45:BC45)*2+Data!BD45</f>
        <v>24613.020332841956</v>
      </c>
      <c r="CK45" s="13">
        <f>+SUM(Data!AX45:BD45)*2+Data!BE45</f>
        <v>25828.511009244052</v>
      </c>
      <c r="CL45" s="13">
        <f>+SUM(Data!AY45:BE45)*2+Data!BF45</f>
        <v>23299.573317516519</v>
      </c>
      <c r="CM45" s="13">
        <f>+SUM(Data!AZ45:BF45)*2+Data!BG45</f>
        <v>23834.635121857671</v>
      </c>
      <c r="CN45" s="13">
        <f>+SUM(Data!BA45:BG45)*2+Data!BH45</f>
        <v>24773.277960285213</v>
      </c>
      <c r="CO45" s="13">
        <f>+SUM(Data!BB45:BH45)*2+Data!BI45</f>
        <v>23386.619997035395</v>
      </c>
      <c r="CP45" s="13">
        <f>+SUM(Data!BC45:BI45)*2+Data!BJ45</f>
        <v>21776.717295223985</v>
      </c>
      <c r="CQ45" s="13">
        <f>+SUM(Data!BD45:BJ45)*2+Data!BK45</f>
        <v>20085.024638213279</v>
      </c>
      <c r="CR45" s="59">
        <f>+SUM(Data!CC45:CI45)*2+Data!CJ45</f>
        <v>20322.447628249054</v>
      </c>
      <c r="CS45" s="59">
        <f>+SUM(Data!CD45:CJ45)*2+Data!CK45</f>
        <v>21213.617786479554</v>
      </c>
      <c r="CT45" s="59">
        <f>+SUM(Data!CE45:CK45)*2+Data!CL45</f>
        <v>18822.27947552962</v>
      </c>
      <c r="CU45" s="59">
        <f>+SUM(Data!CF45:CL45)*2+Data!CM45</f>
        <v>19306.302165459067</v>
      </c>
      <c r="CV45" s="59">
        <f>+SUM(Data!CG45:CM45)*2+Data!CN45</f>
        <v>20103.270748986393</v>
      </c>
      <c r="CW45" s="59">
        <f>+SUM(Data!CH45:CN45)*2+Data!CO45</f>
        <v>19033.154519233009</v>
      </c>
      <c r="CX45" s="59">
        <f>+SUM(Data!CI45:CO45)*2+Data!CP45</f>
        <v>17845.76884405559</v>
      </c>
      <c r="CY45" s="59">
        <f>+SUM(Data!CJ45:CP45)*2+Data!CQ45</f>
        <v>16338.089415425826</v>
      </c>
      <c r="CZ45" s="60">
        <f t="shared" si="60"/>
        <v>49548.84037674751</v>
      </c>
      <c r="DA45" s="60">
        <f t="shared" si="61"/>
        <v>51883.515824302944</v>
      </c>
      <c r="DB45" s="60">
        <f t="shared" si="62"/>
        <v>46487.109954957639</v>
      </c>
      <c r="DC45" s="60">
        <f t="shared" si="63"/>
        <v>47612.675280179406</v>
      </c>
      <c r="DD45" s="60">
        <f t="shared" si="64"/>
        <v>49525.849886154087</v>
      </c>
      <c r="DE45" s="60">
        <f t="shared" si="65"/>
        <v>46809.603959865533</v>
      </c>
      <c r="DF45" s="60">
        <f t="shared" si="66"/>
        <v>43710.348172887956</v>
      </c>
      <c r="DG45" s="60">
        <f t="shared" si="67"/>
        <v>40190.490554808312</v>
      </c>
      <c r="DH45" s="13">
        <f t="shared" si="68"/>
        <v>9.4456143323801589E-2</v>
      </c>
      <c r="DI45" s="13">
        <f t="shared" si="69"/>
        <v>7.0277576011630982E-2</v>
      </c>
      <c r="DJ45" s="13">
        <f t="shared" si="70"/>
        <v>4.8961226507387309E-2</v>
      </c>
      <c r="DK45" s="13">
        <f t="shared" si="71"/>
        <v>3.0507094811070883E-2</v>
      </c>
      <c r="DL45" s="13">
        <f t="shared" si="72"/>
        <v>0</v>
      </c>
      <c r="DM45" s="13">
        <f t="shared" si="73"/>
        <v>0</v>
      </c>
      <c r="DN45" s="13">
        <f t="shared" si="74"/>
        <v>0</v>
      </c>
      <c r="DO45" s="13">
        <f t="shared" si="75"/>
        <v>0</v>
      </c>
      <c r="DP45" s="50">
        <f>DH45*'Useful Constants'!$B$8</f>
        <v>402.38317055939478</v>
      </c>
      <c r="DQ45" s="50">
        <f>DI45*'Useful Constants'!$B$8</f>
        <v>299.382473809548</v>
      </c>
      <c r="DR45" s="50">
        <f>DJ45*'Useful Constants'!$B$10</f>
        <v>118.97578041295117</v>
      </c>
      <c r="DS45" s="50">
        <f>DK45*'Useful Constants'!$B$10</f>
        <v>74.13224039090224</v>
      </c>
      <c r="DT45" s="50">
        <f>DL45*'Useful Constants'!$B$10</f>
        <v>0</v>
      </c>
      <c r="DU45" s="50">
        <f>DM45*'Useful Constants'!$B$10</f>
        <v>0</v>
      </c>
      <c r="DV45" s="50">
        <f>DN45*'Useful Constants'!$B$10</f>
        <v>0</v>
      </c>
      <c r="DW45" s="50">
        <f>DO45*'Useful Constants'!$B$10</f>
        <v>0</v>
      </c>
      <c r="DX45" s="14">
        <f>DH45*'Useful Constants'!$B$9</f>
        <v>181.73361975499427</v>
      </c>
      <c r="DY45" s="14">
        <f>DI45*'Useful Constants'!$B$9</f>
        <v>135.21405624637802</v>
      </c>
      <c r="DZ45" s="14">
        <f>DJ45*'Useful Constants'!$B$11</f>
        <v>33.146750345501211</v>
      </c>
      <c r="EA45" s="14">
        <f>DK45*'Useful Constants'!$B$11</f>
        <v>20.653303187094988</v>
      </c>
      <c r="EB45" s="14">
        <f>DL45*'Useful Constants'!$B$11</f>
        <v>0</v>
      </c>
      <c r="EC45" s="14">
        <f>DM45*'Useful Constants'!$B$11</f>
        <v>0</v>
      </c>
      <c r="ED45" s="14">
        <f>DN45*'Useful Constants'!$B$11</f>
        <v>0</v>
      </c>
      <c r="EE45" s="14">
        <f>DO45*'Useful Constants'!$B$11</f>
        <v>0</v>
      </c>
      <c r="EF45" s="78">
        <f>(SUM(Data!DI45:DO45)*2+Data!DP45)/('Useful Constants'!$B$1*1000000)*$K45/100</f>
        <v>54.415951979970124</v>
      </c>
      <c r="EG45" s="78">
        <f>(SUM(Data!DJ45:DP45)*2+Data!DQ45)/('Useful Constants'!$B$1*1000000)*$K45/100</f>
        <v>51.063621062682031</v>
      </c>
      <c r="EH45" s="78">
        <f>(SUM(Data!DK45:DQ45)*2+Data!DR45)/('Useful Constants'!$B$1*1000000)*$K45/100</f>
        <v>50.821314294127767</v>
      </c>
      <c r="EI45" s="78">
        <f>(SUM(Data!DL45:DR45)*2+Data!DS45)/('Useful Constants'!$B$1*1000000)*$K45/100</f>
        <v>52.747699725835574</v>
      </c>
      <c r="EJ45" s="78">
        <f>(SUM(Data!DM45:DS45)*2+Data!DT45)/('Useful Constants'!$B$1*1000000)*$K45/100</f>
        <v>56.593388246503274</v>
      </c>
      <c r="EK45" s="78">
        <f>(SUM(Data!DN45:DT45)*2+Data!DU45)/('Useful Constants'!$B$1*1000000)*$K45/100</f>
        <v>59.034603395573384</v>
      </c>
      <c r="EL45" s="78">
        <f>(SUM(Data!DO45:DU45)*2+Data!DV45)/('Useful Constants'!$B$1*1000000)*$K45/100</f>
        <v>60.24037512076486</v>
      </c>
      <c r="EM45" s="78">
        <f>(SUM(Data!DP45:DV45)*2+Data!DW45)/('Useful Constants'!$B$1*1000000)*$K45/100</f>
        <v>63.123185370758804</v>
      </c>
      <c r="EN45" s="79">
        <f>EF45*'Useful Constants'!$B$3</f>
        <v>4570.9399663174909</v>
      </c>
      <c r="EO45" s="79">
        <f>EG45*'Useful Constants'!$B$3</f>
        <v>4289.3441692652905</v>
      </c>
      <c r="EP45" s="79">
        <f>EH45*'Useful Constants'!$B$3</f>
        <v>4268.9904007067325</v>
      </c>
      <c r="EQ45" s="79">
        <f>EI45*'Useful Constants'!$B$3</f>
        <v>4430.8067769701884</v>
      </c>
      <c r="ER45" s="79">
        <f>EJ45*'Useful Constants'!$B$3</f>
        <v>4753.8446127062753</v>
      </c>
      <c r="ES45" s="79">
        <f>EK45*'Useful Constants'!$B$3</f>
        <v>4958.906685228164</v>
      </c>
      <c r="ET45" s="79">
        <f>EL45*'Useful Constants'!$B$3</f>
        <v>5060.1915101442482</v>
      </c>
      <c r="EU45" s="79">
        <f>EM45*'Useful Constants'!$B$3</f>
        <v>5302.3475711437395</v>
      </c>
      <c r="EV45" s="78">
        <f>EF45*'Useful Constants'!$B$4</f>
        <v>1523.6466554391634</v>
      </c>
      <c r="EW45" s="78">
        <f>EG45*'Useful Constants'!$B$4</f>
        <v>1429.7813897550968</v>
      </c>
      <c r="EX45" s="78">
        <f>EH45*'Useful Constants'!$B$4</f>
        <v>1422.9968002355774</v>
      </c>
      <c r="EY45" s="78">
        <f>EI45*'Useful Constants'!$B$4</f>
        <v>1476.9355923233961</v>
      </c>
      <c r="EZ45" s="78">
        <f>EJ45*'Useful Constants'!$B$4</f>
        <v>1584.6148709020918</v>
      </c>
      <c r="FA45" s="78">
        <f>EK45*'Useful Constants'!$B$4</f>
        <v>1652.9688950760547</v>
      </c>
      <c r="FB45" s="78">
        <f>EL45*'Useful Constants'!$B$4</f>
        <v>1686.7305033814162</v>
      </c>
      <c r="FC45" s="78">
        <f>EM45*'Useful Constants'!$B$4</f>
        <v>1767.4491903812466</v>
      </c>
      <c r="FD45" s="40">
        <f t="shared" si="76"/>
        <v>0.11366551733686016</v>
      </c>
      <c r="FE45" s="40">
        <f t="shared" si="77"/>
        <v>7.2596790251745938E-2</v>
      </c>
      <c r="FF45" s="40">
        <f t="shared" si="78"/>
        <v>0.16772620872315105</v>
      </c>
      <c r="FG45" s="40">
        <f t="shared" si="79"/>
        <v>0.14788523065990103</v>
      </c>
      <c r="FH45" s="40">
        <f t="shared" si="80"/>
        <v>0.11417087527268888</v>
      </c>
      <c r="FI45" s="40">
        <f t="shared" si="81"/>
        <v>0.16204152286789789</v>
      </c>
      <c r="FJ45" s="40">
        <f t="shared" si="82"/>
        <v>0.2167442592640452</v>
      </c>
      <c r="FK45" s="40">
        <f t="shared" si="83"/>
        <v>0.27904109297716506</v>
      </c>
      <c r="FL45" s="4">
        <f t="shared" si="84"/>
        <v>0.40028824103986194</v>
      </c>
      <c r="FM45" s="4">
        <f t="shared" si="85"/>
        <v>0.37908838811309248</v>
      </c>
      <c r="FN45" s="4">
        <f t="shared" si="86"/>
        <v>0.44007497359751152</v>
      </c>
      <c r="FO45" s="4">
        <f t="shared" si="87"/>
        <v>0.42654374138252998</v>
      </c>
      <c r="FP45" s="4">
        <f t="shared" si="88"/>
        <v>0.40300733753232232</v>
      </c>
      <c r="FQ45" s="4">
        <f t="shared" si="89"/>
        <v>0.43035002150489821</v>
      </c>
      <c r="FR45" s="4">
        <f t="shared" si="90"/>
        <v>0.46302058628141474</v>
      </c>
      <c r="FS45" s="4">
        <f t="shared" si="91"/>
        <v>0.49879966470640352</v>
      </c>
      <c r="FT45" s="38">
        <f t="shared" si="92"/>
        <v>0.24150277140663473</v>
      </c>
      <c r="FU45" s="38">
        <f t="shared" si="93"/>
        <v>0.20949906983060351</v>
      </c>
      <c r="FV45" s="38">
        <f t="shared" si="94"/>
        <v>0.28998067488741064</v>
      </c>
      <c r="FW45" s="38">
        <f t="shared" si="95"/>
        <v>0.27292567637278164</v>
      </c>
      <c r="FX45" s="38">
        <f t="shared" si="96"/>
        <v>0.24370407508145542</v>
      </c>
      <c r="FY45" s="38">
        <f t="shared" si="97"/>
        <v>0.28239288950080565</v>
      </c>
      <c r="FZ45" s="38">
        <f t="shared" si="98"/>
        <v>0.32723738980222633</v>
      </c>
      <c r="GA45" s="38">
        <f t="shared" si="99"/>
        <v>0.37766188637957443</v>
      </c>
    </row>
    <row r="46" spans="1:183" x14ac:dyDescent="0.25">
      <c r="A46" s="1" t="str">
        <f>Data!A46</f>
        <v>MI_TRAVERSE-CITY-CHERRY-CAP_726387_TY3A</v>
      </c>
      <c r="B46" s="1" t="str">
        <f>TY3A_REP_CITIES!B46</f>
        <v>Traverse-City</v>
      </c>
      <c r="C46" s="1" t="str">
        <f>TY3A_REP_CITIES!C46</f>
        <v>Grand Traverse</v>
      </c>
      <c r="D46" s="2" t="str">
        <f>TY3A_REP_CITIES!A46</f>
        <v>MI</v>
      </c>
      <c r="E46" s="42">
        <f>TY3A_REP_CITIES!E46</f>
        <v>93088</v>
      </c>
      <c r="F46" s="2">
        <f>TY3A_REP_CITIES!G46</f>
        <v>6</v>
      </c>
      <c r="G46" s="2" t="str">
        <f>TY3A_REP_CITIES!H46</f>
        <v>Cold</v>
      </c>
      <c r="H46" s="2" t="str">
        <f>TY3A_REP_CITIES!I46</f>
        <v>Midwest</v>
      </c>
      <c r="I46" s="2">
        <f>Data!B46</f>
        <v>44.73</v>
      </c>
      <c r="J46" s="2">
        <f>Data!C46</f>
        <v>-85.58</v>
      </c>
      <c r="K46" s="2">
        <f>VLOOKUP(D46,Table1[],2,FALSE)</f>
        <v>1.4</v>
      </c>
      <c r="L46" s="2">
        <v>0.5</v>
      </c>
      <c r="M46" s="10">
        <f>Data!N46</f>
        <v>4955.4189200000001</v>
      </c>
      <c r="N46" s="10">
        <f>Data!Q46</f>
        <v>29308</v>
      </c>
      <c r="O46" s="10">
        <f>Data!O46</f>
        <v>68108140905.597397</v>
      </c>
      <c r="P46" s="10">
        <f>Data!P46</f>
        <v>70945980109.99733</v>
      </c>
      <c r="Q46" s="10">
        <f>Data!S46*15</f>
        <v>53529.733704631624</v>
      </c>
      <c r="R46" s="48">
        <f>SUM(Data!U46:AA46)*2+Data!AB46</f>
        <v>748.41794442576327</v>
      </c>
      <c r="S46" s="48">
        <f>SUM(Data!V46:AB46)*2+Data!AC46</f>
        <v>785.78373332506771</v>
      </c>
      <c r="T46" s="48">
        <f>SUM(Data!W46:AC46)*2+Data!AD46</f>
        <v>708.27271104761815</v>
      </c>
      <c r="U46" s="48">
        <f>SUM(Data!X46:AD46)*2+Data!AE46</f>
        <v>725.74617733559489</v>
      </c>
      <c r="V46" s="48">
        <f>SUM(Data!Y46:AE46)*2+Data!AF46</f>
        <v>754.02727555153922</v>
      </c>
      <c r="W46" s="48">
        <f>SUM(Data!Z46:AF46)*2+Data!AG46</f>
        <v>711.85726878467381</v>
      </c>
      <c r="X46" s="48">
        <f>SUM(Data!AA46:AG46)*2+Data!AH46</f>
        <v>663.22544558452967</v>
      </c>
      <c r="Y46" s="48">
        <f>SUM(Data!AB46:AH46)*2+Data!AI46</f>
        <v>610.25370299412418</v>
      </c>
      <c r="Z46" s="80">
        <f>(SUM(Data!CS46:CY46)*2+Data!CZ46)/('Useful Constants'!$B$1*1000000)*$K46/100</f>
        <v>0.82134233590438288</v>
      </c>
      <c r="AA46" s="80">
        <f>(SUM(Data!CT46:CZ46)*2+Data!DA46)/('Useful Constants'!$B$1*1000000)*$K46/100</f>
        <v>0.76587100332311198</v>
      </c>
      <c r="AB46" s="80">
        <f>(SUM(Data!CU46:DA46)*2+Data!DB46)/('Useful Constants'!$B$1*1000000)*$K46/100</f>
        <v>0.75796185943577354</v>
      </c>
      <c r="AC46" s="80">
        <f>(SUM(Data!CV46:DB46)*2+Data!DC46)/('Useful Constants'!$B$1*1000000)*$K46/100</f>
        <v>0.78256216387582345</v>
      </c>
      <c r="AD46" s="80">
        <f>(SUM(Data!CW46:DC46)*2+Data!DD46)/('Useful Constants'!$B$1*1000000)*$K46/100</f>
        <v>0.83786216642317923</v>
      </c>
      <c r="AE46" s="80">
        <f>(SUM(Data!CX46:DD46)*2+Data!DE46)/('Useful Constants'!$B$1*1000000)*$K46/100</f>
        <v>0.87288399376499326</v>
      </c>
      <c r="AF46" s="80">
        <f>(SUM(Data!CY46:DE46)*2+Data!DF46)/('Useful Constants'!$B$1*1000000)*$K46/100</f>
        <v>0.88867185915948865</v>
      </c>
      <c r="AG46" s="80">
        <f>(SUM(Data!CZ46:DF46)*2+Data!DG46)/('Useful Constants'!$B$1*1000000)*$K46/100</f>
        <v>0.92925366996456826</v>
      </c>
      <c r="AH46" s="48">
        <f>Z46*'Useful Constants'!$B$3</f>
        <v>68.992756215968157</v>
      </c>
      <c r="AI46" s="48">
        <f>AA46*'Useful Constants'!$B$3</f>
        <v>64.3331642791414</v>
      </c>
      <c r="AJ46" s="48">
        <f>AB46*'Useful Constants'!$B$3</f>
        <v>63.668796192604979</v>
      </c>
      <c r="AK46" s="48">
        <f>AC46*'Useful Constants'!$B$3</f>
        <v>65.735221765569165</v>
      </c>
      <c r="AL46" s="48">
        <f>AD46*'Useful Constants'!$B$3</f>
        <v>70.380421979547052</v>
      </c>
      <c r="AM46" s="48">
        <f>AE46*'Useful Constants'!$B$3</f>
        <v>73.322255476259429</v>
      </c>
      <c r="AN46" s="48">
        <f>AF46*'Useful Constants'!$B$3</f>
        <v>74.648436169397044</v>
      </c>
      <c r="AO46" s="48">
        <f>AG46*'Useful Constants'!$B$3</f>
        <v>78.057308277023736</v>
      </c>
      <c r="AP46" s="10">
        <f>Z46*'Useful Constants'!$B$4</f>
        <v>22.99758540532272</v>
      </c>
      <c r="AQ46" s="10">
        <f>AA46*'Useful Constants'!$B$4</f>
        <v>21.444388093047134</v>
      </c>
      <c r="AR46" s="10">
        <f>AB46*'Useful Constants'!$B$4</f>
        <v>21.222932064201657</v>
      </c>
      <c r="AS46" s="10">
        <f>AC46*'Useful Constants'!$B$4</f>
        <v>21.911740588523056</v>
      </c>
      <c r="AT46" s="10">
        <f>AD46*'Useful Constants'!$B$4</f>
        <v>23.460140659849017</v>
      </c>
      <c r="AU46" s="10">
        <f>AE46*'Useful Constants'!$B$4</f>
        <v>24.44075182541981</v>
      </c>
      <c r="AV46" s="10">
        <f>AF46*'Useful Constants'!$B$4</f>
        <v>24.882812056465681</v>
      </c>
      <c r="AW46" s="10">
        <f>AG46*'Useful Constants'!$B$4</f>
        <v>26.019102759007911</v>
      </c>
      <c r="AX46" s="48">
        <f>P46/1000000/'Useful Constants'!$B$1*K46/100*'Useful Constants'!$B$3*15</f>
        <v>25029.741782807054</v>
      </c>
      <c r="AY46" s="48">
        <f>P46/1000000/'Useful Constants'!$B$1*L46/100*'Useful Constants'!$B$3*15</f>
        <v>8939.1934938596623</v>
      </c>
      <c r="AZ46" s="48">
        <f>P46/1000000/'Useful Constants'!$B$1*K46/100*'Useful Constants'!$B$4*15</f>
        <v>8343.2472609356828</v>
      </c>
      <c r="BA46" s="48">
        <f>P46/1000000/'Useful Constants'!$B$1*L46/100*'Useful Constants'!$B$4*15</f>
        <v>2979.7311646198877</v>
      </c>
      <c r="BB46" s="7">
        <f>Data!AN46</f>
        <v>4955.4189200000001</v>
      </c>
      <c r="BC46" s="7">
        <f>Data!AQ46</f>
        <v>4955.4189200000001</v>
      </c>
      <c r="BD46" s="7">
        <f>Data!AT46</f>
        <v>8628.6633500000007</v>
      </c>
      <c r="BE46" s="6">
        <f>Data!AO46</f>
        <v>50968476665.653702</v>
      </c>
      <c r="BF46" s="6">
        <f>Data!AP46</f>
        <v>18866302135.063801</v>
      </c>
      <c r="BG46" s="6">
        <f>Data!AR46</f>
        <v>14432708505.5688</v>
      </c>
      <c r="BH46" s="6">
        <f>Data!AS46</f>
        <v>14432708505.5688</v>
      </c>
      <c r="BI46" s="8">
        <f t="shared" si="50"/>
        <v>0.7793203828373525</v>
      </c>
      <c r="BJ46" s="8">
        <f t="shared" si="51"/>
        <v>0.56657245281763691</v>
      </c>
      <c r="BK46" s="13">
        <f>BB46*'Useful Constants'!$B$5/'Useful Constants'!$B$6*'Useful Constants'!$B$7</f>
        <v>1.268091701628</v>
      </c>
      <c r="BL46" s="52">
        <f>1-VLOOKUP($G46,'Useful Constants'!$A$17:$X$23,10,FALSE)</f>
        <v>6.6471999999999865E-2</v>
      </c>
      <c r="BM46" s="52">
        <f>1-VLOOKUP($G46,'Useful Constants'!$A$17:$X$23,12,FALSE)</f>
        <v>4.945672000000001E-2</v>
      </c>
      <c r="BN46" s="52">
        <f>1-VLOOKUP($G46,'Useful Constants'!$A$17:$X$23,14,FALSE)</f>
        <v>3.4455679999999989E-2</v>
      </c>
      <c r="BO46" s="52">
        <f>1-VLOOKUP($G46,'Useful Constants'!$A$17:$X$23,16,FALSE)</f>
        <v>2.1468880000000024E-2</v>
      </c>
      <c r="BP46" s="52">
        <f>1-VLOOKUP($G46,'Useful Constants'!$A$17:$X$23,18,FALSE)</f>
        <v>0</v>
      </c>
      <c r="BQ46" s="52">
        <f>1-VLOOKUP($G46,'Useful Constants'!$A$17:$X$23,20, FALSE)</f>
        <v>0</v>
      </c>
      <c r="BR46" s="52">
        <f>1-VLOOKUP($G46,'Useful Constants'!$A$17:$X$23,22, FALSE)</f>
        <v>0</v>
      </c>
      <c r="BS46" s="52">
        <f>1-VLOOKUP($G46,'Useful Constants'!$A$17:$X$23,24, FALSE)</f>
        <v>0</v>
      </c>
      <c r="BT46" s="13">
        <f t="shared" si="52"/>
        <v>8.429259159061625E-2</v>
      </c>
      <c r="BU46" s="13">
        <f t="shared" si="53"/>
        <v>6.2715656221739552E-2</v>
      </c>
      <c r="BV46" s="13">
        <f t="shared" si="54"/>
        <v>4.3692961881949835E-2</v>
      </c>
      <c r="BW46" s="13">
        <f t="shared" si="55"/>
        <v>2.7224508571247367E-2</v>
      </c>
      <c r="BX46" s="13">
        <f t="shared" si="56"/>
        <v>0</v>
      </c>
      <c r="BY46" s="13">
        <f t="shared" si="57"/>
        <v>0</v>
      </c>
      <c r="BZ46" s="13">
        <f t="shared" si="58"/>
        <v>0</v>
      </c>
      <c r="CA46" s="13">
        <f t="shared" si="59"/>
        <v>0</v>
      </c>
      <c r="CB46" s="59">
        <f>+SUM(Data!BM46:BS46)*2+Data!BT46</f>
        <v>4304.9791377548036</v>
      </c>
      <c r="CC46" s="59">
        <f>+SUM(Data!BN46:BT46)*2+Data!BU46</f>
        <v>4519.2531609799826</v>
      </c>
      <c r="CD46" s="59">
        <f>+SUM(Data!BO46:BU46)*2+Data!BV46</f>
        <v>4079.4921972227644</v>
      </c>
      <c r="CE46" s="59">
        <f>+SUM(Data!BP46:BV46)*2+Data!BW46</f>
        <v>4182.22517883408</v>
      </c>
      <c r="CF46" s="59">
        <f>+SUM(Data!BQ46:BW46)*2+Data!BX46</f>
        <v>4346.5066477819164</v>
      </c>
      <c r="CG46" s="59">
        <f>+SUM(Data!BR46:BX46)*2+Data!BY46</f>
        <v>4105.0872356894761</v>
      </c>
      <c r="CH46" s="59">
        <f>+SUM(Data!BS46:BY46)*2+Data!BZ46</f>
        <v>3819.9905068363232</v>
      </c>
      <c r="CI46" s="59">
        <f>+SUM(Data!BT46:BZ46)*2+Data!CA46</f>
        <v>3518.0931574056012</v>
      </c>
      <c r="CJ46" s="13">
        <f>+SUM(Data!AW46:BC46)*2+Data!BD46</f>
        <v>23604.21761544143</v>
      </c>
      <c r="CK46" s="13">
        <f>+SUM(Data!AX46:BD46)*2+Data!BE46</f>
        <v>24772.110074291082</v>
      </c>
      <c r="CL46" s="13">
        <f>+SUM(Data!AY46:BE46)*2+Data!BF46</f>
        <v>22343.04490640638</v>
      </c>
      <c r="CM46" s="13">
        <f>+SUM(Data!AZ46:BF46)*2+Data!BG46</f>
        <v>22880.671978705835</v>
      </c>
      <c r="CN46" s="13">
        <f>+SUM(Data!BA46:BG46)*2+Data!BH46</f>
        <v>23768.448645092445</v>
      </c>
      <c r="CO46" s="13">
        <f>+SUM(Data!BB46:BH46)*2+Data!BI46</f>
        <v>22445.057002084104</v>
      </c>
      <c r="CP46" s="13">
        <f>+SUM(Data!BC46:BI46)*2+Data!BJ46</f>
        <v>20886.916360747357</v>
      </c>
      <c r="CQ46" s="13">
        <f>+SUM(Data!BD46:BJ46)*2+Data!BK46</f>
        <v>19241.553492839495</v>
      </c>
      <c r="CR46" s="59">
        <f>+SUM(Data!CC46:CI46)*2+Data!CJ46</f>
        <v>18981.215673765371</v>
      </c>
      <c r="CS46" s="59">
        <f>+SUM(Data!CD46:CJ46)*2+Data!CK46</f>
        <v>19911.981051443036</v>
      </c>
      <c r="CT46" s="59">
        <f>+SUM(Data!CE46:CK46)*2+Data!CL46</f>
        <v>17731.63371779507</v>
      </c>
      <c r="CU46" s="59">
        <f>+SUM(Data!CF46:CL46)*2+Data!CM46</f>
        <v>18049.807705993568</v>
      </c>
      <c r="CV46" s="59">
        <f>+SUM(Data!CG46:CM46)*2+Data!CN46</f>
        <v>18725.157097229148</v>
      </c>
      <c r="CW46" s="59">
        <f>+SUM(Data!CH46:CN46)*2+Data!CO46</f>
        <v>17611.333410037016</v>
      </c>
      <c r="CX46" s="59">
        <f>+SUM(Data!CI46:CO46)*2+Data!CP46</f>
        <v>16531.080526764217</v>
      </c>
      <c r="CY46" s="59">
        <f>+SUM(Data!CJ46:CP46)*2+Data!CQ46</f>
        <v>15142.353660046298</v>
      </c>
      <c r="CZ46" s="60">
        <f t="shared" si="60"/>
        <v>46890.4124269616</v>
      </c>
      <c r="DA46" s="60">
        <f t="shared" si="61"/>
        <v>49203.344286714098</v>
      </c>
      <c r="DB46" s="60">
        <f t="shared" si="62"/>
        <v>44154.17082142421</v>
      </c>
      <c r="DC46" s="60">
        <f t="shared" si="63"/>
        <v>45112.70486353348</v>
      </c>
      <c r="DD46" s="60">
        <f t="shared" si="64"/>
        <v>46840.11239010351</v>
      </c>
      <c r="DE46" s="60">
        <f t="shared" si="65"/>
        <v>44161.477647810592</v>
      </c>
      <c r="DF46" s="60">
        <f t="shared" si="66"/>
        <v>41237.987394347896</v>
      </c>
      <c r="DG46" s="60">
        <f t="shared" si="67"/>
        <v>37902.000310291391</v>
      </c>
      <c r="DH46" s="13">
        <f t="shared" si="68"/>
        <v>8.6667331659744912E-2</v>
      </c>
      <c r="DI46" s="13">
        <f t="shared" si="69"/>
        <v>6.4482518279021961E-2</v>
      </c>
      <c r="DJ46" s="13">
        <f t="shared" si="70"/>
        <v>4.492390549587863E-2</v>
      </c>
      <c r="DK46" s="13">
        <f t="shared" si="71"/>
        <v>2.7991493310315169E-2</v>
      </c>
      <c r="DL46" s="13">
        <f t="shared" si="72"/>
        <v>0</v>
      </c>
      <c r="DM46" s="13">
        <f t="shared" si="73"/>
        <v>0</v>
      </c>
      <c r="DN46" s="13">
        <f t="shared" si="74"/>
        <v>0</v>
      </c>
      <c r="DO46" s="13">
        <f t="shared" si="75"/>
        <v>0</v>
      </c>
      <c r="DP46" s="50">
        <f>DH46*'Useful Constants'!$B$8</f>
        <v>369.2028328705133</v>
      </c>
      <c r="DQ46" s="50">
        <f>DI46*'Useful Constants'!$B$8</f>
        <v>274.69552786863358</v>
      </c>
      <c r="DR46" s="50">
        <f>DJ46*'Useful Constants'!$B$10</f>
        <v>109.16509035498507</v>
      </c>
      <c r="DS46" s="50">
        <f>DK46*'Useful Constants'!$B$10</f>
        <v>68.019328744065859</v>
      </c>
      <c r="DT46" s="50">
        <f>DL46*'Useful Constants'!$B$10</f>
        <v>0</v>
      </c>
      <c r="DU46" s="50">
        <f>DM46*'Useful Constants'!$B$10</f>
        <v>0</v>
      </c>
      <c r="DV46" s="50">
        <f>DN46*'Useful Constants'!$B$10</f>
        <v>0</v>
      </c>
      <c r="DW46" s="50">
        <f>DO46*'Useful Constants'!$B$10</f>
        <v>0</v>
      </c>
      <c r="DX46" s="14">
        <f>DH46*'Useful Constants'!$B$9</f>
        <v>166.7479461133492</v>
      </c>
      <c r="DY46" s="14">
        <f>DI46*'Useful Constants'!$B$9</f>
        <v>124.06436516883825</v>
      </c>
      <c r="DZ46" s="14">
        <f>DJ46*'Useful Constants'!$B$11</f>
        <v>30.413484020709831</v>
      </c>
      <c r="EA46" s="14">
        <f>DK46*'Useful Constants'!$B$11</f>
        <v>18.950240971083367</v>
      </c>
      <c r="EB46" s="14">
        <f>DL46*'Useful Constants'!$B$11</f>
        <v>0</v>
      </c>
      <c r="EC46" s="14">
        <f>DM46*'Useful Constants'!$B$11</f>
        <v>0</v>
      </c>
      <c r="ED46" s="14">
        <f>DN46*'Useful Constants'!$B$11</f>
        <v>0</v>
      </c>
      <c r="EE46" s="14">
        <f>DO46*'Useful Constants'!$B$11</f>
        <v>0</v>
      </c>
      <c r="EF46" s="78">
        <f>(SUM(Data!DI46:DO46)*2+Data!DP46)/('Useful Constants'!$B$1*1000000)*$K46/100</f>
        <v>50.954983708009173</v>
      </c>
      <c r="EG46" s="78">
        <f>(SUM(Data!DJ46:DP46)*2+Data!DQ46)/('Useful Constants'!$B$1*1000000)*$K46/100</f>
        <v>47.694621991914701</v>
      </c>
      <c r="EH46" s="78">
        <f>(SUM(Data!DK46:DQ46)*2+Data!DR46)/('Useful Constants'!$B$1*1000000)*$K46/100</f>
        <v>47.301424341306557</v>
      </c>
      <c r="EI46" s="78">
        <f>(SUM(Data!DL46:DR46)*2+Data!DS46)/('Useful Constants'!$B$1*1000000)*$K46/100</f>
        <v>48.997400564417283</v>
      </c>
      <c r="EJ46" s="78">
        <f>(SUM(Data!DM46:DS46)*2+Data!DT46)/('Useful Constants'!$B$1*1000000)*$K46/100</f>
        <v>52.516509394162455</v>
      </c>
      <c r="EK46" s="78">
        <f>(SUM(Data!DN46:DT46)*2+Data!DU46)/('Useful Constants'!$B$1*1000000)*$K46/100</f>
        <v>54.789476189823418</v>
      </c>
      <c r="EL46" s="78">
        <f>(SUM(Data!DO46:DU46)*2+Data!DV46)/('Useful Constants'!$B$1*1000000)*$K46/100</f>
        <v>55.811706875584797</v>
      </c>
      <c r="EM46" s="78">
        <f>(SUM(Data!DP46:DV46)*2+Data!DW46)/('Useful Constants'!$B$1*1000000)*$K46/100</f>
        <v>58.384095698405872</v>
      </c>
      <c r="EN46" s="79">
        <f>EF46*'Useful Constants'!$B$3</f>
        <v>4280.2186314727705</v>
      </c>
      <c r="EO46" s="79">
        <f>EG46*'Useful Constants'!$B$3</f>
        <v>4006.3482473208351</v>
      </c>
      <c r="EP46" s="79">
        <f>EH46*'Useful Constants'!$B$3</f>
        <v>3973.3196446697507</v>
      </c>
      <c r="EQ46" s="79">
        <f>EI46*'Useful Constants'!$B$3</f>
        <v>4115.7816474110514</v>
      </c>
      <c r="ER46" s="79">
        <f>EJ46*'Useful Constants'!$B$3</f>
        <v>4411.3867891096461</v>
      </c>
      <c r="ES46" s="79">
        <f>EK46*'Useful Constants'!$B$3</f>
        <v>4602.3159999451673</v>
      </c>
      <c r="ET46" s="79">
        <f>EL46*'Useful Constants'!$B$3</f>
        <v>4688.1833775491232</v>
      </c>
      <c r="EU46" s="79">
        <f>EM46*'Useful Constants'!$B$3</f>
        <v>4904.2640386660933</v>
      </c>
      <c r="EV46" s="78">
        <f>EF46*'Useful Constants'!$B$4</f>
        <v>1426.7395438242568</v>
      </c>
      <c r="EW46" s="78">
        <f>EG46*'Useful Constants'!$B$4</f>
        <v>1335.4494157736117</v>
      </c>
      <c r="EX46" s="78">
        <f>EH46*'Useful Constants'!$B$4</f>
        <v>1324.4398815565837</v>
      </c>
      <c r="EY46" s="78">
        <f>EI46*'Useful Constants'!$B$4</f>
        <v>1371.927215803684</v>
      </c>
      <c r="EZ46" s="78">
        <f>EJ46*'Useful Constants'!$B$4</f>
        <v>1470.4622630365488</v>
      </c>
      <c r="FA46" s="78">
        <f>EK46*'Useful Constants'!$B$4</f>
        <v>1534.1053333150558</v>
      </c>
      <c r="FB46" s="78">
        <f>EL46*'Useful Constants'!$B$4</f>
        <v>1562.7277925163744</v>
      </c>
      <c r="FC46" s="78">
        <f>EM46*'Useful Constants'!$B$4</f>
        <v>1634.7546795553644</v>
      </c>
      <c r="FD46" s="40">
        <f t="shared" si="76"/>
        <v>0.13610889460389505</v>
      </c>
      <c r="FE46" s="40">
        <f t="shared" si="77"/>
        <v>9.4119938323005081E-2</v>
      </c>
      <c r="FF46" s="40">
        <f t="shared" si="78"/>
        <v>0.18591825659985864</v>
      </c>
      <c r="FG46" s="40">
        <f t="shared" si="79"/>
        <v>0.16851339327057555</v>
      </c>
      <c r="FH46" s="40">
        <f t="shared" si="80"/>
        <v>0.13712477646486274</v>
      </c>
      <c r="FI46" s="40">
        <f t="shared" si="81"/>
        <v>0.18583734630029478</v>
      </c>
      <c r="FJ46" s="40">
        <f t="shared" si="82"/>
        <v>0.23905267324411436</v>
      </c>
      <c r="FK46" s="40">
        <f t="shared" si="83"/>
        <v>0.2999259489123412</v>
      </c>
      <c r="FL46" s="4">
        <f t="shared" si="84"/>
        <v>0.4164161942319054</v>
      </c>
      <c r="FM46" s="4">
        <f t="shared" si="85"/>
        <v>0.39462226300185649</v>
      </c>
      <c r="FN46" s="4">
        <f t="shared" si="86"/>
        <v>0.45353662686277457</v>
      </c>
      <c r="FO46" s="4">
        <f t="shared" si="87"/>
        <v>0.44165339364250922</v>
      </c>
      <c r="FP46" s="4">
        <f t="shared" si="88"/>
        <v>0.41972697163188988</v>
      </c>
      <c r="FQ46" s="4">
        <f t="shared" si="89"/>
        <v>0.44764762215044268</v>
      </c>
      <c r="FR46" s="4">
        <f t="shared" si="90"/>
        <v>0.47951076411530724</v>
      </c>
      <c r="FS46" s="4">
        <f t="shared" si="91"/>
        <v>0.51459654982442671</v>
      </c>
      <c r="FT46" s="38">
        <f t="shared" si="92"/>
        <v>0.26118789467066411</v>
      </c>
      <c r="FU46" s="38">
        <f t="shared" si="93"/>
        <v>0.22840535837347339</v>
      </c>
      <c r="FV46" s="38">
        <f t="shared" si="94"/>
        <v>0.30607666725227373</v>
      </c>
      <c r="FW46" s="38">
        <f t="shared" si="95"/>
        <v>0.29110792688817894</v>
      </c>
      <c r="FX46" s="38">
        <f t="shared" si="96"/>
        <v>0.26389718472536533</v>
      </c>
      <c r="FY46" s="38">
        <f t="shared" si="97"/>
        <v>0.30330427496823287</v>
      </c>
      <c r="FZ46" s="38">
        <f t="shared" si="98"/>
        <v>0.34696094840440944</v>
      </c>
      <c r="GA46" s="38">
        <f t="shared" si="99"/>
        <v>0.39628389371860606</v>
      </c>
    </row>
    <row r="47" spans="1:183" x14ac:dyDescent="0.25">
      <c r="A47" s="1" t="str">
        <f>Data!A47</f>
        <v>MN_DULUTH-IAP_727450_TY3A</v>
      </c>
      <c r="B47" s="1" t="str">
        <f>TY3A_REP_CITIES!B47</f>
        <v>Duluth</v>
      </c>
      <c r="C47" s="1" t="str">
        <f>TY3A_REP_CITIES!C47</f>
        <v>St Louis</v>
      </c>
      <c r="D47" s="2" t="str">
        <f>TY3A_REP_CITIES!A47</f>
        <v>MN</v>
      </c>
      <c r="E47" s="42">
        <f>TY3A_REP_CITIES!E47</f>
        <v>199070</v>
      </c>
      <c r="F47" s="2">
        <f>TY3A_REP_CITIES!G47</f>
        <v>7</v>
      </c>
      <c r="G47" s="2" t="str">
        <f>TY3A_REP_CITIES!H47</f>
        <v>Very Cold</v>
      </c>
      <c r="H47" s="2" t="str">
        <f>TY3A_REP_CITIES!I47</f>
        <v>Midwest</v>
      </c>
      <c r="I47" s="2">
        <f>Data!B47</f>
        <v>46.83</v>
      </c>
      <c r="J47" s="2">
        <f>Data!C47</f>
        <v>-92.22</v>
      </c>
      <c r="K47" s="2">
        <f>VLOOKUP(D47,Table1[],2,FALSE)</f>
        <v>1.7</v>
      </c>
      <c r="L47" s="2">
        <v>0.5</v>
      </c>
      <c r="M47" s="10">
        <f>Data!N47</f>
        <v>6740.7996899999998</v>
      </c>
      <c r="N47" s="10">
        <f>Data!Q47</f>
        <v>29308</v>
      </c>
      <c r="O47" s="10">
        <f>Data!O47</f>
        <v>86928052811.956406</v>
      </c>
      <c r="P47" s="10">
        <f>Data!P47</f>
        <v>90550055012.453339</v>
      </c>
      <c r="Q47" s="10">
        <f>Data!S47*15</f>
        <v>68321.282252232631</v>
      </c>
      <c r="R47" s="48">
        <f>SUM(Data!U47:AA47)*2+Data!AB47</f>
        <v>1092.081361703302</v>
      </c>
      <c r="S47" s="48">
        <f>SUM(Data!V47:AB47)*2+Data!AC47</f>
        <v>1073.7434227765004</v>
      </c>
      <c r="T47" s="48">
        <f>SUM(Data!W47:AC47)*2+Data!AD47</f>
        <v>994.81386810862296</v>
      </c>
      <c r="U47" s="48">
        <f>SUM(Data!X47:AD47)*2+Data!AE47</f>
        <v>870.6121449133575</v>
      </c>
      <c r="V47" s="48">
        <f>SUM(Data!Y47:AE47)*2+Data!AF47</f>
        <v>943.43865515660752</v>
      </c>
      <c r="W47" s="48">
        <f>SUM(Data!Z47:AF47)*2+Data!AG47</f>
        <v>1050.0135484148122</v>
      </c>
      <c r="X47" s="48">
        <f>SUM(Data!AA47:AG47)*2+Data!AH47</f>
        <v>998.9403506796782</v>
      </c>
      <c r="Y47" s="48">
        <f>SUM(Data!AB47:AH47)*2+Data!AI47</f>
        <v>864.82867401870158</v>
      </c>
      <c r="Z47" s="80">
        <f>(SUM(Data!CS47:CY47)*2+Data!CZ47)/('Useful Constants'!$B$1*1000000)*$K47/100</f>
        <v>0.50702031215923382</v>
      </c>
      <c r="AA47" s="80">
        <f>(SUM(Data!CT47:CZ47)*2+Data!DA47)/('Useful Constants'!$B$1*1000000)*$K47/100</f>
        <v>0.35680968279295266</v>
      </c>
      <c r="AB47" s="80">
        <f>(SUM(Data!CU47:DA47)*2+Data!DB47)/('Useful Constants'!$B$1*1000000)*$K47/100</f>
        <v>0.22846592602992882</v>
      </c>
      <c r="AC47" s="80">
        <f>(SUM(Data!CV47:DB47)*2+Data!DC47)/('Useful Constants'!$B$1*1000000)*$K47/100</f>
        <v>0.16023393690238349</v>
      </c>
      <c r="AD47" s="80">
        <f>(SUM(Data!CW47:DC47)*2+Data!DD47)/('Useful Constants'!$B$1*1000000)*$K47/100</f>
        <v>0.12070713483435505</v>
      </c>
      <c r="AE47" s="80">
        <f>(SUM(Data!CX47:DD47)*2+Data!DE47)/('Useful Constants'!$B$1*1000000)*$K47/100</f>
        <v>8.9628218575735177E-2</v>
      </c>
      <c r="AF47" s="80">
        <f>(SUM(Data!CY47:DE47)*2+Data!DF47)/('Useful Constants'!$B$1*1000000)*$K47/100</f>
        <v>7.5034262576643126E-2</v>
      </c>
      <c r="AG47" s="80">
        <f>(SUM(Data!CZ47:DF47)*2+Data!DG47)/('Useful Constants'!$B$1*1000000)*$K47/100</f>
        <v>5.8182449478365858E-2</v>
      </c>
      <c r="AH47" s="48">
        <f>Z47*'Useful Constants'!$B$3</f>
        <v>42.589706221375643</v>
      </c>
      <c r="AI47" s="48">
        <f>AA47*'Useful Constants'!$B$3</f>
        <v>29.972013354608023</v>
      </c>
      <c r="AJ47" s="48">
        <f>AB47*'Useful Constants'!$B$3</f>
        <v>19.19113778651402</v>
      </c>
      <c r="AK47" s="48">
        <f>AC47*'Useful Constants'!$B$3</f>
        <v>13.459650699800214</v>
      </c>
      <c r="AL47" s="48">
        <f>AD47*'Useful Constants'!$B$3</f>
        <v>10.139399326085824</v>
      </c>
      <c r="AM47" s="48">
        <f>AE47*'Useful Constants'!$B$3</f>
        <v>7.5287703603617553</v>
      </c>
      <c r="AN47" s="48">
        <f>AF47*'Useful Constants'!$B$3</f>
        <v>6.3028780564380229</v>
      </c>
      <c r="AO47" s="48">
        <f>AG47*'Useful Constants'!$B$3</f>
        <v>4.8873257561827321</v>
      </c>
      <c r="AP47" s="10">
        <f>Z47*'Useful Constants'!$B$4</f>
        <v>14.196568740458547</v>
      </c>
      <c r="AQ47" s="10">
        <f>AA47*'Useful Constants'!$B$4</f>
        <v>9.9906711182026751</v>
      </c>
      <c r="AR47" s="10">
        <f>AB47*'Useful Constants'!$B$4</f>
        <v>6.3970459288380068</v>
      </c>
      <c r="AS47" s="10">
        <f>AC47*'Useful Constants'!$B$4</f>
        <v>4.4865502332667377</v>
      </c>
      <c r="AT47" s="10">
        <f>AD47*'Useful Constants'!$B$4</f>
        <v>3.3797997753619415</v>
      </c>
      <c r="AU47" s="10">
        <f>AE47*'Useful Constants'!$B$4</f>
        <v>2.5095901201205848</v>
      </c>
      <c r="AV47" s="10">
        <f>AF47*'Useful Constants'!$B$4</f>
        <v>2.1009593521460075</v>
      </c>
      <c r="AW47" s="10">
        <f>AG47*'Useful Constants'!$B$4</f>
        <v>1.629108585394244</v>
      </c>
      <c r="AX47" s="48">
        <f>P47/1000000/'Useful Constants'!$B$1*K47/100*'Useful Constants'!$B$3*15</f>
        <v>38791.643567335006</v>
      </c>
      <c r="AY47" s="48">
        <f>P47/1000000/'Useful Constants'!$B$1*L47/100*'Useful Constants'!$B$3*15</f>
        <v>11409.306931569119</v>
      </c>
      <c r="AZ47" s="48">
        <f>P47/1000000/'Useful Constants'!$B$1*K47/100*'Useful Constants'!$B$4*15</f>
        <v>12930.547855778335</v>
      </c>
      <c r="BA47" s="48">
        <f>P47/1000000/'Useful Constants'!$B$1*L47/100*'Useful Constants'!$B$4*15</f>
        <v>3803.1023105230397</v>
      </c>
      <c r="BB47" s="7">
        <f>Data!AN47</f>
        <v>6740.7996899999998</v>
      </c>
      <c r="BC47" s="7">
        <f>Data!AQ47</f>
        <v>6740.7996899999998</v>
      </c>
      <c r="BD47" s="7">
        <f>Data!AT47</f>
        <v>11668.19268</v>
      </c>
      <c r="BE47" s="6">
        <f>Data!AO47</f>
        <v>57019257994.207901</v>
      </c>
      <c r="BF47" s="6">
        <f>Data!AP47</f>
        <v>23436498028.546001</v>
      </c>
      <c r="BG47" s="6">
        <f>Data!AR47</f>
        <v>26553058934.749001</v>
      </c>
      <c r="BH47" s="6">
        <f>Data!AS47</f>
        <v>26553058934.749001</v>
      </c>
      <c r="BI47" s="8">
        <f t="shared" si="50"/>
        <v>0.68227446706639461</v>
      </c>
      <c r="BJ47" s="8">
        <f t="shared" si="51"/>
        <v>0.46882788030616734</v>
      </c>
      <c r="BK47" s="13">
        <f>BB47*'Useful Constants'!$B$5/'Useful Constants'!$B$6*'Useful Constants'!$B$7</f>
        <v>1.7249706406709999</v>
      </c>
      <c r="BL47" s="52">
        <f>1-VLOOKUP($G47,'Useful Constants'!$A$17:$X$23,10,FALSE)</f>
        <v>6.6471999999999865E-2</v>
      </c>
      <c r="BM47" s="52">
        <f>1-VLOOKUP($G47,'Useful Constants'!$A$17:$X$23,12,FALSE)</f>
        <v>4.945672000000001E-2</v>
      </c>
      <c r="BN47" s="52">
        <f>1-VLOOKUP($G47,'Useful Constants'!$A$17:$X$23,14,FALSE)</f>
        <v>3.4455679999999989E-2</v>
      </c>
      <c r="BO47" s="52">
        <f>1-VLOOKUP($G47,'Useful Constants'!$A$17:$X$23,16,FALSE)</f>
        <v>2.1468880000000024E-2</v>
      </c>
      <c r="BP47" s="52">
        <f>1-VLOOKUP($G47,'Useful Constants'!$A$17:$X$23,18,FALSE)</f>
        <v>0</v>
      </c>
      <c r="BQ47" s="52">
        <f>1-VLOOKUP($G47,'Useful Constants'!$A$17:$X$23,20, FALSE)</f>
        <v>0</v>
      </c>
      <c r="BR47" s="52">
        <f>1-VLOOKUP($G47,'Useful Constants'!$A$17:$X$23,22, FALSE)</f>
        <v>0</v>
      </c>
      <c r="BS47" s="52">
        <f>1-VLOOKUP($G47,'Useful Constants'!$A$17:$X$23,24, FALSE)</f>
        <v>0</v>
      </c>
      <c r="BT47" s="13">
        <f t="shared" si="52"/>
        <v>0.11466224842668248</v>
      </c>
      <c r="BU47" s="13">
        <f t="shared" si="53"/>
        <v>8.5311389983886265E-2</v>
      </c>
      <c r="BV47" s="13">
        <f t="shared" si="54"/>
        <v>5.9435036404354942E-2</v>
      </c>
      <c r="BW47" s="13">
        <f t="shared" si="55"/>
        <v>3.7033187688088859E-2</v>
      </c>
      <c r="BX47" s="13">
        <f t="shared" si="56"/>
        <v>0</v>
      </c>
      <c r="BY47" s="13">
        <f t="shared" si="57"/>
        <v>0</v>
      </c>
      <c r="BZ47" s="13">
        <f t="shared" si="58"/>
        <v>0</v>
      </c>
      <c r="CA47" s="13">
        <f t="shared" si="59"/>
        <v>0</v>
      </c>
      <c r="CB47" s="59">
        <f>+SUM(Data!BM47:BS47)*2+Data!BT47</f>
        <v>4645.6960956801531</v>
      </c>
      <c r="CC47" s="59">
        <f>+SUM(Data!BN47:BT47)*2+Data!BU47</f>
        <v>4563.4786483384869</v>
      </c>
      <c r="CD47" s="59">
        <f>+SUM(Data!BO47:BU47)*2+Data!BV47</f>
        <v>4218.3664873138978</v>
      </c>
      <c r="CE47" s="59">
        <f>+SUM(Data!BP47:BV47)*2+Data!BW47</f>
        <v>3686.4505203595759</v>
      </c>
      <c r="CF47" s="59">
        <f>+SUM(Data!BQ47:BW47)*2+Data!BX47</f>
        <v>3991.2206762986561</v>
      </c>
      <c r="CG47" s="59">
        <f>+SUM(Data!BR47:BX47)*2+Data!BY47</f>
        <v>4437.9989072239996</v>
      </c>
      <c r="CH47" s="59">
        <f>+SUM(Data!BS47:BY47)*2+Data!BZ47</f>
        <v>4221.6585562082828</v>
      </c>
      <c r="CI47" s="59">
        <f>+SUM(Data!BT47:BZ47)*2+Data!CA47</f>
        <v>3652.8603591310516</v>
      </c>
      <c r="CJ47" s="13">
        <f>+SUM(Data!AW47:BC47)*2+Data!BD47</f>
        <v>23499.463031137817</v>
      </c>
      <c r="CK47" s="13">
        <f>+SUM(Data!AX47:BD47)*2+Data!BE47</f>
        <v>23031.3127542824</v>
      </c>
      <c r="CL47" s="13">
        <f>+SUM(Data!AY47:BE47)*2+Data!BF47</f>
        <v>21137.303421636901</v>
      </c>
      <c r="CM47" s="13">
        <f>+SUM(Data!AZ47:BF47)*2+Data!BG47</f>
        <v>18386.284057137691</v>
      </c>
      <c r="CN47" s="13">
        <f>+SUM(Data!BA47:BG47)*2+Data!BH47</f>
        <v>19852.094873436261</v>
      </c>
      <c r="CO47" s="13">
        <f>+SUM(Data!BB47:BH47)*2+Data!BI47</f>
        <v>22003.866070463446</v>
      </c>
      <c r="CP47" s="13">
        <f>+SUM(Data!BC47:BI47)*2+Data!BJ47</f>
        <v>20915.535116969342</v>
      </c>
      <c r="CQ47" s="13">
        <f>+SUM(Data!BD47:BJ47)*2+Data!BK47</f>
        <v>18127.114285649011</v>
      </c>
      <c r="CR47" s="59">
        <f>+SUM(Data!CC47:CI47)*2+Data!CJ47</f>
        <v>30367.396552383725</v>
      </c>
      <c r="CS47" s="59">
        <f>+SUM(Data!CD47:CJ47)*2+Data!CK47</f>
        <v>30277.967024705868</v>
      </c>
      <c r="CT47" s="59">
        <f>+SUM(Data!CE47:CK47)*2+Data!CL47</f>
        <v>29205.465269963868</v>
      </c>
      <c r="CU47" s="59">
        <f>+SUM(Data!CF47:CL47)*2+Data!CM47</f>
        <v>26103.224819631036</v>
      </c>
      <c r="CV47" s="59">
        <f>+SUM(Data!CG47:CM47)*2+Data!CN47</f>
        <v>28607.555850053111</v>
      </c>
      <c r="CW47" s="59">
        <f>+SUM(Data!CH47:CN47)*2+Data!CO47</f>
        <v>32157.927879450821</v>
      </c>
      <c r="CX47" s="59">
        <f>+SUM(Data!CI47:CO47)*2+Data!CP47</f>
        <v>30605.387282507661</v>
      </c>
      <c r="CY47" s="59">
        <f>+SUM(Data!CJ47:CP47)*2+Data!CQ47</f>
        <v>26411.541068202649</v>
      </c>
      <c r="CZ47" s="60">
        <f t="shared" si="60"/>
        <v>58512.555679201694</v>
      </c>
      <c r="DA47" s="60">
        <f t="shared" si="61"/>
        <v>57872.758427326757</v>
      </c>
      <c r="DB47" s="60">
        <f t="shared" si="62"/>
        <v>54561.135178914672</v>
      </c>
      <c r="DC47" s="60">
        <f t="shared" si="63"/>
        <v>48175.959397128303</v>
      </c>
      <c r="DD47" s="60">
        <f t="shared" si="64"/>
        <v>52450.871399788026</v>
      </c>
      <c r="DE47" s="60">
        <f t="shared" si="65"/>
        <v>58599.792857138265</v>
      </c>
      <c r="DF47" s="60">
        <f t="shared" si="66"/>
        <v>55742.580955685291</v>
      </c>
      <c r="DG47" s="60">
        <f t="shared" si="67"/>
        <v>48191.515712982713</v>
      </c>
      <c r="DH47" s="13">
        <f t="shared" si="68"/>
        <v>0.11789258018676968</v>
      </c>
      <c r="DI47" s="13">
        <f t="shared" si="69"/>
        <v>8.7714832235747817E-2</v>
      </c>
      <c r="DJ47" s="13">
        <f t="shared" si="70"/>
        <v>6.1109474926129552E-2</v>
      </c>
      <c r="DK47" s="13">
        <f t="shared" si="71"/>
        <v>3.8076508257915267E-2</v>
      </c>
      <c r="DL47" s="13">
        <f t="shared" si="72"/>
        <v>0</v>
      </c>
      <c r="DM47" s="13">
        <f t="shared" si="73"/>
        <v>0</v>
      </c>
      <c r="DN47" s="13">
        <f t="shared" si="74"/>
        <v>0</v>
      </c>
      <c r="DO47" s="13">
        <f t="shared" si="75"/>
        <v>0</v>
      </c>
      <c r="DP47" s="50">
        <f>DH47*'Useful Constants'!$B$8</f>
        <v>502.22239159563884</v>
      </c>
      <c r="DQ47" s="50">
        <f>DI47*'Useful Constants'!$B$8</f>
        <v>373.66518532428569</v>
      </c>
      <c r="DR47" s="50">
        <f>DJ47*'Useful Constants'!$B$10</f>
        <v>148.4960240704948</v>
      </c>
      <c r="DS47" s="50">
        <f>DK47*'Useful Constants'!$B$10</f>
        <v>92.5259150667341</v>
      </c>
      <c r="DT47" s="50">
        <f>DL47*'Useful Constants'!$B$10</f>
        <v>0</v>
      </c>
      <c r="DU47" s="50">
        <f>DM47*'Useful Constants'!$B$10</f>
        <v>0</v>
      </c>
      <c r="DV47" s="50">
        <f>DN47*'Useful Constants'!$B$10</f>
        <v>0</v>
      </c>
      <c r="DW47" s="50">
        <f>DO47*'Useful Constants'!$B$10</f>
        <v>0</v>
      </c>
      <c r="DX47" s="14">
        <f>DH47*'Useful Constants'!$B$9</f>
        <v>226.82532427934487</v>
      </c>
      <c r="DY47" s="14">
        <f>DI47*'Useful Constants'!$B$9</f>
        <v>168.76333722157881</v>
      </c>
      <c r="DZ47" s="14">
        <f>DJ47*'Useful Constants'!$B$11</f>
        <v>41.371114524989707</v>
      </c>
      <c r="EA47" s="14">
        <f>DK47*'Useful Constants'!$B$11</f>
        <v>25.777796090608636</v>
      </c>
      <c r="EB47" s="14">
        <f>DL47*'Useful Constants'!$B$11</f>
        <v>0</v>
      </c>
      <c r="EC47" s="14">
        <f>DM47*'Useful Constants'!$B$11</f>
        <v>0</v>
      </c>
      <c r="ED47" s="14">
        <f>DN47*'Useful Constants'!$B$11</f>
        <v>0</v>
      </c>
      <c r="EE47" s="14">
        <f>DO47*'Useful Constants'!$B$11</f>
        <v>0</v>
      </c>
      <c r="EF47" s="78">
        <f>(SUM(Data!DI47:DO47)*2+Data!DP47)/('Useful Constants'!$B$1*1000000)*$K47/100</f>
        <v>27.239141137826994</v>
      </c>
      <c r="EG47" s="78">
        <f>(SUM(Data!DJ47:DP47)*2+Data!DQ47)/('Useful Constants'!$B$1*1000000)*$K47/100</f>
        <v>19.407558413362544</v>
      </c>
      <c r="EH47" s="78">
        <f>(SUM(Data!DK47:DQ47)*2+Data!DR47)/('Useful Constants'!$B$1*1000000)*$K47/100</f>
        <v>12.580571395113182</v>
      </c>
      <c r="EI47" s="78">
        <f>(SUM(Data!DL47:DR47)*2+Data!DS47)/('Useful Constants'!$B$1*1000000)*$K47/100</f>
        <v>8.7933543517366868</v>
      </c>
      <c r="EJ47" s="78">
        <f>(SUM(Data!DM47:DS47)*2+Data!DT47)/('Useful Constants'!$B$1*1000000)*$K47/100</f>
        <v>6.5872519941025391</v>
      </c>
      <c r="EK47" s="78">
        <f>(SUM(Data!DN47:DT47)*2+Data!DU47)/('Useful Constants'!$B$1*1000000)*$K47/100</f>
        <v>4.8606535823866466</v>
      </c>
      <c r="EL47" s="78">
        <f>(SUM(Data!DO47:DU47)*2+Data!DV47)/('Useful Constants'!$B$1*1000000)*$K47/100</f>
        <v>4.1066062656259019</v>
      </c>
      <c r="EM47" s="78">
        <f>(SUM(Data!DP47:DV47)*2+Data!DW47)/('Useful Constants'!$B$1*1000000)*$K47/100</f>
        <v>3.2211398768273742</v>
      </c>
      <c r="EN47" s="79">
        <f>EF47*'Useful Constants'!$B$3</f>
        <v>2288.0878555774675</v>
      </c>
      <c r="EO47" s="79">
        <f>EG47*'Useful Constants'!$B$3</f>
        <v>1630.2349067224536</v>
      </c>
      <c r="EP47" s="79">
        <f>EH47*'Useful Constants'!$B$3</f>
        <v>1056.7679971895072</v>
      </c>
      <c r="EQ47" s="79">
        <f>EI47*'Useful Constants'!$B$3</f>
        <v>738.64176554588164</v>
      </c>
      <c r="ER47" s="79">
        <f>EJ47*'Useful Constants'!$B$3</f>
        <v>553.32916750461334</v>
      </c>
      <c r="ES47" s="79">
        <f>EK47*'Useful Constants'!$B$3</f>
        <v>408.29490092047831</v>
      </c>
      <c r="ET47" s="79">
        <f>EL47*'Useful Constants'!$B$3</f>
        <v>344.95492631257576</v>
      </c>
      <c r="EU47" s="79">
        <f>EM47*'Useful Constants'!$B$3</f>
        <v>270.57574965349943</v>
      </c>
      <c r="EV47" s="78">
        <f>EF47*'Useful Constants'!$B$4</f>
        <v>762.6959518591558</v>
      </c>
      <c r="EW47" s="78">
        <f>EG47*'Useful Constants'!$B$4</f>
        <v>543.41163557415121</v>
      </c>
      <c r="EX47" s="78">
        <f>EH47*'Useful Constants'!$B$4</f>
        <v>352.2559990631691</v>
      </c>
      <c r="EY47" s="78">
        <f>EI47*'Useful Constants'!$B$4</f>
        <v>246.21392184862722</v>
      </c>
      <c r="EZ47" s="78">
        <f>EJ47*'Useful Constants'!$B$4</f>
        <v>184.4430558348711</v>
      </c>
      <c r="FA47" s="78">
        <f>EK47*'Useful Constants'!$B$4</f>
        <v>136.0983003068261</v>
      </c>
      <c r="FB47" s="78">
        <f>EL47*'Useful Constants'!$B$4</f>
        <v>114.98497543752525</v>
      </c>
      <c r="FC47" s="78">
        <f>EM47*'Useful Constants'!$B$4</f>
        <v>90.191916551166486</v>
      </c>
      <c r="FD47" s="40">
        <f t="shared" si="76"/>
        <v>0.15704192056392022</v>
      </c>
      <c r="FE47" s="40">
        <f t="shared" si="77"/>
        <v>0.16603880660904247</v>
      </c>
      <c r="FF47" s="40">
        <f t="shared" si="78"/>
        <v>0.21286485776420763</v>
      </c>
      <c r="FG47" s="40">
        <f t="shared" si="79"/>
        <v>0.30373405993758357</v>
      </c>
      <c r="FH47" s="40">
        <f t="shared" si="80"/>
        <v>0.24274766847154794</v>
      </c>
      <c r="FI47" s="40">
        <f t="shared" si="81"/>
        <v>0.15527319792992308</v>
      </c>
      <c r="FJ47" s="40">
        <f t="shared" si="82"/>
        <v>0.19586840805465894</v>
      </c>
      <c r="FK47" s="40">
        <f t="shared" si="83"/>
        <v>0.30345100963468996</v>
      </c>
      <c r="FL47" s="4">
        <f t="shared" si="84"/>
        <v>0.48767798622740888</v>
      </c>
      <c r="FM47" s="4">
        <f t="shared" si="85"/>
        <v>0.49946763702436975</v>
      </c>
      <c r="FN47" s="4">
        <f t="shared" si="86"/>
        <v>0.5334770422210805</v>
      </c>
      <c r="FO47" s="4">
        <f t="shared" si="87"/>
        <v>0.58957672072873124</v>
      </c>
      <c r="FP47" s="4">
        <f t="shared" si="88"/>
        <v>0.55636040291429756</v>
      </c>
      <c r="FQ47" s="4">
        <f t="shared" si="89"/>
        <v>0.50653789302112462</v>
      </c>
      <c r="FR47" s="4">
        <f t="shared" si="90"/>
        <v>0.53075612596853972</v>
      </c>
      <c r="FS47" s="4">
        <f t="shared" si="91"/>
        <v>0.59409246628729506</v>
      </c>
      <c r="FT47" s="38">
        <f t="shared" si="92"/>
        <v>0.30940992223368718</v>
      </c>
      <c r="FU47" s="38">
        <f t="shared" si="93"/>
        <v>0.31987647624346</v>
      </c>
      <c r="FV47" s="38">
        <f t="shared" si="94"/>
        <v>0.36140802777873327</v>
      </c>
      <c r="FW47" s="38">
        <f t="shared" si="95"/>
        <v>0.43619302254210057</v>
      </c>
      <c r="FX47" s="38">
        <f t="shared" si="96"/>
        <v>0.38797392005349968</v>
      </c>
      <c r="FY47" s="38">
        <f t="shared" si="97"/>
        <v>0.31787682289001046</v>
      </c>
      <c r="FZ47" s="38">
        <f t="shared" si="98"/>
        <v>0.3509158805487877</v>
      </c>
      <c r="GA47" s="38">
        <f t="shared" si="99"/>
        <v>0.43807115415022291</v>
      </c>
    </row>
    <row r="48" spans="1:183" x14ac:dyDescent="0.25">
      <c r="A48" s="1" t="str">
        <f>Data!A48</f>
        <v>MN_MINNEAPOLIS-ST-PAUL-IAP_726580_TY3A</v>
      </c>
      <c r="B48" s="1" t="str">
        <f>TY3A_REP_CITIES!B48</f>
        <v>Minneapolis</v>
      </c>
      <c r="C48" s="1" t="str">
        <f>TY3A_REP_CITIES!C48</f>
        <v>Hennepin</v>
      </c>
      <c r="D48" s="2" t="str">
        <f>TY3A_REP_CITIES!A48</f>
        <v>MN</v>
      </c>
      <c r="E48" s="42">
        <f>TY3A_REP_CITIES!E48</f>
        <v>1265843</v>
      </c>
      <c r="F48" s="2">
        <f>TY3A_REP_CITIES!G48</f>
        <v>6</v>
      </c>
      <c r="G48" s="2" t="str">
        <f>TY3A_REP_CITIES!H48</f>
        <v>Cold</v>
      </c>
      <c r="H48" s="2" t="str">
        <f>TY3A_REP_CITIES!I48</f>
        <v>Midwest</v>
      </c>
      <c r="I48" s="2">
        <f>Data!B48</f>
        <v>44.88</v>
      </c>
      <c r="J48" s="2">
        <f>Data!C48</f>
        <v>-93.23</v>
      </c>
      <c r="K48" s="2">
        <f>VLOOKUP(D48,Table1[],2,FALSE)</f>
        <v>1.7</v>
      </c>
      <c r="L48" s="2">
        <v>0.5</v>
      </c>
      <c r="M48" s="10">
        <f>Data!N48</f>
        <v>6222.5878599999996</v>
      </c>
      <c r="N48" s="10">
        <f>Data!Q48</f>
        <v>29308</v>
      </c>
      <c r="O48" s="10">
        <f>Data!O48</f>
        <v>67024398470.334801</v>
      </c>
      <c r="P48" s="10">
        <f>Data!P48</f>
        <v>69817081739.931931</v>
      </c>
      <c r="Q48" s="10">
        <f>Data!S48*15</f>
        <v>52677.964104218743</v>
      </c>
      <c r="R48" s="48">
        <f>SUM(Data!U48:AA48)*2+Data!AB48</f>
        <v>753.12578958781489</v>
      </c>
      <c r="S48" s="48">
        <f>SUM(Data!V48:AB48)*2+Data!AC48</f>
        <v>741.28940809569031</v>
      </c>
      <c r="T48" s="48">
        <f>SUM(Data!W48:AC48)*2+Data!AD48</f>
        <v>695.18104409818068</v>
      </c>
      <c r="U48" s="48">
        <f>SUM(Data!X48:AD48)*2+Data!AE48</f>
        <v>611.55206461052899</v>
      </c>
      <c r="V48" s="48">
        <f>SUM(Data!Y48:AE48)*2+Data!AF48</f>
        <v>663.2325212290375</v>
      </c>
      <c r="W48" s="48">
        <f>SUM(Data!Z48:AF48)*2+Data!AG48</f>
        <v>739.69309744054135</v>
      </c>
      <c r="X48" s="48">
        <f>SUM(Data!AA48:AG48)*2+Data!AH48</f>
        <v>706.07205589987245</v>
      </c>
      <c r="Y48" s="48">
        <f>SUM(Data!AB48:AH48)*2+Data!AI48</f>
        <v>606.68008497512233</v>
      </c>
      <c r="Z48" s="80">
        <f>(SUM(Data!CS48:CY48)*2+Data!CZ48)/('Useful Constants'!$B$1*1000000)*$K48/100</f>
        <v>0.34901778481324952</v>
      </c>
      <c r="AA48" s="80">
        <f>(SUM(Data!CT48:CZ48)*2+Data!DA48)/('Useful Constants'!$B$1*1000000)*$K48/100</f>
        <v>0.24785757927550381</v>
      </c>
      <c r="AB48" s="80">
        <f>(SUM(Data!CU48:DA48)*2+Data!DB48)/('Useful Constants'!$B$1*1000000)*$K48/100</f>
        <v>0.15884286048035801</v>
      </c>
      <c r="AC48" s="80">
        <f>(SUM(Data!CV48:DB48)*2+Data!DC48)/('Useful Constants'!$B$1*1000000)*$K48/100</f>
        <v>0.1117747236086724</v>
      </c>
      <c r="AD48" s="80">
        <f>(SUM(Data!CW48:DC48)*2+Data!DD48)/('Useful Constants'!$B$1*1000000)*$K48/100</f>
        <v>8.4209668368610852E-2</v>
      </c>
      <c r="AE48" s="80">
        <f>(SUM(Data!CX48:DD48)*2+Data!DE48)/('Useful Constants'!$B$1*1000000)*$K48/100</f>
        <v>6.314197099988339E-2</v>
      </c>
      <c r="AF48" s="80">
        <f>(SUM(Data!CY48:DE48)*2+Data!DF48)/('Useful Constants'!$B$1*1000000)*$K48/100</f>
        <v>5.3783084417211621E-2</v>
      </c>
      <c r="AG48" s="80">
        <f>(SUM(Data!CZ48:DF48)*2+Data!DG48)/('Useful Constants'!$B$1*1000000)*$K48/100</f>
        <v>4.2703971074798106E-2</v>
      </c>
      <c r="AH48" s="48">
        <f>Z48*'Useful Constants'!$B$3</f>
        <v>29.317493924312959</v>
      </c>
      <c r="AI48" s="48">
        <f>AA48*'Useful Constants'!$B$3</f>
        <v>20.820036659142321</v>
      </c>
      <c r="AJ48" s="48">
        <f>AB48*'Useful Constants'!$B$3</f>
        <v>13.342800280350072</v>
      </c>
      <c r="AK48" s="48">
        <f>AC48*'Useful Constants'!$B$3</f>
        <v>9.3890767831284805</v>
      </c>
      <c r="AL48" s="48">
        <f>AD48*'Useful Constants'!$B$3</f>
        <v>7.0736121429633112</v>
      </c>
      <c r="AM48" s="48">
        <f>AE48*'Useful Constants'!$B$3</f>
        <v>5.3039255639902052</v>
      </c>
      <c r="AN48" s="48">
        <f>AF48*'Useful Constants'!$B$3</f>
        <v>4.5177790910457762</v>
      </c>
      <c r="AO48" s="48">
        <f>AG48*'Useful Constants'!$B$3</f>
        <v>3.5871335702830409</v>
      </c>
      <c r="AP48" s="10">
        <f>Z48*'Useful Constants'!$B$4</f>
        <v>9.772497974770987</v>
      </c>
      <c r="AQ48" s="10">
        <f>AA48*'Useful Constants'!$B$4</f>
        <v>6.9400122197141068</v>
      </c>
      <c r="AR48" s="10">
        <f>AB48*'Useful Constants'!$B$4</f>
        <v>4.4476000934500242</v>
      </c>
      <c r="AS48" s="10">
        <f>AC48*'Useful Constants'!$B$4</f>
        <v>3.1296922610428273</v>
      </c>
      <c r="AT48" s="10">
        <f>AD48*'Useful Constants'!$B$4</f>
        <v>2.3578707143211037</v>
      </c>
      <c r="AU48" s="10">
        <f>AE48*'Useful Constants'!$B$4</f>
        <v>1.7679751879967349</v>
      </c>
      <c r="AV48" s="10">
        <f>AF48*'Useful Constants'!$B$4</f>
        <v>1.5059263636819253</v>
      </c>
      <c r="AW48" s="10">
        <f>AG48*'Useful Constants'!$B$4</f>
        <v>1.1957111900943469</v>
      </c>
      <c r="AX48" s="48">
        <f>P48/1000000/'Useful Constants'!$B$1*K48/100*'Useful Constants'!$B$3*15</f>
        <v>29909.637817386843</v>
      </c>
      <c r="AY48" s="48">
        <f>P48/1000000/'Useful Constants'!$B$1*L48/100*'Useful Constants'!$B$3*15</f>
        <v>8796.9522992314251</v>
      </c>
      <c r="AZ48" s="48">
        <f>P48/1000000/'Useful Constants'!$B$1*K48/100*'Useful Constants'!$B$4*15</f>
        <v>9969.8792724622799</v>
      </c>
      <c r="BA48" s="48">
        <f>P48/1000000/'Useful Constants'!$B$1*L48/100*'Useful Constants'!$B$4*15</f>
        <v>2932.3174330771412</v>
      </c>
      <c r="BB48" s="7">
        <f>Data!AN48</f>
        <v>6222.5878599999996</v>
      </c>
      <c r="BC48" s="7">
        <f>Data!AQ48</f>
        <v>6222.5878599999996</v>
      </c>
      <c r="BD48" s="7">
        <f>Data!AT48</f>
        <v>10530.951880000001</v>
      </c>
      <c r="BE48" s="6">
        <f>Data!AO48</f>
        <v>48789538004.552597</v>
      </c>
      <c r="BF48" s="6">
        <f>Data!AP48</f>
        <v>18963783702.6968</v>
      </c>
      <c r="BG48" s="6">
        <f>Data!AR48</f>
        <v>15720100378.7966</v>
      </c>
      <c r="BH48" s="6">
        <f>Data!AS48</f>
        <v>15720100378.7966</v>
      </c>
      <c r="BI48" s="8">
        <f t="shared" si="50"/>
        <v>0.75631392807723186</v>
      </c>
      <c r="BJ48" s="8">
        <f t="shared" si="51"/>
        <v>0.5467606701181279</v>
      </c>
      <c r="BK48" s="13">
        <f>BB48*'Useful Constants'!$B$5/'Useful Constants'!$B$6*'Useful Constants'!$B$7</f>
        <v>1.5923602333739999</v>
      </c>
      <c r="BL48" s="52">
        <f>1-VLOOKUP($G48,'Useful Constants'!$A$17:$X$23,10,FALSE)</f>
        <v>6.6471999999999865E-2</v>
      </c>
      <c r="BM48" s="52">
        <f>1-VLOOKUP($G48,'Useful Constants'!$A$17:$X$23,12,FALSE)</f>
        <v>4.945672000000001E-2</v>
      </c>
      <c r="BN48" s="52">
        <f>1-VLOOKUP($G48,'Useful Constants'!$A$17:$X$23,14,FALSE)</f>
        <v>3.4455679999999989E-2</v>
      </c>
      <c r="BO48" s="52">
        <f>1-VLOOKUP($G48,'Useful Constants'!$A$17:$X$23,16,FALSE)</f>
        <v>2.1468880000000024E-2</v>
      </c>
      <c r="BP48" s="52">
        <f>1-VLOOKUP($G48,'Useful Constants'!$A$17:$X$23,18,FALSE)</f>
        <v>0</v>
      </c>
      <c r="BQ48" s="52">
        <f>1-VLOOKUP($G48,'Useful Constants'!$A$17:$X$23,20, FALSE)</f>
        <v>0</v>
      </c>
      <c r="BR48" s="52">
        <f>1-VLOOKUP($G48,'Useful Constants'!$A$17:$X$23,22, FALSE)</f>
        <v>0</v>
      </c>
      <c r="BS48" s="52">
        <f>1-VLOOKUP($G48,'Useful Constants'!$A$17:$X$23,24, FALSE)</f>
        <v>0</v>
      </c>
      <c r="BT48" s="13">
        <f t="shared" si="52"/>
        <v>0.10584736943283631</v>
      </c>
      <c r="BU48" s="13">
        <f t="shared" si="53"/>
        <v>7.8752914201112578E-2</v>
      </c>
      <c r="BV48" s="13">
        <f t="shared" si="54"/>
        <v>5.4865854645859843E-2</v>
      </c>
      <c r="BW48" s="13">
        <f t="shared" si="55"/>
        <v>3.4186190767078434E-2</v>
      </c>
      <c r="BX48" s="13">
        <f t="shared" si="56"/>
        <v>0</v>
      </c>
      <c r="BY48" s="13">
        <f t="shared" si="57"/>
        <v>0</v>
      </c>
      <c r="BZ48" s="13">
        <f t="shared" si="58"/>
        <v>0</v>
      </c>
      <c r="CA48" s="13">
        <f t="shared" si="59"/>
        <v>0</v>
      </c>
      <c r="CB48" s="59">
        <f>+SUM(Data!BM48:BS48)*2+Data!BT48</f>
        <v>3498.4487742098381</v>
      </c>
      <c r="CC48" s="59">
        <f>+SUM(Data!BN48:BT48)*2+Data!BU48</f>
        <v>3439.9730783345035</v>
      </c>
      <c r="CD48" s="59">
        <f>+SUM(Data!BO48:BU48)*2+Data!BV48</f>
        <v>3213.3525938248195</v>
      </c>
      <c r="CE48" s="59">
        <f>+SUM(Data!BP48:BV48)*2+Data!BW48</f>
        <v>2819.3714683297062</v>
      </c>
      <c r="CF48" s="59">
        <f>+SUM(Data!BQ48:BW48)*2+Data!BX48</f>
        <v>3056.358230193563</v>
      </c>
      <c r="CG48" s="59">
        <f>+SUM(Data!BR48:BX48)*2+Data!BY48</f>
        <v>3405.1526230339659</v>
      </c>
      <c r="CH48" s="59">
        <f>+SUM(Data!BS48:BY48)*2+Data!BZ48</f>
        <v>3246.7852933407612</v>
      </c>
      <c r="CI48" s="59">
        <f>+SUM(Data!BT48:BZ48)*2+Data!CA48</f>
        <v>2795.0256442674317</v>
      </c>
      <c r="CJ48" s="13">
        <f>+SUM(Data!AW48:BC48)*2+Data!BD48</f>
        <v>19624.724774184717</v>
      </c>
      <c r="CK48" s="13">
        <f>+SUM(Data!AX48:BD48)*2+Data!BE48</f>
        <v>19296.481224954718</v>
      </c>
      <c r="CL48" s="13">
        <f>+SUM(Data!AY48:BE48)*2+Data!BF48</f>
        <v>17963.282777919725</v>
      </c>
      <c r="CM48" s="13">
        <f>+SUM(Data!AZ48:BF48)*2+Data!BG48</f>
        <v>15719.160973914944</v>
      </c>
      <c r="CN48" s="13">
        <f>+SUM(Data!BA48:BG48)*2+Data!BH48</f>
        <v>17024.3469062439</v>
      </c>
      <c r="CO48" s="13">
        <f>+SUM(Data!BB48:BH48)*2+Data!BI48</f>
        <v>18938.479035394448</v>
      </c>
      <c r="CP48" s="13">
        <f>+SUM(Data!BC48:BI48)*2+Data!BJ48</f>
        <v>18028.365683259319</v>
      </c>
      <c r="CQ48" s="13">
        <f>+SUM(Data!BD48:BJ48)*2+Data!BK48</f>
        <v>15542.625630546107</v>
      </c>
      <c r="CR48" s="59">
        <f>+SUM(Data!CC48:CI48)*2+Data!CJ48</f>
        <v>17882.575010326091</v>
      </c>
      <c r="CS48" s="59">
        <f>+SUM(Data!CD48:CJ48)*2+Data!CK48</f>
        <v>17858.49812884389</v>
      </c>
      <c r="CT48" s="59">
        <f>+SUM(Data!CE48:CK48)*2+Data!CL48</f>
        <v>17576.42382035121</v>
      </c>
      <c r="CU48" s="59">
        <f>+SUM(Data!CF48:CL48)*2+Data!CM48</f>
        <v>15909.232152468996</v>
      </c>
      <c r="CV48" s="59">
        <f>+SUM(Data!CG48:CM48)*2+Data!CN48</f>
        <v>17431.239485817816</v>
      </c>
      <c r="CW48" s="59">
        <f>+SUM(Data!CH48:CN48)*2+Data!CO48</f>
        <v>19705.814756464752</v>
      </c>
      <c r="CX48" s="59">
        <f>+SUM(Data!CI48:CO48)*2+Data!CP48</f>
        <v>18965.629567254866</v>
      </c>
      <c r="CY48" s="59">
        <f>+SUM(Data!CJ48:CP48)*2+Data!CQ48</f>
        <v>16020.718300477711</v>
      </c>
      <c r="CZ48" s="60">
        <f t="shared" si="60"/>
        <v>41005.748558720647</v>
      </c>
      <c r="DA48" s="60">
        <f t="shared" si="61"/>
        <v>40594.952432133112</v>
      </c>
      <c r="DB48" s="60">
        <f t="shared" si="62"/>
        <v>38753.059192095752</v>
      </c>
      <c r="DC48" s="60">
        <f t="shared" si="63"/>
        <v>34447.764594713648</v>
      </c>
      <c r="DD48" s="60">
        <f t="shared" si="64"/>
        <v>37511.94462225528</v>
      </c>
      <c r="DE48" s="60">
        <f t="shared" si="65"/>
        <v>42049.446414893166</v>
      </c>
      <c r="DF48" s="60">
        <f t="shared" si="66"/>
        <v>40240.780543854948</v>
      </c>
      <c r="DG48" s="60">
        <f t="shared" si="67"/>
        <v>34358.369575291246</v>
      </c>
      <c r="DH48" s="13">
        <f t="shared" si="68"/>
        <v>0.10882936327904287</v>
      </c>
      <c r="DI48" s="13">
        <f t="shared" si="69"/>
        <v>8.0971587246809432E-2</v>
      </c>
      <c r="DJ48" s="13">
        <f t="shared" si="70"/>
        <v>5.6411567513335807E-2</v>
      </c>
      <c r="DK48" s="13">
        <f t="shared" si="71"/>
        <v>3.5149304078622351E-2</v>
      </c>
      <c r="DL48" s="13">
        <f t="shared" si="72"/>
        <v>0</v>
      </c>
      <c r="DM48" s="13">
        <f t="shared" si="73"/>
        <v>0</v>
      </c>
      <c r="DN48" s="13">
        <f t="shared" si="74"/>
        <v>0</v>
      </c>
      <c r="DO48" s="13">
        <f t="shared" si="75"/>
        <v>0</v>
      </c>
      <c r="DP48" s="50">
        <f>DH48*'Useful Constants'!$B$8</f>
        <v>463.61308756872262</v>
      </c>
      <c r="DQ48" s="50">
        <f>DI48*'Useful Constants'!$B$8</f>
        <v>344.93896167140815</v>
      </c>
      <c r="DR48" s="50">
        <f>DJ48*'Useful Constants'!$B$10</f>
        <v>137.08010905740602</v>
      </c>
      <c r="DS48" s="50">
        <f>DK48*'Useful Constants'!$B$10</f>
        <v>85.412808911052309</v>
      </c>
      <c r="DT48" s="50">
        <f>DL48*'Useful Constants'!$B$10</f>
        <v>0</v>
      </c>
      <c r="DU48" s="50">
        <f>DM48*'Useful Constants'!$B$10</f>
        <v>0</v>
      </c>
      <c r="DV48" s="50">
        <f>DN48*'Useful Constants'!$B$10</f>
        <v>0</v>
      </c>
      <c r="DW48" s="50">
        <f>DO48*'Useful Constants'!$B$10</f>
        <v>0</v>
      </c>
      <c r="DX48" s="14">
        <f>DH48*'Useful Constants'!$B$9</f>
        <v>209.38769494887848</v>
      </c>
      <c r="DY48" s="14">
        <f>DI48*'Useful Constants'!$B$9</f>
        <v>155.78933386286135</v>
      </c>
      <c r="DZ48" s="14">
        <f>DJ48*'Useful Constants'!$B$11</f>
        <v>38.190631206528344</v>
      </c>
      <c r="EA48" s="14">
        <f>DK48*'Useful Constants'!$B$11</f>
        <v>23.796078861227333</v>
      </c>
      <c r="EB48" s="14">
        <f>DL48*'Useful Constants'!$B$11</f>
        <v>0</v>
      </c>
      <c r="EC48" s="14">
        <f>DM48*'Useful Constants'!$B$11</f>
        <v>0</v>
      </c>
      <c r="ED48" s="14">
        <f>DN48*'Useful Constants'!$B$11</f>
        <v>0</v>
      </c>
      <c r="EE48" s="14">
        <f>DO48*'Useful Constants'!$B$11</f>
        <v>0</v>
      </c>
      <c r="EF48" s="78">
        <f>(SUM(Data!DI48:DO48)*2+Data!DP48)/('Useful Constants'!$B$1*1000000)*$K48/100</f>
        <v>18.88699222331077</v>
      </c>
      <c r="EG48" s="78">
        <f>(SUM(Data!DJ48:DP48)*2+Data!DQ48)/('Useful Constants'!$B$1*1000000)*$K48/100</f>
        <v>13.560880568683048</v>
      </c>
      <c r="EH48" s="78">
        <f>(SUM(Data!DK48:DQ48)*2+Data!DR48)/('Useful Constants'!$B$1*1000000)*$K48/100</f>
        <v>8.6695745369417949</v>
      </c>
      <c r="EI48" s="78">
        <f>(SUM(Data!DL48:DR48)*2+Data!DS48)/('Useful Constants'!$B$1*1000000)*$K48/100</f>
        <v>6.0971189831863883</v>
      </c>
      <c r="EJ48" s="78">
        <f>(SUM(Data!DM48:DS48)*2+Data!DT48)/('Useful Constants'!$B$1*1000000)*$K48/100</f>
        <v>4.5072284948717103</v>
      </c>
      <c r="EK48" s="78">
        <f>(SUM(Data!DN48:DT48)*2+Data!DU48)/('Useful Constants'!$B$1*1000000)*$K48/100</f>
        <v>3.4053699521997935</v>
      </c>
      <c r="EL48" s="78">
        <f>(SUM(Data!DO48:DU48)*2+Data!DV48)/('Useful Constants'!$B$1*1000000)*$K48/100</f>
        <v>2.9489224257190019</v>
      </c>
      <c r="EM48" s="78">
        <f>(SUM(Data!DP48:DV48)*2+Data!DW48)/('Useful Constants'!$B$1*1000000)*$K48/100</f>
        <v>2.3947804144204294</v>
      </c>
      <c r="EN48" s="79">
        <f>EF48*'Useful Constants'!$B$3</f>
        <v>1586.5073467581046</v>
      </c>
      <c r="EO48" s="79">
        <f>EG48*'Useful Constants'!$B$3</f>
        <v>1139.1139677693761</v>
      </c>
      <c r="EP48" s="79">
        <f>EH48*'Useful Constants'!$B$3</f>
        <v>728.24426110311083</v>
      </c>
      <c r="EQ48" s="79">
        <f>EI48*'Useful Constants'!$B$3</f>
        <v>512.15799458765662</v>
      </c>
      <c r="ER48" s="79">
        <f>EJ48*'Useful Constants'!$B$3</f>
        <v>378.60719356922368</v>
      </c>
      <c r="ES48" s="79">
        <f>EK48*'Useful Constants'!$B$3</f>
        <v>286.05107598478264</v>
      </c>
      <c r="ET48" s="79">
        <f>EL48*'Useful Constants'!$B$3</f>
        <v>247.70948376039615</v>
      </c>
      <c r="EU48" s="79">
        <f>EM48*'Useful Constants'!$B$3</f>
        <v>201.16155481131608</v>
      </c>
      <c r="EV48" s="78">
        <f>EF48*'Useful Constants'!$B$4</f>
        <v>528.83578225270162</v>
      </c>
      <c r="EW48" s="78">
        <f>EG48*'Useful Constants'!$B$4</f>
        <v>379.70465592312536</v>
      </c>
      <c r="EX48" s="78">
        <f>EH48*'Useful Constants'!$B$4</f>
        <v>242.74808703437026</v>
      </c>
      <c r="EY48" s="78">
        <f>EI48*'Useful Constants'!$B$4</f>
        <v>170.71933152921886</v>
      </c>
      <c r="EZ48" s="78">
        <f>EJ48*'Useful Constants'!$B$4</f>
        <v>126.20239785640788</v>
      </c>
      <c r="FA48" s="78">
        <f>EK48*'Useful Constants'!$B$4</f>
        <v>95.350358661594214</v>
      </c>
      <c r="FB48" s="78">
        <f>EL48*'Useful Constants'!$B$4</f>
        <v>82.569827920132056</v>
      </c>
      <c r="FC48" s="78">
        <f>EM48*'Useful Constants'!$B$4</f>
        <v>67.053851603772017</v>
      </c>
      <c r="FD48" s="40">
        <f t="shared" si="76"/>
        <v>0.23254890289120211</v>
      </c>
      <c r="FE48" s="40">
        <f t="shared" si="77"/>
        <v>0.24006889346038895</v>
      </c>
      <c r="FF48" s="40">
        <f t="shared" si="78"/>
        <v>0.27392213660247833</v>
      </c>
      <c r="FG48" s="40">
        <f t="shared" si="79"/>
        <v>0.35357332790228563</v>
      </c>
      <c r="FH48" s="40">
        <f t="shared" si="80"/>
        <v>0.29675472251480672</v>
      </c>
      <c r="FI48" s="40">
        <f t="shared" si="81"/>
        <v>0.21281747239212492</v>
      </c>
      <c r="FJ48" s="40">
        <f t="shared" si="82"/>
        <v>0.24620198399465615</v>
      </c>
      <c r="FK48" s="40">
        <f t="shared" si="83"/>
        <v>0.35519191132631928</v>
      </c>
      <c r="FL48" s="4">
        <f t="shared" si="84"/>
        <v>0.53284939122579356</v>
      </c>
      <c r="FM48" s="4">
        <f t="shared" si="85"/>
        <v>0.54334748880022155</v>
      </c>
      <c r="FN48" s="4">
        <f t="shared" si="86"/>
        <v>0.56980063654512036</v>
      </c>
      <c r="FO48" s="4">
        <f t="shared" si="87"/>
        <v>0.61909519360515419</v>
      </c>
      <c r="FP48" s="4">
        <f t="shared" si="88"/>
        <v>0.58839162136546508</v>
      </c>
      <c r="FQ48" s="4">
        <f t="shared" si="89"/>
        <v>0.54047863123931272</v>
      </c>
      <c r="FR48" s="4">
        <f t="shared" si="90"/>
        <v>0.560362379116631</v>
      </c>
      <c r="FS48" s="4">
        <f t="shared" si="91"/>
        <v>0.6243317766220714</v>
      </c>
      <c r="FT48" s="38">
        <f t="shared" si="92"/>
        <v>0.3707861439629026</v>
      </c>
      <c r="FU48" s="38">
        <f t="shared" si="93"/>
        <v>0.3798968092056848</v>
      </c>
      <c r="FV48" s="38">
        <f t="shared" si="94"/>
        <v>0.41107239126857986</v>
      </c>
      <c r="FW48" s="38">
        <f t="shared" si="95"/>
        <v>0.47666194733775202</v>
      </c>
      <c r="FX48" s="38">
        <f t="shared" si="96"/>
        <v>0.43184058845505319</v>
      </c>
      <c r="FY48" s="38">
        <f t="shared" si="97"/>
        <v>0.36453911141839362</v>
      </c>
      <c r="FZ48" s="38">
        <f t="shared" si="98"/>
        <v>0.39169217254053729</v>
      </c>
      <c r="GA48" s="38">
        <f t="shared" si="99"/>
        <v>0.47988450493160317</v>
      </c>
    </row>
    <row r="49" spans="1:183" x14ac:dyDescent="0.25">
      <c r="A49" s="1" t="str">
        <f>Data!A49</f>
        <v>MO_KANSAS-CITY-DOWNTOWN-AP_724463_TY3A</v>
      </c>
      <c r="B49" s="1" t="str">
        <f>TY3A_REP_CITIES!B49</f>
        <v>Kansas-City</v>
      </c>
      <c r="C49" s="1" t="str">
        <f>TY3A_REP_CITIES!C49</f>
        <v>Jackson</v>
      </c>
      <c r="D49" s="2" t="str">
        <f>TY3A_REP_CITIES!A49</f>
        <v>MO</v>
      </c>
      <c r="E49" s="42">
        <f>TY3A_REP_CITIES!E49</f>
        <v>703011</v>
      </c>
      <c r="F49" s="2">
        <f>TY3A_REP_CITIES!G49</f>
        <v>4</v>
      </c>
      <c r="G49" s="2" t="str">
        <f>TY3A_REP_CITIES!H49</f>
        <v>Mixed-Humid</v>
      </c>
      <c r="H49" s="2" t="str">
        <f>TY3A_REP_CITIES!I49</f>
        <v>Rocky Mountains</v>
      </c>
      <c r="I49" s="2">
        <f>Data!B49</f>
        <v>39.119999999999997</v>
      </c>
      <c r="J49" s="2">
        <f>Data!C49</f>
        <v>-94.6</v>
      </c>
      <c r="K49" s="2">
        <f>VLOOKUP(D49,Table1[],2,FALSE)</f>
        <v>2.2999999999999998</v>
      </c>
      <c r="L49" s="2">
        <v>0.5</v>
      </c>
      <c r="M49" s="10">
        <f>Data!N49</f>
        <v>6188.8466600000002</v>
      </c>
      <c r="N49" s="10">
        <f>Data!Q49</f>
        <v>29308</v>
      </c>
      <c r="O49" s="10">
        <f>Data!O49</f>
        <v>28149183194.693001</v>
      </c>
      <c r="P49" s="10">
        <f>Data!P49</f>
        <v>29322065827.805252</v>
      </c>
      <c r="Q49" s="10">
        <f>Data!S49*15</f>
        <v>22123.908542788748</v>
      </c>
      <c r="R49" s="48">
        <f>SUM(Data!U49:AA49)*2+Data!AB49</f>
        <v>412.96217282545979</v>
      </c>
      <c r="S49" s="48">
        <f>SUM(Data!V49:AB49)*2+Data!AC49</f>
        <v>399.76748171983536</v>
      </c>
      <c r="T49" s="48">
        <f>SUM(Data!W49:AC49)*2+Data!AD49</f>
        <v>336.92091005089429</v>
      </c>
      <c r="U49" s="48">
        <f>SUM(Data!X49:AD49)*2+Data!AE49</f>
        <v>289.38367984365715</v>
      </c>
      <c r="V49" s="48">
        <f>SUM(Data!Y49:AE49)*2+Data!AF49</f>
        <v>294.12169477278661</v>
      </c>
      <c r="W49" s="48">
        <f>SUM(Data!Z49:AF49)*2+Data!AG49</f>
        <v>303.02616223609721</v>
      </c>
      <c r="X49" s="48">
        <f>SUM(Data!AA49:AG49)*2+Data!AH49</f>
        <v>297.4214322673206</v>
      </c>
      <c r="Y49" s="48">
        <f>SUM(Data!AB49:AH49)*2+Data!AI49</f>
        <v>293.76464630217981</v>
      </c>
      <c r="Z49" s="80">
        <f>(SUM(Data!CS49:CY49)*2+Data!CZ49)/('Useful Constants'!$B$1*1000000)*$K49/100</f>
        <v>9.7251726390921778E-2</v>
      </c>
      <c r="AA49" s="80">
        <f>(SUM(Data!CT49:CZ49)*2+Data!DA49)/('Useful Constants'!$B$1*1000000)*$K49/100</f>
        <v>6.1212357825585047E-2</v>
      </c>
      <c r="AB49" s="80">
        <f>(SUM(Data!CU49:DA49)*2+Data!DB49)/('Useful Constants'!$B$1*1000000)*$K49/100</f>
        <v>3.1218385194956882E-2</v>
      </c>
      <c r="AC49" s="80">
        <f>(SUM(Data!CV49:DB49)*2+Data!DC49)/('Useful Constants'!$B$1*1000000)*$K49/100</f>
        <v>1.7909176800364981E-2</v>
      </c>
      <c r="AD49" s="80">
        <f>(SUM(Data!CW49:DC49)*2+Data!DD49)/('Useful Constants'!$B$1*1000000)*$K49/100</f>
        <v>1.0334129070504411E-2</v>
      </c>
      <c r="AE49" s="80">
        <f>(SUM(Data!CX49:DD49)*2+Data!DE49)/('Useful Constants'!$B$1*1000000)*$K49/100</f>
        <v>5.0851350348430089E-3</v>
      </c>
      <c r="AF49" s="80">
        <f>(SUM(Data!CY49:DE49)*2+Data!DF49)/('Useful Constants'!$B$1*1000000)*$K49/100</f>
        <v>3.086252235849362E-3</v>
      </c>
      <c r="AG49" s="80">
        <f>(SUM(Data!CZ49:DF49)*2+Data!DG49)/('Useful Constants'!$B$1*1000000)*$K49/100</f>
        <v>1.1138121421264528E-3</v>
      </c>
      <c r="AH49" s="48">
        <f>Z49*'Useful Constants'!$B$3</f>
        <v>8.1691450168374296</v>
      </c>
      <c r="AI49" s="48">
        <f>AA49*'Useful Constants'!$B$3</f>
        <v>5.141838057349144</v>
      </c>
      <c r="AJ49" s="48">
        <f>AB49*'Useful Constants'!$B$3</f>
        <v>2.6223443563763782</v>
      </c>
      <c r="AK49" s="48">
        <f>AC49*'Useful Constants'!$B$3</f>
        <v>1.5043708512306584</v>
      </c>
      <c r="AL49" s="48">
        <f>AD49*'Useful Constants'!$B$3</f>
        <v>0.86806684192237049</v>
      </c>
      <c r="AM49" s="48">
        <f>AE49*'Useful Constants'!$B$3</f>
        <v>0.42715134292681273</v>
      </c>
      <c r="AN49" s="48">
        <f>AF49*'Useful Constants'!$B$3</f>
        <v>0.25924518781134642</v>
      </c>
      <c r="AO49" s="48">
        <f>AG49*'Useful Constants'!$B$3</f>
        <v>9.3560219938622041E-2</v>
      </c>
      <c r="AP49" s="10">
        <f>Z49*'Useful Constants'!$B$4</f>
        <v>2.7230483389458096</v>
      </c>
      <c r="AQ49" s="10">
        <f>AA49*'Useful Constants'!$B$4</f>
        <v>1.7139460191163813</v>
      </c>
      <c r="AR49" s="10">
        <f>AB49*'Useful Constants'!$B$4</f>
        <v>0.87411478545879273</v>
      </c>
      <c r="AS49" s="10">
        <f>AC49*'Useful Constants'!$B$4</f>
        <v>0.50145695041021954</v>
      </c>
      <c r="AT49" s="10">
        <f>AD49*'Useful Constants'!$B$4</f>
        <v>0.28935561397412352</v>
      </c>
      <c r="AU49" s="10">
        <f>AE49*'Useful Constants'!$B$4</f>
        <v>0.14238378097560425</v>
      </c>
      <c r="AV49" s="10">
        <f>AF49*'Useful Constants'!$B$4</f>
        <v>8.6415062603782136E-2</v>
      </c>
      <c r="AW49" s="10">
        <f>AG49*'Useful Constants'!$B$4</f>
        <v>3.1186739979540679E-2</v>
      </c>
      <c r="AX49" s="48">
        <f>P49/1000000/'Useful Constants'!$B$1*K49/100*'Useful Constants'!$B$3*15</f>
        <v>16995.06935379592</v>
      </c>
      <c r="AY49" s="48">
        <f>P49/1000000/'Useful Constants'!$B$1*L49/100*'Useful Constants'!$B$3*15</f>
        <v>3694.5802943034614</v>
      </c>
      <c r="AZ49" s="48">
        <f>P49/1000000/'Useful Constants'!$B$1*K49/100*'Useful Constants'!$B$4*15</f>
        <v>5665.0231179319735</v>
      </c>
      <c r="BA49" s="48">
        <f>P49/1000000/'Useful Constants'!$B$1*L49/100*'Useful Constants'!$B$4*15</f>
        <v>1231.5267647678206</v>
      </c>
      <c r="BB49" s="7">
        <f>Data!AN49</f>
        <v>6188.8466600000002</v>
      </c>
      <c r="BC49" s="7">
        <f>Data!AQ49</f>
        <v>6188.8466600000002</v>
      </c>
      <c r="BD49" s="7">
        <f>Data!AT49</f>
        <v>7801.5940899999996</v>
      </c>
      <c r="BE49" s="6">
        <f>Data!AO49</f>
        <v>26213869188.497898</v>
      </c>
      <c r="BF49" s="6">
        <f>Data!AP49</f>
        <v>8418599058.4204702</v>
      </c>
      <c r="BG49" s="6">
        <f>Data!AR49</f>
        <v>896845193.93171406</v>
      </c>
      <c r="BH49" s="6">
        <f>Data!AS49</f>
        <v>896845193.93171406</v>
      </c>
      <c r="BI49" s="8">
        <f t="shared" si="50"/>
        <v>0.96691916039981018</v>
      </c>
      <c r="BJ49" s="8">
        <f t="shared" si="51"/>
        <v>0.90372491427821522</v>
      </c>
      <c r="BK49" s="13">
        <f>BB49*'Useful Constants'!$B$5/'Useful Constants'!$B$6*'Useful Constants'!$B$7</f>
        <v>1.5837258602940001</v>
      </c>
      <c r="BL49" s="52">
        <f>1-VLOOKUP($G49,'Useful Constants'!$A$17:$X$23,10,FALSE)</f>
        <v>0</v>
      </c>
      <c r="BM49" s="52">
        <f>1-VLOOKUP($G49,'Useful Constants'!$A$17:$X$23,12,FALSE)</f>
        <v>0</v>
      </c>
      <c r="BN49" s="52">
        <f>1-VLOOKUP($G49,'Useful Constants'!$A$17:$X$23,14,FALSE)</f>
        <v>0</v>
      </c>
      <c r="BO49" s="52">
        <f>1-VLOOKUP($G49,'Useful Constants'!$A$17:$X$23,16,FALSE)</f>
        <v>0</v>
      </c>
      <c r="BP49" s="52">
        <f>1-VLOOKUP($G49,'Useful Constants'!$A$17:$X$23,18,FALSE)</f>
        <v>0</v>
      </c>
      <c r="BQ49" s="52">
        <f>1-VLOOKUP($G49,'Useful Constants'!$A$17:$X$23,20, FALSE)</f>
        <v>0</v>
      </c>
      <c r="BR49" s="52">
        <f>1-VLOOKUP($G49,'Useful Constants'!$A$17:$X$23,22, FALSE)</f>
        <v>0</v>
      </c>
      <c r="BS49" s="52">
        <f>1-VLOOKUP($G49,'Useful Constants'!$A$17:$X$23,24, FALSE)</f>
        <v>0</v>
      </c>
      <c r="BT49" s="13">
        <f t="shared" si="52"/>
        <v>0</v>
      </c>
      <c r="BU49" s="13">
        <f t="shared" si="53"/>
        <v>0</v>
      </c>
      <c r="BV49" s="13">
        <f t="shared" si="54"/>
        <v>0</v>
      </c>
      <c r="BW49" s="13">
        <f t="shared" si="55"/>
        <v>0</v>
      </c>
      <c r="BX49" s="13">
        <f t="shared" si="56"/>
        <v>0</v>
      </c>
      <c r="BY49" s="13">
        <f t="shared" si="57"/>
        <v>0</v>
      </c>
      <c r="BZ49" s="13">
        <f t="shared" si="58"/>
        <v>0</v>
      </c>
      <c r="CA49" s="13">
        <f t="shared" si="59"/>
        <v>0</v>
      </c>
      <c r="CB49" s="59">
        <f>+SUM(Data!BM49:BS49)*2+Data!BT49</f>
        <v>2051.8761833674448</v>
      </c>
      <c r="CC49" s="59">
        <f>+SUM(Data!BN49:BT49)*2+Data!BU49</f>
        <v>1986.0509688875418</v>
      </c>
      <c r="CD49" s="59">
        <f>+SUM(Data!BO49:BU49)*2+Data!BV49</f>
        <v>1672.5805923629803</v>
      </c>
      <c r="CE49" s="59">
        <f>+SUM(Data!BP49:BV49)*2+Data!BW49</f>
        <v>1437.418703584158</v>
      </c>
      <c r="CF49" s="59">
        <f>+SUM(Data!BQ49:BW49)*2+Data!BX49</f>
        <v>1460.9156530534099</v>
      </c>
      <c r="CG49" s="59">
        <f>+SUM(Data!BR49:BX49)*2+Data!BY49</f>
        <v>1504.9274161813069</v>
      </c>
      <c r="CH49" s="59">
        <f>+SUM(Data!BS49:BY49)*2+Data!BZ49</f>
        <v>1476.8253838376411</v>
      </c>
      <c r="CI49" s="59">
        <f>+SUM(Data!BT49:BZ49)*2+Data!CA49</f>
        <v>1459.4246409115669</v>
      </c>
      <c r="CJ49" s="13">
        <f>+SUM(Data!AW49:BC49)*2+Data!BD49</f>
        <v>12149.59040022664</v>
      </c>
      <c r="CK49" s="13">
        <f>+SUM(Data!AX49:BD49)*2+Data!BE49</f>
        <v>11774.356543108453</v>
      </c>
      <c r="CL49" s="13">
        <f>+SUM(Data!AY49:BE49)*2+Data!BF49</f>
        <v>9939.6146666991226</v>
      </c>
      <c r="CM49" s="13">
        <f>+SUM(Data!AZ49:BF49)*2+Data!BG49</f>
        <v>8518.0558836506079</v>
      </c>
      <c r="CN49" s="13">
        <f>+SUM(Data!BA49:BG49)*2+Data!BH49</f>
        <v>8665.2115040705175</v>
      </c>
      <c r="CO49" s="13">
        <f>+SUM(Data!BB49:BH49)*2+Data!BI49</f>
        <v>8932.1311346155053</v>
      </c>
      <c r="CP49" s="13">
        <f>+SUM(Data!BC49:BI49)*2+Data!BJ49</f>
        <v>8760.5071861767137</v>
      </c>
      <c r="CQ49" s="13">
        <f>+SUM(Data!BD49:BJ49)*2+Data!BK49</f>
        <v>8668.2556529029225</v>
      </c>
      <c r="CR49" s="59">
        <f>+SUM(Data!CC49:CI49)*2+Data!CJ49</f>
        <v>1324.4349418398692</v>
      </c>
      <c r="CS49" s="59">
        <f>+SUM(Data!CD49:CJ49)*2+Data!CK49</f>
        <v>1286.4809484575003</v>
      </c>
      <c r="CT49" s="59">
        <f>+SUM(Data!CE49:CK49)*2+Data!CL49</f>
        <v>1081.5509861780172</v>
      </c>
      <c r="CU49" s="59">
        <f>+SUM(Data!CF49:CL49)*2+Data!CM49</f>
        <v>908.54638499726229</v>
      </c>
      <c r="CV49" s="59">
        <f>+SUM(Data!CG49:CM49)*2+Data!CN49</f>
        <v>940.00659122664206</v>
      </c>
      <c r="CW49" s="59">
        <f>+SUM(Data!CH49:CN49)*2+Data!CO49</f>
        <v>976.20306412244372</v>
      </c>
      <c r="CX49" s="59">
        <f>+SUM(Data!CI49:CO49)*2+Data!CP49</f>
        <v>943.85370470454916</v>
      </c>
      <c r="CY49" s="59">
        <f>+SUM(Data!CJ49:CP49)*2+Data!CQ49</f>
        <v>943.54400984022504</v>
      </c>
      <c r="CZ49" s="60">
        <f t="shared" si="60"/>
        <v>15525.901525433954</v>
      </c>
      <c r="DA49" s="60">
        <f t="shared" si="61"/>
        <v>15046.888460453496</v>
      </c>
      <c r="DB49" s="60">
        <f t="shared" si="62"/>
        <v>12693.74624524012</v>
      </c>
      <c r="DC49" s="60">
        <f t="shared" si="63"/>
        <v>10864.020972232029</v>
      </c>
      <c r="DD49" s="60">
        <f t="shared" si="64"/>
        <v>11066.133748350569</v>
      </c>
      <c r="DE49" s="60">
        <f t="shared" si="65"/>
        <v>11413.261614919254</v>
      </c>
      <c r="DF49" s="60">
        <f t="shared" si="66"/>
        <v>11181.186274718902</v>
      </c>
      <c r="DG49" s="60">
        <f t="shared" si="67"/>
        <v>11071.224303654715</v>
      </c>
      <c r="DH49" s="13">
        <f t="shared" si="68"/>
        <v>0</v>
      </c>
      <c r="DI49" s="13">
        <f t="shared" si="69"/>
        <v>0</v>
      </c>
      <c r="DJ49" s="13">
        <f t="shared" si="70"/>
        <v>0</v>
      </c>
      <c r="DK49" s="13">
        <f t="shared" si="71"/>
        <v>0</v>
      </c>
      <c r="DL49" s="13">
        <f t="shared" si="72"/>
        <v>0</v>
      </c>
      <c r="DM49" s="13">
        <f t="shared" si="73"/>
        <v>0</v>
      </c>
      <c r="DN49" s="13">
        <f t="shared" si="74"/>
        <v>0</v>
      </c>
      <c r="DO49" s="13">
        <f t="shared" si="75"/>
        <v>0</v>
      </c>
      <c r="DP49" s="50">
        <f>DH49*'Useful Constants'!$B$8</f>
        <v>0</v>
      </c>
      <c r="DQ49" s="50">
        <f>DI49*'Useful Constants'!$B$8</f>
        <v>0</v>
      </c>
      <c r="DR49" s="50">
        <f>DJ49*'Useful Constants'!$B$10</f>
        <v>0</v>
      </c>
      <c r="DS49" s="50">
        <f>DK49*'Useful Constants'!$B$10</f>
        <v>0</v>
      </c>
      <c r="DT49" s="50">
        <f>DL49*'Useful Constants'!$B$10</f>
        <v>0</v>
      </c>
      <c r="DU49" s="50">
        <f>DM49*'Useful Constants'!$B$10</f>
        <v>0</v>
      </c>
      <c r="DV49" s="50">
        <f>DN49*'Useful Constants'!$B$10</f>
        <v>0</v>
      </c>
      <c r="DW49" s="50">
        <f>DO49*'Useful Constants'!$B$10</f>
        <v>0</v>
      </c>
      <c r="DX49" s="14">
        <f>DH49*'Useful Constants'!$B$9</f>
        <v>0</v>
      </c>
      <c r="DY49" s="14">
        <f>DI49*'Useful Constants'!$B$9</f>
        <v>0</v>
      </c>
      <c r="DZ49" s="14">
        <f>DJ49*'Useful Constants'!$B$11</f>
        <v>0</v>
      </c>
      <c r="EA49" s="14">
        <f>DK49*'Useful Constants'!$B$11</f>
        <v>0</v>
      </c>
      <c r="EB49" s="14">
        <f>DL49*'Useful Constants'!$B$11</f>
        <v>0</v>
      </c>
      <c r="EC49" s="14">
        <f>DM49*'Useful Constants'!$B$11</f>
        <v>0</v>
      </c>
      <c r="ED49" s="14">
        <f>DN49*'Useful Constants'!$B$11</f>
        <v>0</v>
      </c>
      <c r="EE49" s="14">
        <f>DO49*'Useful Constants'!$B$11</f>
        <v>0</v>
      </c>
      <c r="EF49" s="78">
        <f>(SUM(Data!DI49:DO49)*2+Data!DP49)/('Useful Constants'!$B$1*1000000)*$K49/100</f>
        <v>3.5973006815770954</v>
      </c>
      <c r="EG49" s="78">
        <f>(SUM(Data!DJ49:DP49)*2+Data!DQ49)/('Useful Constants'!$B$1*1000000)*$K49/100</f>
        <v>2.2584398386222215</v>
      </c>
      <c r="EH49" s="78">
        <f>(SUM(Data!DK49:DQ49)*2+Data!DR49)/('Useful Constants'!$B$1*1000000)*$K49/100</f>
        <v>1.1520380110581099</v>
      </c>
      <c r="EI49" s="78">
        <f>(SUM(Data!DL49:DR49)*2+Data!DS49)/('Useful Constants'!$B$1*1000000)*$K49/100</f>
        <v>0.66088208617426203</v>
      </c>
      <c r="EJ49" s="78">
        <f>(SUM(Data!DM49:DS49)*2+Data!DT49)/('Useful Constants'!$B$1*1000000)*$K49/100</f>
        <v>0.37003811108601731</v>
      </c>
      <c r="EK49" s="78">
        <f>(SUM(Data!DN49:DT49)*2+Data!DU49)/('Useful Constants'!$B$1*1000000)*$K49/100</f>
        <v>0.18033222077001329</v>
      </c>
      <c r="EL49" s="78">
        <f>(SUM(Data!DO49:DU49)*2+Data!DV49)/('Useful Constants'!$B$1*1000000)*$K49/100</f>
        <v>0.10734062447344661</v>
      </c>
      <c r="EM49" s="78">
        <f>(SUM(Data!DP49:DV49)*2+Data!DW49)/('Useful Constants'!$B$1*1000000)*$K49/100</f>
        <v>3.9192317540622849E-2</v>
      </c>
      <c r="EN49" s="79">
        <f>EF49*'Useful Constants'!$B$3</f>
        <v>302.17325725247599</v>
      </c>
      <c r="EO49" s="79">
        <f>EG49*'Useful Constants'!$B$3</f>
        <v>189.70894644426662</v>
      </c>
      <c r="EP49" s="79">
        <f>EH49*'Useful Constants'!$B$3</f>
        <v>96.771192928881234</v>
      </c>
      <c r="EQ49" s="79">
        <f>EI49*'Useful Constants'!$B$3</f>
        <v>55.514095238638014</v>
      </c>
      <c r="ER49" s="79">
        <f>EJ49*'Useful Constants'!$B$3</f>
        <v>31.083201331225453</v>
      </c>
      <c r="ES49" s="79">
        <f>EK49*'Useful Constants'!$B$3</f>
        <v>15.147906544681117</v>
      </c>
      <c r="ET49" s="79">
        <f>EL49*'Useful Constants'!$B$3</f>
        <v>9.0166124557695149</v>
      </c>
      <c r="EU49" s="79">
        <f>EM49*'Useful Constants'!$B$3</f>
        <v>3.2921546734123193</v>
      </c>
      <c r="EV49" s="78">
        <f>EF49*'Useful Constants'!$B$4</f>
        <v>100.72441908415867</v>
      </c>
      <c r="EW49" s="78">
        <f>EG49*'Useful Constants'!$B$4</f>
        <v>63.236315481422203</v>
      </c>
      <c r="EX49" s="78">
        <f>EH49*'Useful Constants'!$B$4</f>
        <v>32.257064309627076</v>
      </c>
      <c r="EY49" s="78">
        <f>EI49*'Useful Constants'!$B$4</f>
        <v>18.504698412879335</v>
      </c>
      <c r="EZ49" s="78">
        <f>EJ49*'Useful Constants'!$B$4</f>
        <v>10.361067110408484</v>
      </c>
      <c r="FA49" s="78">
        <f>EK49*'Useful Constants'!$B$4</f>
        <v>5.049302181560372</v>
      </c>
      <c r="FB49" s="78">
        <f>EL49*'Useful Constants'!$B$4</f>
        <v>3.0055374852565051</v>
      </c>
      <c r="FC49" s="78">
        <f>EM49*'Useful Constants'!$B$4</f>
        <v>1.0973848911374398</v>
      </c>
      <c r="FD49" s="40">
        <f t="shared" si="76"/>
        <v>0.31108884985184959</v>
      </c>
      <c r="FE49" s="40">
        <f t="shared" si="77"/>
        <v>0.33195236674153034</v>
      </c>
      <c r="FF49" s="40">
        <f t="shared" si="78"/>
        <v>0.43484962245526981</v>
      </c>
      <c r="FG49" s="40">
        <f t="shared" si="79"/>
        <v>0.51528669397074112</v>
      </c>
      <c r="FH49" s="40">
        <f t="shared" si="80"/>
        <v>0.5063735024404955</v>
      </c>
      <c r="FI49" s="40">
        <f t="shared" si="81"/>
        <v>0.49109132545153089</v>
      </c>
      <c r="FJ49" s="40">
        <f t="shared" si="82"/>
        <v>0.50131476200751368</v>
      </c>
      <c r="FK49" s="40">
        <f t="shared" si="83"/>
        <v>0.50613856263002865</v>
      </c>
      <c r="FL49" s="4">
        <f t="shared" si="84"/>
        <v>0.63390335486299132</v>
      </c>
      <c r="FM49" s="4">
        <f t="shared" si="85"/>
        <v>0.64745169635786548</v>
      </c>
      <c r="FN49" s="4">
        <f t="shared" si="86"/>
        <v>0.70360143281049303</v>
      </c>
      <c r="FO49" s="4">
        <f t="shared" si="87"/>
        <v>0.7466726516733081</v>
      </c>
      <c r="FP49" s="4">
        <f t="shared" si="88"/>
        <v>0.74257502335943326</v>
      </c>
      <c r="FQ49" s="4">
        <f t="shared" si="89"/>
        <v>0.7349443033573908</v>
      </c>
      <c r="FR49" s="4">
        <f t="shared" si="90"/>
        <v>0.74043420739199217</v>
      </c>
      <c r="FS49" s="4">
        <f t="shared" si="91"/>
        <v>0.74309486896102983</v>
      </c>
      <c r="FT49" s="38">
        <f t="shared" si="92"/>
        <v>0.46913474359624729</v>
      </c>
      <c r="FU49" s="38">
        <f t="shared" si="93"/>
        <v>0.48643342854643945</v>
      </c>
      <c r="FV49" s="38">
        <f t="shared" si="94"/>
        <v>0.56652723462986132</v>
      </c>
      <c r="FW49" s="38">
        <f t="shared" si="95"/>
        <v>0.62871381403222948</v>
      </c>
      <c r="FX49" s="38">
        <f t="shared" si="96"/>
        <v>0.62215438739795903</v>
      </c>
      <c r="FY49" s="38">
        <f t="shared" si="97"/>
        <v>0.61061055209179171</v>
      </c>
      <c r="FZ49" s="38">
        <f t="shared" si="98"/>
        <v>0.61852088551676432</v>
      </c>
      <c r="GA49" s="38">
        <f t="shared" si="99"/>
        <v>0.6222888158472013</v>
      </c>
    </row>
    <row r="50" spans="1:183" x14ac:dyDescent="0.25">
      <c r="A50" s="1" t="str">
        <f>Data!A50</f>
        <v>MO_ST-JOSEPH-ROSECRANS-MEM_724490_TY3A</v>
      </c>
      <c r="B50" s="1" t="str">
        <f>TY3A_REP_CITIES!B50</f>
        <v>St.-Joseph</v>
      </c>
      <c r="C50" s="1" t="str">
        <f>TY3A_REP_CITIES!C50</f>
        <v>Buchanan</v>
      </c>
      <c r="D50" s="2" t="str">
        <f>TY3A_REP_CITIES!A50</f>
        <v>MO</v>
      </c>
      <c r="E50" s="42">
        <f>TY3A_REP_CITIES!E50</f>
        <v>87364</v>
      </c>
      <c r="F50" s="2">
        <f>TY3A_REP_CITIES!G50</f>
        <v>5</v>
      </c>
      <c r="G50" s="2" t="str">
        <f>TY3A_REP_CITIES!H50</f>
        <v>Cold</v>
      </c>
      <c r="H50" s="2" t="str">
        <f>TY3A_REP_CITIES!I50</f>
        <v>Rocky Mountains</v>
      </c>
      <c r="I50" s="2">
        <f>Data!B50</f>
        <v>39.770000000000003</v>
      </c>
      <c r="J50" s="2">
        <f>Data!C50</f>
        <v>-94.9</v>
      </c>
      <c r="K50" s="2">
        <f>VLOOKUP(D50,Table1[],2,FALSE)</f>
        <v>2.2999999999999998</v>
      </c>
      <c r="L50" s="2">
        <v>0.5</v>
      </c>
      <c r="M50" s="10">
        <f>Data!N50</f>
        <v>5119.0138800000004</v>
      </c>
      <c r="N50" s="10">
        <f>Data!Q50</f>
        <v>29308</v>
      </c>
      <c r="O50" s="10">
        <f>Data!O50</f>
        <v>36202116754.441101</v>
      </c>
      <c r="P50" s="10">
        <f>Data!P50</f>
        <v>37710538285.875923</v>
      </c>
      <c r="Q50" s="10">
        <f>Data!S50*15</f>
        <v>28453.128269868001</v>
      </c>
      <c r="R50" s="48">
        <f>SUM(Data!U50:AA50)*2+Data!AB50</f>
        <v>412.01118241549011</v>
      </c>
      <c r="S50" s="48">
        <f>SUM(Data!V50:AB50)*2+Data!AC50</f>
        <v>398.14758180057538</v>
      </c>
      <c r="T50" s="48">
        <f>SUM(Data!W50:AC50)*2+Data!AD50</f>
        <v>333.62326451874986</v>
      </c>
      <c r="U50" s="48">
        <f>SUM(Data!X50:AD50)*2+Data!AE50</f>
        <v>285.03758973040567</v>
      </c>
      <c r="V50" s="48">
        <f>SUM(Data!Y50:AE50)*2+Data!AF50</f>
        <v>288.97246045145738</v>
      </c>
      <c r="W50" s="48">
        <f>SUM(Data!Z50:AF50)*2+Data!AG50</f>
        <v>296.49627372677804</v>
      </c>
      <c r="X50" s="48">
        <f>SUM(Data!AA50:AG50)*2+Data!AH50</f>
        <v>289.42443494822828</v>
      </c>
      <c r="Y50" s="48">
        <f>SUM(Data!AB50:AH50)*2+Data!AI50</f>
        <v>282.59869557347628</v>
      </c>
      <c r="Z50" s="80">
        <f>(SUM(Data!CS50:CY50)*2+Data!CZ50)/('Useful Constants'!$B$1*1000000)*$K50/100</f>
        <v>8.9983398044634691E-2</v>
      </c>
      <c r="AA50" s="80">
        <f>(SUM(Data!CT50:CZ50)*2+Data!DA50)/('Useful Constants'!$B$1*1000000)*$K50/100</f>
        <v>5.6201939435171981E-2</v>
      </c>
      <c r="AB50" s="80">
        <f>(SUM(Data!CU50:DA50)*2+Data!DB50)/('Useful Constants'!$B$1*1000000)*$K50/100</f>
        <v>2.699969674852673E-2</v>
      </c>
      <c r="AC50" s="80">
        <f>(SUM(Data!CV50:DB50)*2+Data!DC50)/('Useful Constants'!$B$1*1000000)*$K50/100</f>
        <v>1.5244751420964922E-2</v>
      </c>
      <c r="AD50" s="80">
        <f>(SUM(Data!CW50:DC50)*2+Data!DD50)/('Useful Constants'!$B$1*1000000)*$K50/100</f>
        <v>8.9503792248808497E-3</v>
      </c>
      <c r="AE50" s="80">
        <f>(SUM(Data!CX50:DD50)*2+Data!DE50)/('Useful Constants'!$B$1*1000000)*$K50/100</f>
        <v>4.4057237500214627E-3</v>
      </c>
      <c r="AF50" s="80">
        <f>(SUM(Data!CY50:DE50)*2+Data!DF50)/('Useful Constants'!$B$1*1000000)*$K50/100</f>
        <v>2.6614967298608364E-3</v>
      </c>
      <c r="AG50" s="80">
        <f>(SUM(Data!CZ50:DF50)*2+Data!DG50)/('Useful Constants'!$B$1*1000000)*$K50/100</f>
        <v>9.0693207101096582E-4</v>
      </c>
      <c r="AH50" s="48">
        <f>Z50*'Useful Constants'!$B$3</f>
        <v>7.558605435749314</v>
      </c>
      <c r="AI50" s="48">
        <f>AA50*'Useful Constants'!$B$3</f>
        <v>4.7209629125544463</v>
      </c>
      <c r="AJ50" s="48">
        <f>AB50*'Useful Constants'!$B$3</f>
        <v>2.2679745268762455</v>
      </c>
      <c r="AK50" s="48">
        <f>AC50*'Useful Constants'!$B$3</f>
        <v>1.2805591193610535</v>
      </c>
      <c r="AL50" s="48">
        <f>AD50*'Useful Constants'!$B$3</f>
        <v>0.75183185488999138</v>
      </c>
      <c r="AM50" s="48">
        <f>AE50*'Useful Constants'!$B$3</f>
        <v>0.37008079500180285</v>
      </c>
      <c r="AN50" s="48">
        <f>AF50*'Useful Constants'!$B$3</f>
        <v>0.22356572530831026</v>
      </c>
      <c r="AO50" s="48">
        <f>AG50*'Useful Constants'!$B$3</f>
        <v>7.6182293964921127E-2</v>
      </c>
      <c r="AP50" s="10">
        <f>Z50*'Useful Constants'!$B$4</f>
        <v>2.5195351452497712</v>
      </c>
      <c r="AQ50" s="10">
        <f>AA50*'Useful Constants'!$B$4</f>
        <v>1.5736543041848154</v>
      </c>
      <c r="AR50" s="10">
        <f>AB50*'Useful Constants'!$B$4</f>
        <v>0.75599150895874845</v>
      </c>
      <c r="AS50" s="10">
        <f>AC50*'Useful Constants'!$B$4</f>
        <v>0.42685303978701783</v>
      </c>
      <c r="AT50" s="10">
        <f>AD50*'Useful Constants'!$B$4</f>
        <v>0.25061061829666381</v>
      </c>
      <c r="AU50" s="10">
        <f>AE50*'Useful Constants'!$B$4</f>
        <v>0.12336026500060096</v>
      </c>
      <c r="AV50" s="10">
        <f>AF50*'Useful Constants'!$B$4</f>
        <v>7.4521908436103415E-2</v>
      </c>
      <c r="AW50" s="10">
        <f>AG50*'Useful Constants'!$B$4</f>
        <v>2.5394097988307045E-2</v>
      </c>
      <c r="AX50" s="48">
        <f>P50/1000000/'Useful Constants'!$B$1*K50/100*'Useful Constants'!$B$3*15</f>
        <v>21857.027990493683</v>
      </c>
      <c r="AY50" s="48">
        <f>P50/1000000/'Useful Constants'!$B$1*L50/100*'Useful Constants'!$B$3*15</f>
        <v>4751.5278240203661</v>
      </c>
      <c r="AZ50" s="48">
        <f>P50/1000000/'Useful Constants'!$B$1*K50/100*'Useful Constants'!$B$4*15</f>
        <v>7285.6759968312281</v>
      </c>
      <c r="BA50" s="48">
        <f>P50/1000000/'Useful Constants'!$B$1*L50/100*'Useful Constants'!$B$4*15</f>
        <v>1583.8426080067889</v>
      </c>
      <c r="BB50" s="7">
        <f>Data!AN50</f>
        <v>5119.0138800000004</v>
      </c>
      <c r="BC50" s="7">
        <f>Data!AQ50</f>
        <v>5119.0138800000004</v>
      </c>
      <c r="BD50" s="7">
        <f>Data!AT50</f>
        <v>7920.9026999999996</v>
      </c>
      <c r="BE50" s="6">
        <f>Data!AO50</f>
        <v>31118983158.909302</v>
      </c>
      <c r="BF50" s="6">
        <f>Data!AP50</f>
        <v>10984708470.7237</v>
      </c>
      <c r="BG50" s="6">
        <f>Data!AR50</f>
        <v>3802270340.9513898</v>
      </c>
      <c r="BH50" s="6">
        <f>Data!AS50</f>
        <v>3802270340.9513898</v>
      </c>
      <c r="BI50" s="8">
        <f t="shared" si="50"/>
        <v>0.89111873258024488</v>
      </c>
      <c r="BJ50" s="8">
        <f t="shared" si="51"/>
        <v>0.74286361065525441</v>
      </c>
      <c r="BK50" s="13">
        <f>BB50*'Useful Constants'!$B$5/'Useful Constants'!$B$6*'Useful Constants'!$B$7</f>
        <v>1.3099556518920001</v>
      </c>
      <c r="BL50" s="52">
        <f>1-VLOOKUP($G50,'Useful Constants'!$A$17:$X$23,10,FALSE)</f>
        <v>6.6471999999999865E-2</v>
      </c>
      <c r="BM50" s="52">
        <f>1-VLOOKUP($G50,'Useful Constants'!$A$17:$X$23,12,FALSE)</f>
        <v>4.945672000000001E-2</v>
      </c>
      <c r="BN50" s="52">
        <f>1-VLOOKUP($G50,'Useful Constants'!$A$17:$X$23,14,FALSE)</f>
        <v>3.4455679999999989E-2</v>
      </c>
      <c r="BO50" s="52">
        <f>1-VLOOKUP($G50,'Useful Constants'!$A$17:$X$23,16,FALSE)</f>
        <v>2.1468880000000024E-2</v>
      </c>
      <c r="BP50" s="52">
        <f>1-VLOOKUP($G50,'Useful Constants'!$A$17:$X$23,18,FALSE)</f>
        <v>0</v>
      </c>
      <c r="BQ50" s="52">
        <f>1-VLOOKUP($G50,'Useful Constants'!$A$17:$X$23,20, FALSE)</f>
        <v>0</v>
      </c>
      <c r="BR50" s="52">
        <f>1-VLOOKUP($G50,'Useful Constants'!$A$17:$X$23,22, FALSE)</f>
        <v>0</v>
      </c>
      <c r="BS50" s="52">
        <f>1-VLOOKUP($G50,'Useful Constants'!$A$17:$X$23,24, FALSE)</f>
        <v>0</v>
      </c>
      <c r="BT50" s="13">
        <f t="shared" si="52"/>
        <v>8.7075372092564857E-2</v>
      </c>
      <c r="BU50" s="13">
        <f t="shared" si="53"/>
        <v>6.4786109888040136E-2</v>
      </c>
      <c r="BV50" s="13">
        <f t="shared" si="54"/>
        <v>4.5135412755782138E-2</v>
      </c>
      <c r="BW50" s="13">
        <f t="shared" si="55"/>
        <v>2.8123280695791154E-2</v>
      </c>
      <c r="BX50" s="13">
        <f t="shared" si="56"/>
        <v>0</v>
      </c>
      <c r="BY50" s="13">
        <f t="shared" si="57"/>
        <v>0</v>
      </c>
      <c r="BZ50" s="13">
        <f t="shared" si="58"/>
        <v>0</v>
      </c>
      <c r="CA50" s="13">
        <f t="shared" si="59"/>
        <v>0</v>
      </c>
      <c r="CB50" s="59">
        <f>+SUM(Data!BM50:BS50)*2+Data!BT50</f>
        <v>2384.20568784953</v>
      </c>
      <c r="CC50" s="59">
        <f>+SUM(Data!BN50:BT50)*2+Data!BU50</f>
        <v>2303.8977728020154</v>
      </c>
      <c r="CD50" s="59">
        <f>+SUM(Data!BO50:BU50)*2+Data!BV50</f>
        <v>1930.6029552274761</v>
      </c>
      <c r="CE50" s="59">
        <f>+SUM(Data!BP50:BV50)*2+Data!BW50</f>
        <v>1650.6094875891665</v>
      </c>
      <c r="CF50" s="59">
        <f>+SUM(Data!BQ50:BW50)*2+Data!BX50</f>
        <v>1673.3851019684307</v>
      </c>
      <c r="CG50" s="59">
        <f>+SUM(Data!BR50:BX50)*2+Data!BY50</f>
        <v>1716.2907592538309</v>
      </c>
      <c r="CH50" s="59">
        <f>+SUM(Data!BS50:BY50)*2+Data!BZ50</f>
        <v>1676.645434385194</v>
      </c>
      <c r="CI50" s="59">
        <f>+SUM(Data!BT50:BZ50)*2+Data!CA50</f>
        <v>1638.8009169595198</v>
      </c>
      <c r="CJ50" s="13">
        <f>+SUM(Data!AW50:BC50)*2+Data!BD50</f>
        <v>15654.399809854564</v>
      </c>
      <c r="CK50" s="13">
        <f>+SUM(Data!AX50:BD50)*2+Data!BE50</f>
        <v>15140.403258362694</v>
      </c>
      <c r="CL50" s="13">
        <f>+SUM(Data!AY50:BE50)*2+Data!BF50</f>
        <v>12705.225728707945</v>
      </c>
      <c r="CM50" s="13">
        <f>+SUM(Data!AZ50:BF50)*2+Data!BG50</f>
        <v>10832.661275742816</v>
      </c>
      <c r="CN50" s="13">
        <f>+SUM(Data!BA50:BG50)*2+Data!BH50</f>
        <v>10984.07030740158</v>
      </c>
      <c r="CO50" s="13">
        <f>+SUM(Data!BB50:BH50)*2+Data!BI50</f>
        <v>11282.48078500156</v>
      </c>
      <c r="CP50" s="13">
        <f>+SUM(Data!BC50:BI50)*2+Data!BJ50</f>
        <v>11009.834295678382</v>
      </c>
      <c r="CQ50" s="13">
        <f>+SUM(Data!BD50:BJ50)*2+Data!BK50</f>
        <v>10768.233991617104</v>
      </c>
      <c r="CR50" s="59">
        <f>+SUM(Data!CC50:CI50)*2+Data!CJ50</f>
        <v>5280.2168714866621</v>
      </c>
      <c r="CS50" s="59">
        <f>+SUM(Data!CD50:CJ50)*2+Data!CK50</f>
        <v>5095.4750521426386</v>
      </c>
      <c r="CT50" s="59">
        <f>+SUM(Data!CE50:CK50)*2+Data!CL50</f>
        <v>4239.1266743624992</v>
      </c>
      <c r="CU50" s="59">
        <f>+SUM(Data!CF50:CL50)*2+Data!CM50</f>
        <v>3598.0400790401009</v>
      </c>
      <c r="CV50" s="59">
        <f>+SUM(Data!CG50:CM50)*2+Data!CN50</f>
        <v>3645.361469255387</v>
      </c>
      <c r="CW50" s="59">
        <f>+SUM(Data!CH50:CN50)*2+Data!CO50</f>
        <v>3732.3347296884167</v>
      </c>
      <c r="CX50" s="59">
        <f>+SUM(Data!CI50:CO50)*2+Data!CP50</f>
        <v>3550.2702518395163</v>
      </c>
      <c r="CY50" s="59">
        <f>+SUM(Data!CJ50:CP50)*2+Data!CQ50</f>
        <v>3422.2457383321621</v>
      </c>
      <c r="CZ50" s="60">
        <f t="shared" si="60"/>
        <v>23318.822369190755</v>
      </c>
      <c r="DA50" s="60">
        <f t="shared" si="61"/>
        <v>22539.776083307348</v>
      </c>
      <c r="DB50" s="60">
        <f t="shared" si="62"/>
        <v>18874.955358297921</v>
      </c>
      <c r="DC50" s="60">
        <f t="shared" si="63"/>
        <v>16081.310842372084</v>
      </c>
      <c r="DD50" s="60">
        <f t="shared" si="64"/>
        <v>16302.816878625397</v>
      </c>
      <c r="DE50" s="60">
        <f t="shared" si="65"/>
        <v>16731.106273943806</v>
      </c>
      <c r="DF50" s="60">
        <f t="shared" si="66"/>
        <v>16236.749981903093</v>
      </c>
      <c r="DG50" s="60">
        <f t="shared" si="67"/>
        <v>15829.280646908786</v>
      </c>
      <c r="DH50" s="13">
        <f t="shared" si="68"/>
        <v>8.9528510277552403E-2</v>
      </c>
      <c r="DI50" s="13">
        <f t="shared" si="69"/>
        <v>6.6611301973974635E-2</v>
      </c>
      <c r="DJ50" s="13">
        <f t="shared" si="70"/>
        <v>4.6406993937297844E-2</v>
      </c>
      <c r="DK50" s="13">
        <f t="shared" si="71"/>
        <v>2.8915586167522343E-2</v>
      </c>
      <c r="DL50" s="13">
        <f t="shared" si="72"/>
        <v>0</v>
      </c>
      <c r="DM50" s="13">
        <f t="shared" si="73"/>
        <v>0</v>
      </c>
      <c r="DN50" s="13">
        <f t="shared" si="74"/>
        <v>0</v>
      </c>
      <c r="DO50" s="13">
        <f t="shared" si="75"/>
        <v>0</v>
      </c>
      <c r="DP50" s="50">
        <f>DH50*'Useful Constants'!$B$8</f>
        <v>381.39145378237322</v>
      </c>
      <c r="DQ50" s="50">
        <f>DI50*'Useful Constants'!$B$8</f>
        <v>283.76414640913197</v>
      </c>
      <c r="DR50" s="50">
        <f>DJ50*'Useful Constants'!$B$10</f>
        <v>112.76899526763376</v>
      </c>
      <c r="DS50" s="50">
        <f>DK50*'Useful Constants'!$B$10</f>
        <v>70.264874387079288</v>
      </c>
      <c r="DT50" s="50">
        <f>DL50*'Useful Constants'!$B$10</f>
        <v>0</v>
      </c>
      <c r="DU50" s="50">
        <f>DM50*'Useful Constants'!$B$10</f>
        <v>0</v>
      </c>
      <c r="DV50" s="50">
        <f>DN50*'Useful Constants'!$B$10</f>
        <v>0</v>
      </c>
      <c r="DW50" s="50">
        <f>DO50*'Useful Constants'!$B$10</f>
        <v>0</v>
      </c>
      <c r="DX50" s="14">
        <f>DH50*'Useful Constants'!$B$9</f>
        <v>172.25285377401082</v>
      </c>
      <c r="DY50" s="14">
        <f>DI50*'Useful Constants'!$B$9</f>
        <v>128.1601449979272</v>
      </c>
      <c r="DZ50" s="14">
        <f>DJ50*'Useful Constants'!$B$11</f>
        <v>31.417534895550641</v>
      </c>
      <c r="EA50" s="14">
        <f>DK50*'Useful Constants'!$B$11</f>
        <v>19.575851835412628</v>
      </c>
      <c r="EB50" s="14">
        <f>DL50*'Useful Constants'!$B$11</f>
        <v>0</v>
      </c>
      <c r="EC50" s="14">
        <f>DM50*'Useful Constants'!$B$11</f>
        <v>0</v>
      </c>
      <c r="ED50" s="14">
        <f>DN50*'Useful Constants'!$B$11</f>
        <v>0</v>
      </c>
      <c r="EE50" s="14">
        <f>DO50*'Useful Constants'!$B$11</f>
        <v>0</v>
      </c>
      <c r="EF50" s="78">
        <f>(SUM(Data!DI50:DO50)*2+Data!DP50)/('Useful Constants'!$B$1*1000000)*$K50/100</f>
        <v>4.9000659441196355</v>
      </c>
      <c r="EG50" s="78">
        <f>(SUM(Data!DJ50:DP50)*2+Data!DQ50)/('Useful Constants'!$B$1*1000000)*$K50/100</f>
        <v>3.0762916618172302</v>
      </c>
      <c r="EH50" s="78">
        <f>(SUM(Data!DK50:DQ50)*2+Data!DR50)/('Useful Constants'!$B$1*1000000)*$K50/100</f>
        <v>1.4670367849874426</v>
      </c>
      <c r="EI50" s="78">
        <f>(SUM(Data!DL50:DR50)*2+Data!DS50)/('Useful Constants'!$B$1*1000000)*$K50/100</f>
        <v>0.81406226807419868</v>
      </c>
      <c r="EJ50" s="78">
        <f>(SUM(Data!DM50:DS50)*2+Data!DT50)/('Useful Constants'!$B$1*1000000)*$K50/100</f>
        <v>0.47907837535581238</v>
      </c>
      <c r="EK50" s="78">
        <f>(SUM(Data!DN50:DT50)*2+Data!DU50)/('Useful Constants'!$B$1*1000000)*$K50/100</f>
        <v>0.23839536314542006</v>
      </c>
      <c r="EL50" s="78">
        <f>(SUM(Data!DO50:DU50)*2+Data!DV50)/('Useful Constants'!$B$1*1000000)*$K50/100</f>
        <v>0.14499802190305153</v>
      </c>
      <c r="EM50" s="78">
        <f>(SUM(Data!DP50:DV50)*2+Data!DW50)/('Useful Constants'!$B$1*1000000)*$K50/100</f>
        <v>5.0034401805365475E-2</v>
      </c>
      <c r="EN50" s="79">
        <f>EF50*'Useful Constants'!$B$3</f>
        <v>411.60553930604937</v>
      </c>
      <c r="EO50" s="79">
        <f>EG50*'Useful Constants'!$B$3</f>
        <v>258.40849959264733</v>
      </c>
      <c r="EP50" s="79">
        <f>EH50*'Useful Constants'!$B$3</f>
        <v>123.23108993894517</v>
      </c>
      <c r="EQ50" s="79">
        <f>EI50*'Useful Constants'!$B$3</f>
        <v>68.381230518232684</v>
      </c>
      <c r="ER50" s="79">
        <f>EJ50*'Useful Constants'!$B$3</f>
        <v>40.242583529888243</v>
      </c>
      <c r="ES50" s="79">
        <f>EK50*'Useful Constants'!$B$3</f>
        <v>20.025210504215284</v>
      </c>
      <c r="ET50" s="79">
        <f>EL50*'Useful Constants'!$B$3</f>
        <v>12.179833839856329</v>
      </c>
      <c r="EU50" s="79">
        <f>EM50*'Useful Constants'!$B$3</f>
        <v>4.2028897516506998</v>
      </c>
      <c r="EV50" s="78">
        <f>EF50*'Useful Constants'!$B$4</f>
        <v>137.20184643534981</v>
      </c>
      <c r="EW50" s="78">
        <f>EG50*'Useful Constants'!$B$4</f>
        <v>86.136166530882448</v>
      </c>
      <c r="EX50" s="78">
        <f>EH50*'Useful Constants'!$B$4</f>
        <v>41.077029979648394</v>
      </c>
      <c r="EY50" s="78">
        <f>EI50*'Useful Constants'!$B$4</f>
        <v>22.793743506077561</v>
      </c>
      <c r="EZ50" s="78">
        <f>EJ50*'Useful Constants'!$B$4</f>
        <v>13.414194509962746</v>
      </c>
      <c r="FA50" s="78">
        <f>EK50*'Useful Constants'!$B$4</f>
        <v>6.6750701680717617</v>
      </c>
      <c r="FB50" s="78">
        <f>EL50*'Useful Constants'!$B$4</f>
        <v>4.0599446132854426</v>
      </c>
      <c r="FC50" s="78">
        <f>EM50*'Useful Constants'!$B$4</f>
        <v>1.4009632505502334</v>
      </c>
      <c r="FD50" s="40">
        <f t="shared" si="76"/>
        <v>0.19214586135158862</v>
      </c>
      <c r="FE50" s="40">
        <f t="shared" si="77"/>
        <v>0.21875981501858643</v>
      </c>
      <c r="FF50" s="40">
        <f t="shared" si="78"/>
        <v>0.34431798128555258</v>
      </c>
      <c r="FG50" s="40">
        <f t="shared" si="79"/>
        <v>0.44041972194961754</v>
      </c>
      <c r="FH50" s="40">
        <f t="shared" si="80"/>
        <v>0.43278965474406372</v>
      </c>
      <c r="FI50" s="40">
        <f t="shared" si="81"/>
        <v>0.41804087741829715</v>
      </c>
      <c r="FJ50" s="40">
        <f t="shared" si="82"/>
        <v>0.43509714851519116</v>
      </c>
      <c r="FK50" s="40">
        <f t="shared" si="83"/>
        <v>0.44914285043334401</v>
      </c>
      <c r="FL50" s="4">
        <f t="shared" si="84"/>
        <v>0.56540601231172927</v>
      </c>
      <c r="FM50" s="4">
        <f t="shared" si="85"/>
        <v>0.58384323617169198</v>
      </c>
      <c r="FN50" s="4">
        <f t="shared" si="86"/>
        <v>0.6550218067861453</v>
      </c>
      <c r="FO50" s="4">
        <f t="shared" si="87"/>
        <v>0.7069459367489388</v>
      </c>
      <c r="FP50" s="4">
        <f t="shared" si="88"/>
        <v>0.70473995257836519</v>
      </c>
      <c r="FQ50" s="4">
        <f t="shared" si="89"/>
        <v>0.6974066092475576</v>
      </c>
      <c r="FR50" s="4">
        <f t="shared" si="90"/>
        <v>0.70644013064086619</v>
      </c>
      <c r="FS50" s="4">
        <f t="shared" si="91"/>
        <v>0.71390971304843387</v>
      </c>
      <c r="FT50" s="38">
        <f t="shared" si="92"/>
        <v>0.37387270122071575</v>
      </c>
      <c r="FU50" s="38">
        <f t="shared" si="93"/>
        <v>0.39680159188322234</v>
      </c>
      <c r="FV50" s="38">
        <f t="shared" si="94"/>
        <v>0.49684157592813227</v>
      </c>
      <c r="FW50" s="38">
        <f t="shared" si="95"/>
        <v>0.57127119993869457</v>
      </c>
      <c r="FX50" s="38">
        <f t="shared" si="96"/>
        <v>0.56619463226215228</v>
      </c>
      <c r="FY50" s="38">
        <f t="shared" si="97"/>
        <v>0.55507422399524975</v>
      </c>
      <c r="FZ50" s="38">
        <f t="shared" si="98"/>
        <v>0.56820304804604616</v>
      </c>
      <c r="GA50" s="38">
        <f t="shared" si="99"/>
        <v>0.57903024751090504</v>
      </c>
    </row>
    <row r="51" spans="1:183" x14ac:dyDescent="0.25">
      <c r="A51" s="1" t="str">
        <f>Data!A51</f>
        <v>MS_GULFPORT-BILOXI-IAP_747685_TY3A</v>
      </c>
      <c r="B51" s="1" t="str">
        <f>TY3A_REP_CITIES!B51</f>
        <v>Gulfport</v>
      </c>
      <c r="C51" s="1" t="str">
        <f>TY3A_REP_CITIES!C51</f>
        <v>Harrison</v>
      </c>
      <c r="D51" s="2" t="str">
        <f>TY3A_REP_CITIES!A51</f>
        <v>MS</v>
      </c>
      <c r="E51" s="42">
        <f>TY3A_REP_CITIES!E51</f>
        <v>208080</v>
      </c>
      <c r="F51" s="2">
        <f>TY3A_REP_CITIES!G51</f>
        <v>2</v>
      </c>
      <c r="G51" s="2" t="str">
        <f>TY3A_REP_CITIES!H51</f>
        <v>Hot-Humid</v>
      </c>
      <c r="H51" s="2" t="str">
        <f>TY3A_REP_CITIES!I51</f>
        <v>Southeast</v>
      </c>
      <c r="I51" s="2">
        <f>Data!B51</f>
        <v>30.4</v>
      </c>
      <c r="J51" s="2">
        <f>Data!C51</f>
        <v>-89.07</v>
      </c>
      <c r="K51" s="2">
        <f>VLOOKUP(D51,Table1[],2,FALSE)</f>
        <v>1.8</v>
      </c>
      <c r="L51" s="2">
        <v>0.5</v>
      </c>
      <c r="M51" s="10">
        <f>Data!N51</f>
        <v>5599.7459799999997</v>
      </c>
      <c r="N51" s="10">
        <f>Data!Q51</f>
        <v>29308</v>
      </c>
      <c r="O51" s="10">
        <f>Data!O51</f>
        <v>4680437465.63099</v>
      </c>
      <c r="P51" s="10">
        <f>Data!P51</f>
        <v>4875455693.3656082</v>
      </c>
      <c r="Q51" s="10">
        <f>Data!S51*15</f>
        <v>3678.5994717382882</v>
      </c>
      <c r="R51" s="48">
        <f>SUM(Data!U51:AA51)*2+Data!AB51</f>
        <v>63.017368363101042</v>
      </c>
      <c r="S51" s="48">
        <f>SUM(Data!V51:AB51)*2+Data!AC51</f>
        <v>62.744513752463554</v>
      </c>
      <c r="T51" s="48">
        <f>SUM(Data!W51:AC51)*2+Data!AD51</f>
        <v>53.777635505460125</v>
      </c>
      <c r="U51" s="48">
        <f>SUM(Data!X51:AD51)*2+Data!AE51</f>
        <v>47.297638136166526</v>
      </c>
      <c r="V51" s="48">
        <f>SUM(Data!Y51:AE51)*2+Data!AF51</f>
        <v>46.101582487440247</v>
      </c>
      <c r="W51" s="48">
        <f>SUM(Data!Z51:AF51)*2+Data!AG51</f>
        <v>48.398225821118679</v>
      </c>
      <c r="X51" s="48">
        <f>SUM(Data!AA51:AG51)*2+Data!AH51</f>
        <v>45.158514989975757</v>
      </c>
      <c r="Y51" s="48">
        <f>SUM(Data!AB51:AH51)*2+Data!AI51</f>
        <v>41.839872555457049</v>
      </c>
      <c r="Z51" s="80">
        <f>(SUM(Data!CS51:CY51)*2+Data!CZ51)/('Useful Constants'!$B$1*1000000)*$K51/100</f>
        <v>0.16000841238647007</v>
      </c>
      <c r="AA51" s="80">
        <f>(SUM(Data!CT51:CZ51)*2+Data!DA51)/('Useful Constants'!$B$1*1000000)*$K51/100</f>
        <v>0.13161940403357916</v>
      </c>
      <c r="AB51" s="80">
        <f>(SUM(Data!CU51:DA51)*2+Data!DB51)/('Useful Constants'!$B$1*1000000)*$K51/100</f>
        <v>0.10648924238645456</v>
      </c>
      <c r="AC51" s="80">
        <f>(SUM(Data!CV51:DB51)*2+Data!DC51)/('Useful Constants'!$B$1*1000000)*$K51/100</f>
        <v>9.8578766739315121E-2</v>
      </c>
      <c r="AD51" s="80">
        <f>(SUM(Data!CW51:DC51)*2+Data!DD51)/('Useful Constants'!$B$1*1000000)*$K51/100</f>
        <v>9.1422223904290389E-2</v>
      </c>
      <c r="AE51" s="80">
        <f>(SUM(Data!CX51:DD51)*2+Data!DE51)/('Useful Constants'!$B$1*1000000)*$K51/100</f>
        <v>9.785547225384246E-2</v>
      </c>
      <c r="AF51" s="80">
        <f>(SUM(Data!CY51:DE51)*2+Data!DF51)/('Useful Constants'!$B$1*1000000)*$K51/100</f>
        <v>0.11172892548508852</v>
      </c>
      <c r="AG51" s="80">
        <f>(SUM(Data!CZ51:DF51)*2+Data!DG51)/('Useful Constants'!$B$1*1000000)*$K51/100</f>
        <v>0.12449293731610787</v>
      </c>
      <c r="AH51" s="48">
        <f>Z51*'Useful Constants'!$B$3</f>
        <v>13.440706640463485</v>
      </c>
      <c r="AI51" s="48">
        <f>AA51*'Useful Constants'!$B$3</f>
        <v>11.05602993882065</v>
      </c>
      <c r="AJ51" s="48">
        <f>AB51*'Useful Constants'!$B$3</f>
        <v>8.9450963604621823</v>
      </c>
      <c r="AK51" s="48">
        <f>AC51*'Useful Constants'!$B$3</f>
        <v>8.280616406102471</v>
      </c>
      <c r="AL51" s="48">
        <f>AD51*'Useful Constants'!$B$3</f>
        <v>7.6794668079603925</v>
      </c>
      <c r="AM51" s="48">
        <f>AE51*'Useful Constants'!$B$3</f>
        <v>8.2198596693227675</v>
      </c>
      <c r="AN51" s="48">
        <f>AF51*'Useful Constants'!$B$3</f>
        <v>9.3852297407474357</v>
      </c>
      <c r="AO51" s="48">
        <f>AG51*'Useful Constants'!$B$3</f>
        <v>10.457406734553061</v>
      </c>
      <c r="AP51" s="10">
        <f>Z51*'Useful Constants'!$B$4</f>
        <v>4.4802355468211621</v>
      </c>
      <c r="AQ51" s="10">
        <f>AA51*'Useful Constants'!$B$4</f>
        <v>3.6853433129402164</v>
      </c>
      <c r="AR51" s="10">
        <f>AB51*'Useful Constants'!$B$4</f>
        <v>2.9816987868207279</v>
      </c>
      <c r="AS51" s="10">
        <f>AC51*'Useful Constants'!$B$4</f>
        <v>2.7602054687008235</v>
      </c>
      <c r="AT51" s="10">
        <f>AD51*'Useful Constants'!$B$4</f>
        <v>2.5598222693201311</v>
      </c>
      <c r="AU51" s="10">
        <f>AE51*'Useful Constants'!$B$4</f>
        <v>2.7399532231075887</v>
      </c>
      <c r="AV51" s="10">
        <f>AF51*'Useful Constants'!$B$4</f>
        <v>3.1284099135824786</v>
      </c>
      <c r="AW51" s="10">
        <f>AG51*'Useful Constants'!$B$4</f>
        <v>3.4858022448510204</v>
      </c>
      <c r="AX51" s="48">
        <f>P51/1000000/'Useful Constants'!$B$1*K51/100*'Useful Constants'!$B$3*15</f>
        <v>2211.50670251064</v>
      </c>
      <c r="AY51" s="48">
        <f>P51/1000000/'Useful Constants'!$B$1*L51/100*'Useful Constants'!$B$3*15</f>
        <v>614.30741736406662</v>
      </c>
      <c r="AZ51" s="48">
        <f>P51/1000000/'Useful Constants'!$B$1*K51/100*'Useful Constants'!$B$4*15</f>
        <v>737.16890083687997</v>
      </c>
      <c r="BA51" s="48">
        <f>P51/1000000/'Useful Constants'!$B$1*L51/100*'Useful Constants'!$B$4*15</f>
        <v>204.76913912135555</v>
      </c>
      <c r="BB51" s="7">
        <f>Data!AN51</f>
        <v>5599.7459799999997</v>
      </c>
      <c r="BC51" s="7">
        <f>Data!AQ51</f>
        <v>5599.7459799999997</v>
      </c>
      <c r="BD51" s="7">
        <f>Data!AT51</f>
        <v>4181.44625</v>
      </c>
      <c r="BE51" s="6">
        <f>Data!AO51</f>
        <v>4442978687.6012497</v>
      </c>
      <c r="BF51" s="6">
        <f>Data!AP51</f>
        <v>1259512045.4537599</v>
      </c>
      <c r="BG51" s="6">
        <f>Data!AR51</f>
        <v>67991965.344303995</v>
      </c>
      <c r="BH51" s="6">
        <f>Data!AS51</f>
        <v>67991965.344303995</v>
      </c>
      <c r="BI51" s="8">
        <f t="shared" si="50"/>
        <v>0.98492742015514845</v>
      </c>
      <c r="BJ51" s="8">
        <f t="shared" si="51"/>
        <v>0.94878210175543731</v>
      </c>
      <c r="BK51" s="13">
        <f>BB51*'Useful Constants'!$B$5/'Useful Constants'!$B$6*'Useful Constants'!$B$7</f>
        <v>1.432974996282</v>
      </c>
      <c r="BL51" s="52">
        <f>1-VLOOKUP($G51,'Useful Constants'!$A$17:$X$23,10,FALSE)</f>
        <v>0</v>
      </c>
      <c r="BM51" s="52">
        <f>1-VLOOKUP($G51,'Useful Constants'!$A$17:$X$23,12,FALSE)</f>
        <v>0</v>
      </c>
      <c r="BN51" s="52">
        <f>1-VLOOKUP($G51,'Useful Constants'!$A$17:$X$23,14,FALSE)</f>
        <v>0</v>
      </c>
      <c r="BO51" s="52">
        <f>1-VLOOKUP($G51,'Useful Constants'!$A$17:$X$23,16,FALSE)</f>
        <v>0</v>
      </c>
      <c r="BP51" s="52">
        <f>1-VLOOKUP($G51,'Useful Constants'!$A$17:$X$23,18,FALSE)</f>
        <v>0</v>
      </c>
      <c r="BQ51" s="52">
        <f>1-VLOOKUP($G51,'Useful Constants'!$A$17:$X$23,20, FALSE)</f>
        <v>0</v>
      </c>
      <c r="BR51" s="52">
        <f>1-VLOOKUP($G51,'Useful Constants'!$A$17:$X$23,22, FALSE)</f>
        <v>0</v>
      </c>
      <c r="BS51" s="52">
        <f>1-VLOOKUP($G51,'Useful Constants'!$A$17:$X$23,24, FALSE)</f>
        <v>0</v>
      </c>
      <c r="BT51" s="13">
        <f t="shared" si="52"/>
        <v>0</v>
      </c>
      <c r="BU51" s="13">
        <f t="shared" si="53"/>
        <v>0</v>
      </c>
      <c r="BV51" s="13">
        <f t="shared" si="54"/>
        <v>0</v>
      </c>
      <c r="BW51" s="13">
        <f t="shared" si="55"/>
        <v>0</v>
      </c>
      <c r="BX51" s="13">
        <f t="shared" si="56"/>
        <v>0</v>
      </c>
      <c r="BY51" s="13">
        <f t="shared" si="57"/>
        <v>0</v>
      </c>
      <c r="BZ51" s="13">
        <f t="shared" si="58"/>
        <v>0</v>
      </c>
      <c r="CA51" s="13">
        <f t="shared" si="59"/>
        <v>0</v>
      </c>
      <c r="CB51" s="59">
        <f>+SUM(Data!BM51:BS51)*2+Data!BT51</f>
        <v>338.6837307686128</v>
      </c>
      <c r="CC51" s="59">
        <f>+SUM(Data!BN51:BT51)*2+Data!BU51</f>
        <v>337.15172805162086</v>
      </c>
      <c r="CD51" s="59">
        <f>+SUM(Data!BO51:BU51)*2+Data!BV51</f>
        <v>289.05874513663127</v>
      </c>
      <c r="CE51" s="59">
        <f>+SUM(Data!BP51:BV51)*2+Data!BW51</f>
        <v>254.28927153944016</v>
      </c>
      <c r="CF51" s="59">
        <f>+SUM(Data!BQ51:BW51)*2+Data!BX51</f>
        <v>247.87472520287113</v>
      </c>
      <c r="CG51" s="59">
        <f>+SUM(Data!BR51:BX51)*2+Data!BY51</f>
        <v>260.13629857738539</v>
      </c>
      <c r="CH51" s="59">
        <f>+SUM(Data!BS51:BY51)*2+Data!BZ51</f>
        <v>242.68555333541011</v>
      </c>
      <c r="CI51" s="59">
        <f>+SUM(Data!BT51:BZ51)*2+Data!CA51</f>
        <v>224.86118299620196</v>
      </c>
      <c r="CJ51" s="13">
        <f>+SUM(Data!AW51:BC51)*2+Data!BD51</f>
        <v>1945.1496830798935</v>
      </c>
      <c r="CK51" s="13">
        <f>+SUM(Data!AX51:BD51)*2+Data!BE51</f>
        <v>1939.8083963215518</v>
      </c>
      <c r="CL51" s="13">
        <f>+SUM(Data!AY51:BE51)*2+Data!BF51</f>
        <v>1652.2780695714091</v>
      </c>
      <c r="CM51" s="13">
        <f>+SUM(Data!AZ51:BF51)*2+Data!BG51</f>
        <v>1453.1546845411631</v>
      </c>
      <c r="CN51" s="13">
        <f>+SUM(Data!BA51:BG51)*2+Data!BH51</f>
        <v>1408.7973086072041</v>
      </c>
      <c r="CO51" s="13">
        <f>+SUM(Data!BB51:BH51)*2+Data!BI51</f>
        <v>1478.508175749417</v>
      </c>
      <c r="CP51" s="13">
        <f>+SUM(Data!BC51:BI51)*2+Data!BJ51</f>
        <v>1375.1744743015772</v>
      </c>
      <c r="CQ51" s="13">
        <f>+SUM(Data!BD51:BJ51)*2+Data!BK51</f>
        <v>1275.3832872075448</v>
      </c>
      <c r="CR51" s="59">
        <f>+SUM(Data!CC51:CI51)*2+Data!CJ51</f>
        <v>102.38630456400099</v>
      </c>
      <c r="CS51" s="59">
        <f>+SUM(Data!CD51:CJ51)*2+Data!CK51</f>
        <v>102.53122670642321</v>
      </c>
      <c r="CT51" s="59">
        <f>+SUM(Data!CE51:CK51)*2+Data!CL51</f>
        <v>89.866646279509084</v>
      </c>
      <c r="CU51" s="59">
        <f>+SUM(Data!CF51:CL51)*2+Data!CM51</f>
        <v>79.361954931834518</v>
      </c>
      <c r="CV51" s="59">
        <f>+SUM(Data!CG51:CM51)*2+Data!CN51</f>
        <v>78.984845747574596</v>
      </c>
      <c r="CW51" s="59">
        <f>+SUM(Data!CH51:CN51)*2+Data!CO51</f>
        <v>82.053424080390656</v>
      </c>
      <c r="CX51" s="59">
        <f>+SUM(Data!CI51:CO51)*2+Data!CP51</f>
        <v>77.058136922056306</v>
      </c>
      <c r="CY51" s="59">
        <f>+SUM(Data!CJ51:CP51)*2+Data!CQ51</f>
        <v>70.043755866927711</v>
      </c>
      <c r="CZ51" s="60">
        <f t="shared" si="60"/>
        <v>2386.2197184125071</v>
      </c>
      <c r="DA51" s="60">
        <f t="shared" si="61"/>
        <v>2379.4913510795959</v>
      </c>
      <c r="DB51" s="60">
        <f t="shared" si="62"/>
        <v>2031.2034609875495</v>
      </c>
      <c r="DC51" s="60">
        <f t="shared" si="63"/>
        <v>1786.8059110124377</v>
      </c>
      <c r="DD51" s="60">
        <f t="shared" si="64"/>
        <v>1735.6568795576497</v>
      </c>
      <c r="DE51" s="60">
        <f t="shared" si="65"/>
        <v>1820.697898407193</v>
      </c>
      <c r="DF51" s="60">
        <f t="shared" si="66"/>
        <v>1694.9181645590436</v>
      </c>
      <c r="DG51" s="60">
        <f t="shared" si="67"/>
        <v>1570.2882260706745</v>
      </c>
      <c r="DH51" s="13">
        <f t="shared" si="68"/>
        <v>0</v>
      </c>
      <c r="DI51" s="13">
        <f t="shared" si="69"/>
        <v>0</v>
      </c>
      <c r="DJ51" s="13">
        <f t="shared" si="70"/>
        <v>0</v>
      </c>
      <c r="DK51" s="13">
        <f t="shared" si="71"/>
        <v>0</v>
      </c>
      <c r="DL51" s="13">
        <f t="shared" si="72"/>
        <v>0</v>
      </c>
      <c r="DM51" s="13">
        <f t="shared" si="73"/>
        <v>0</v>
      </c>
      <c r="DN51" s="13">
        <f t="shared" si="74"/>
        <v>0</v>
      </c>
      <c r="DO51" s="13">
        <f t="shared" si="75"/>
        <v>0</v>
      </c>
      <c r="DP51" s="50">
        <f>DH51*'Useful Constants'!$B$8</f>
        <v>0</v>
      </c>
      <c r="DQ51" s="50">
        <f>DI51*'Useful Constants'!$B$8</f>
        <v>0</v>
      </c>
      <c r="DR51" s="50">
        <f>DJ51*'Useful Constants'!$B$10</f>
        <v>0</v>
      </c>
      <c r="DS51" s="50">
        <f>DK51*'Useful Constants'!$B$10</f>
        <v>0</v>
      </c>
      <c r="DT51" s="50">
        <f>DL51*'Useful Constants'!$B$10</f>
        <v>0</v>
      </c>
      <c r="DU51" s="50">
        <f>DM51*'Useful Constants'!$B$10</f>
        <v>0</v>
      </c>
      <c r="DV51" s="50">
        <f>DN51*'Useful Constants'!$B$10</f>
        <v>0</v>
      </c>
      <c r="DW51" s="50">
        <f>DO51*'Useful Constants'!$B$10</f>
        <v>0</v>
      </c>
      <c r="DX51" s="14">
        <f>DH51*'Useful Constants'!$B$9</f>
        <v>0</v>
      </c>
      <c r="DY51" s="14">
        <f>DI51*'Useful Constants'!$B$9</f>
        <v>0</v>
      </c>
      <c r="DZ51" s="14">
        <f>DJ51*'Useful Constants'!$B$11</f>
        <v>0</v>
      </c>
      <c r="EA51" s="14">
        <f>DK51*'Useful Constants'!$B$11</f>
        <v>0</v>
      </c>
      <c r="EB51" s="14">
        <f>DL51*'Useful Constants'!$B$11</f>
        <v>0</v>
      </c>
      <c r="EC51" s="14">
        <f>DM51*'Useful Constants'!$B$11</f>
        <v>0</v>
      </c>
      <c r="ED51" s="14">
        <f>DN51*'Useful Constants'!$B$11</f>
        <v>0</v>
      </c>
      <c r="EE51" s="14">
        <f>DO51*'Useful Constants'!$B$11</f>
        <v>0</v>
      </c>
      <c r="EF51" s="78">
        <f>(SUM(Data!DI51:DO51)*2+Data!DP51)/('Useful Constants'!$B$1*1000000)*$K51/100</f>
        <v>5.9685831899971831</v>
      </c>
      <c r="EG51" s="78">
        <f>(SUM(Data!DJ51:DP51)*2+Data!DQ51)/('Useful Constants'!$B$1*1000000)*$K51/100</f>
        <v>4.9446823307193517</v>
      </c>
      <c r="EH51" s="78">
        <f>(SUM(Data!DK51:DQ51)*2+Data!DR51)/('Useful Constants'!$B$1*1000000)*$K51/100</f>
        <v>4.0492125608754517</v>
      </c>
      <c r="EI51" s="78">
        <f>(SUM(Data!DL51:DR51)*2+Data!DS51)/('Useful Constants'!$B$1*1000000)*$K51/100</f>
        <v>3.7718008342293752</v>
      </c>
      <c r="EJ51" s="78">
        <f>(SUM(Data!DM51:DS51)*2+Data!DT51)/('Useful Constants'!$B$1*1000000)*$K51/100</f>
        <v>3.5143119394585871</v>
      </c>
      <c r="EK51" s="78">
        <f>(SUM(Data!DN51:DT51)*2+Data!DU51)/('Useful Constants'!$B$1*1000000)*$K51/100</f>
        <v>3.7712732693345572</v>
      </c>
      <c r="EL51" s="78">
        <f>(SUM(Data!DO51:DU51)*2+Data!DV51)/('Useful Constants'!$B$1*1000000)*$K51/100</f>
        <v>4.3193005500528541</v>
      </c>
      <c r="EM51" s="78">
        <f>(SUM(Data!DP51:DV51)*2+Data!DW51)/('Useful Constants'!$B$1*1000000)*$K51/100</f>
        <v>4.825609116769713</v>
      </c>
      <c r="EN51" s="79">
        <f>EF51*'Useful Constants'!$B$3</f>
        <v>501.36098795976341</v>
      </c>
      <c r="EO51" s="79">
        <f>EG51*'Useful Constants'!$B$3</f>
        <v>415.35331578042553</v>
      </c>
      <c r="EP51" s="79">
        <f>EH51*'Useful Constants'!$B$3</f>
        <v>340.13385511353795</v>
      </c>
      <c r="EQ51" s="79">
        <f>EI51*'Useful Constants'!$B$3</f>
        <v>316.83127007526753</v>
      </c>
      <c r="ER51" s="79">
        <f>EJ51*'Useful Constants'!$B$3</f>
        <v>295.20220291452131</v>
      </c>
      <c r="ES51" s="79">
        <f>EK51*'Useful Constants'!$B$3</f>
        <v>316.7869546241028</v>
      </c>
      <c r="ET51" s="79">
        <f>EL51*'Useful Constants'!$B$3</f>
        <v>362.82124620443972</v>
      </c>
      <c r="EU51" s="79">
        <f>EM51*'Useful Constants'!$B$3</f>
        <v>405.35116580865588</v>
      </c>
      <c r="EV51" s="78">
        <f>EF51*'Useful Constants'!$B$4</f>
        <v>167.12032931992113</v>
      </c>
      <c r="EW51" s="78">
        <f>EG51*'Useful Constants'!$B$4</f>
        <v>138.45110526014184</v>
      </c>
      <c r="EX51" s="78">
        <f>EH51*'Useful Constants'!$B$4</f>
        <v>113.37795170451264</v>
      </c>
      <c r="EY51" s="78">
        <f>EI51*'Useful Constants'!$B$4</f>
        <v>105.61042335842251</v>
      </c>
      <c r="EZ51" s="78">
        <f>EJ51*'Useful Constants'!$B$4</f>
        <v>98.400734304840441</v>
      </c>
      <c r="FA51" s="78">
        <f>EK51*'Useful Constants'!$B$4</f>
        <v>105.5956515413676</v>
      </c>
      <c r="FB51" s="78">
        <f>EL51*'Useful Constants'!$B$4</f>
        <v>120.94041540147991</v>
      </c>
      <c r="FC51" s="78">
        <f>EM51*'Useful Constants'!$B$4</f>
        <v>135.11705526955197</v>
      </c>
      <c r="FD51" s="40">
        <f t="shared" si="76"/>
        <v>0.3622490435584404</v>
      </c>
      <c r="FE51" s="40">
        <f t="shared" si="77"/>
        <v>0.36400091509696397</v>
      </c>
      <c r="FF51" s="40">
        <f t="shared" si="78"/>
        <v>0.45578825434187331</v>
      </c>
      <c r="FG51" s="40">
        <f t="shared" si="79"/>
        <v>0.52043605651991698</v>
      </c>
      <c r="FH51" s="40">
        <f t="shared" si="80"/>
        <v>0.53401444725650626</v>
      </c>
      <c r="FI51" s="40">
        <f t="shared" si="81"/>
        <v>0.51148402919608404</v>
      </c>
      <c r="FJ51" s="40">
        <f t="shared" si="82"/>
        <v>0.54483664872962967</v>
      </c>
      <c r="FK51" s="40">
        <f t="shared" si="83"/>
        <v>0.5779293570585643</v>
      </c>
      <c r="FL51" s="4">
        <f t="shared" si="84"/>
        <v>0.56121607400120155</v>
      </c>
      <c r="FM51" s="4">
        <f t="shared" si="85"/>
        <v>0.57513625896419018</v>
      </c>
      <c r="FN51" s="4">
        <f t="shared" si="86"/>
        <v>0.63890846796905232</v>
      </c>
      <c r="FO51" s="4">
        <f t="shared" si="87"/>
        <v>0.67932320185418782</v>
      </c>
      <c r="FP51" s="4">
        <f t="shared" si="88"/>
        <v>0.69033260010244679</v>
      </c>
      <c r="FQ51" s="4">
        <f t="shared" si="89"/>
        <v>0.67421512984144716</v>
      </c>
      <c r="FR51" s="4">
        <f t="shared" si="90"/>
        <v>0.68627034675749732</v>
      </c>
      <c r="FS51" s="4">
        <f t="shared" si="91"/>
        <v>0.69868438142564604</v>
      </c>
      <c r="FT51" s="38">
        <f t="shared" si="92"/>
        <v>0.45534963267822559</v>
      </c>
      <c r="FU51" s="38">
        <f t="shared" si="93"/>
        <v>0.46277789917601719</v>
      </c>
      <c r="FV51" s="38">
        <f t="shared" si="94"/>
        <v>0.54149127513015771</v>
      </c>
      <c r="FW51" s="38">
        <f t="shared" si="95"/>
        <v>0.59482331685555667</v>
      </c>
      <c r="FX51" s="38">
        <f t="shared" si="96"/>
        <v>0.60720079682198735</v>
      </c>
      <c r="FY51" s="38">
        <f t="shared" si="97"/>
        <v>0.58766539514579963</v>
      </c>
      <c r="FZ51" s="38">
        <f t="shared" si="98"/>
        <v>0.61106728157830181</v>
      </c>
      <c r="GA51" s="38">
        <f t="shared" si="99"/>
        <v>0.63449308023524398</v>
      </c>
    </row>
    <row r="52" spans="1:183" x14ac:dyDescent="0.25">
      <c r="A52" s="1" t="str">
        <f>Data!A52</f>
        <v>MS_JACKSON-IAP_722350_TY3A</v>
      </c>
      <c r="B52" s="1" t="str">
        <f>TY3A_REP_CITIES!B52</f>
        <v>Jackson</v>
      </c>
      <c r="C52" s="1" t="str">
        <f>TY3A_REP_CITIES!C52</f>
        <v>Hinds</v>
      </c>
      <c r="D52" s="2" t="str">
        <f>TY3A_REP_CITIES!A52</f>
        <v>MS</v>
      </c>
      <c r="E52" s="42">
        <f>TY3A_REP_CITIES!E52</f>
        <v>231840</v>
      </c>
      <c r="F52" s="2">
        <f>TY3A_REP_CITIES!G52</f>
        <v>3</v>
      </c>
      <c r="G52" s="2" t="str">
        <f>TY3A_REP_CITIES!H52</f>
        <v>Hot-Humid</v>
      </c>
      <c r="H52" s="2" t="str">
        <f>TY3A_REP_CITIES!I52</f>
        <v>Southeast</v>
      </c>
      <c r="I52" s="2">
        <f>Data!B52</f>
        <v>32.32</v>
      </c>
      <c r="J52" s="2">
        <f>Data!C52</f>
        <v>-90.08</v>
      </c>
      <c r="K52" s="2">
        <f>VLOOKUP(D52,Table1[],2,FALSE)</f>
        <v>1.8</v>
      </c>
      <c r="L52" s="2">
        <v>0.5</v>
      </c>
      <c r="M52" s="10">
        <f>Data!N52</f>
        <v>5526.7588299999998</v>
      </c>
      <c r="N52" s="10">
        <f>Data!Q52</f>
        <v>29308</v>
      </c>
      <c r="O52" s="10">
        <f>Data!O52</f>
        <v>11977639761.521601</v>
      </c>
      <c r="P52" s="10">
        <f>Data!P52</f>
        <v>12476708084.918335</v>
      </c>
      <c r="Q52" s="10">
        <f>Data!S52*15</f>
        <v>9413.8506545487744</v>
      </c>
      <c r="R52" s="48">
        <f>SUM(Data!U52:AA52)*2+Data!AB52</f>
        <v>167.10686859782129</v>
      </c>
      <c r="S52" s="48">
        <f>SUM(Data!V52:AB52)*2+Data!AC52</f>
        <v>165.60741898677708</v>
      </c>
      <c r="T52" s="48">
        <f>SUM(Data!W52:AC52)*2+Data!AD52</f>
        <v>142.38676990112162</v>
      </c>
      <c r="U52" s="48">
        <f>SUM(Data!X52:AD52)*2+Data!AE52</f>
        <v>125.14507010729744</v>
      </c>
      <c r="V52" s="48">
        <f>SUM(Data!Y52:AE52)*2+Data!AF52</f>
        <v>121.59284618352606</v>
      </c>
      <c r="W52" s="48">
        <f>SUM(Data!Z52:AF52)*2+Data!AG52</f>
        <v>126.0526984622088</v>
      </c>
      <c r="X52" s="48">
        <f>SUM(Data!AA52:AG52)*2+Data!AH52</f>
        <v>117.35034871994023</v>
      </c>
      <c r="Y52" s="48">
        <f>SUM(Data!AB52:AH52)*2+Data!AI52</f>
        <v>109.01999529969727</v>
      </c>
      <c r="Z52" s="80">
        <f>(SUM(Data!CS52:CY52)*2+Data!CZ52)/('Useful Constants'!$B$1*1000000)*$K52/100</f>
        <v>0.4156738626167425</v>
      </c>
      <c r="AA52" s="80">
        <f>(SUM(Data!CT52:CZ52)*2+Data!DA52)/('Useful Constants'!$B$1*1000000)*$K52/100</f>
        <v>0.34495424070136332</v>
      </c>
      <c r="AB52" s="80">
        <f>(SUM(Data!CU52:DA52)*2+Data!DB52)/('Useful Constants'!$B$1*1000000)*$K52/100</f>
        <v>0.28247871264568436</v>
      </c>
      <c r="AC52" s="80">
        <f>(SUM(Data!CV52:DB52)*2+Data!DC52)/('Useful Constants'!$B$1*1000000)*$K52/100</f>
        <v>0.26106020563382587</v>
      </c>
      <c r="AD52" s="80">
        <f>(SUM(Data!CW52:DC52)*2+Data!DD52)/('Useful Constants'!$B$1*1000000)*$K52/100</f>
        <v>0.24585749806070101</v>
      </c>
      <c r="AE52" s="80">
        <f>(SUM(Data!CX52:DD52)*2+Data!DE52)/('Useful Constants'!$B$1*1000000)*$K52/100</f>
        <v>0.26079253286457321</v>
      </c>
      <c r="AF52" s="80">
        <f>(SUM(Data!CY52:DE52)*2+Data!DF52)/('Useful Constants'!$B$1*1000000)*$K52/100</f>
        <v>0.29192076779906712</v>
      </c>
      <c r="AG52" s="80">
        <f>(SUM(Data!CZ52:DF52)*2+Data!DG52)/('Useful Constants'!$B$1*1000000)*$K52/100</f>
        <v>0.32412526878104075</v>
      </c>
      <c r="AH52" s="48">
        <f>Z52*'Useful Constants'!$B$3</f>
        <v>34.916604459806372</v>
      </c>
      <c r="AI52" s="48">
        <f>AA52*'Useful Constants'!$B$3</f>
        <v>28.976156218914518</v>
      </c>
      <c r="AJ52" s="48">
        <f>AB52*'Useful Constants'!$B$3</f>
        <v>23.728211862237487</v>
      </c>
      <c r="AK52" s="48">
        <f>AC52*'Useful Constants'!$B$3</f>
        <v>21.929057273241373</v>
      </c>
      <c r="AL52" s="48">
        <f>AD52*'Useful Constants'!$B$3</f>
        <v>20.652029837098883</v>
      </c>
      <c r="AM52" s="48">
        <f>AE52*'Useful Constants'!$B$3</f>
        <v>21.906572760624151</v>
      </c>
      <c r="AN52" s="48">
        <f>AF52*'Useful Constants'!$B$3</f>
        <v>24.521344495121639</v>
      </c>
      <c r="AO52" s="48">
        <f>AG52*'Useful Constants'!$B$3</f>
        <v>27.226522577607422</v>
      </c>
      <c r="AP52" s="10">
        <f>Z52*'Useful Constants'!$B$4</f>
        <v>11.63886815326879</v>
      </c>
      <c r="AQ52" s="10">
        <f>AA52*'Useful Constants'!$B$4</f>
        <v>9.6587187396381733</v>
      </c>
      <c r="AR52" s="10">
        <f>AB52*'Useful Constants'!$B$4</f>
        <v>7.9094039540791616</v>
      </c>
      <c r="AS52" s="10">
        <f>AC52*'Useful Constants'!$B$4</f>
        <v>7.3096857577471246</v>
      </c>
      <c r="AT52" s="10">
        <f>AD52*'Useful Constants'!$B$4</f>
        <v>6.8840099456996278</v>
      </c>
      <c r="AU52" s="10">
        <f>AE52*'Useful Constants'!$B$4</f>
        <v>7.3021909202080497</v>
      </c>
      <c r="AV52" s="10">
        <f>AF52*'Useful Constants'!$B$4</f>
        <v>8.173781498373879</v>
      </c>
      <c r="AW52" s="10">
        <f>AG52*'Useful Constants'!$B$4</f>
        <v>9.075507525869142</v>
      </c>
      <c r="AX52" s="48">
        <f>P52/1000000/'Useful Constants'!$B$1*K52/100*'Useful Constants'!$B$3*15</f>
        <v>5659.4347873189572</v>
      </c>
      <c r="AY52" s="48">
        <f>P52/1000000/'Useful Constants'!$B$1*L52/100*'Useful Constants'!$B$3*15</f>
        <v>1572.0652186997104</v>
      </c>
      <c r="AZ52" s="48">
        <f>P52/1000000/'Useful Constants'!$B$1*K52/100*'Useful Constants'!$B$4*15</f>
        <v>1886.4782624396521</v>
      </c>
      <c r="BA52" s="48">
        <f>P52/1000000/'Useful Constants'!$B$1*L52/100*'Useful Constants'!$B$4*15</f>
        <v>524.02173956657009</v>
      </c>
      <c r="BB52" s="7">
        <f>Data!AN52</f>
        <v>5526.7588299999998</v>
      </c>
      <c r="BC52" s="7">
        <f>Data!AQ52</f>
        <v>5526.7588299999998</v>
      </c>
      <c r="BD52" s="7">
        <f>Data!AT52</f>
        <v>4791.6113100000002</v>
      </c>
      <c r="BE52" s="6">
        <f>Data!AO52</f>
        <v>11360512420.4769</v>
      </c>
      <c r="BF52" s="6">
        <f>Data!AP52</f>
        <v>3356992836.9205198</v>
      </c>
      <c r="BG52" s="6">
        <f>Data!AR52</f>
        <v>180085450.87092301</v>
      </c>
      <c r="BH52" s="6">
        <f>Data!AS52</f>
        <v>180085450.87092301</v>
      </c>
      <c r="BI52" s="8">
        <f t="shared" si="50"/>
        <v>0.98439548341615601</v>
      </c>
      <c r="BJ52" s="8">
        <f t="shared" si="51"/>
        <v>0.94908638253993283</v>
      </c>
      <c r="BK52" s="13">
        <f>BB52*'Useful Constants'!$B$5/'Useful Constants'!$B$6*'Useful Constants'!$B$7</f>
        <v>1.4142975845970001</v>
      </c>
      <c r="BL52" s="52">
        <f>1-VLOOKUP($G52,'Useful Constants'!$A$17:$X$23,10,FALSE)</f>
        <v>0</v>
      </c>
      <c r="BM52" s="52">
        <f>1-VLOOKUP($G52,'Useful Constants'!$A$17:$X$23,12,FALSE)</f>
        <v>0</v>
      </c>
      <c r="BN52" s="52">
        <f>1-VLOOKUP($G52,'Useful Constants'!$A$17:$X$23,14,FALSE)</f>
        <v>0</v>
      </c>
      <c r="BO52" s="52">
        <f>1-VLOOKUP($G52,'Useful Constants'!$A$17:$X$23,16,FALSE)</f>
        <v>0</v>
      </c>
      <c r="BP52" s="52">
        <f>1-VLOOKUP($G52,'Useful Constants'!$A$17:$X$23,18,FALSE)</f>
        <v>0</v>
      </c>
      <c r="BQ52" s="52">
        <f>1-VLOOKUP($G52,'Useful Constants'!$A$17:$X$23,20, FALSE)</f>
        <v>0</v>
      </c>
      <c r="BR52" s="52">
        <f>1-VLOOKUP($G52,'Useful Constants'!$A$17:$X$23,22, FALSE)</f>
        <v>0</v>
      </c>
      <c r="BS52" s="52">
        <f>1-VLOOKUP($G52,'Useful Constants'!$A$17:$X$23,24, FALSE)</f>
        <v>0</v>
      </c>
      <c r="BT52" s="13">
        <f t="shared" si="52"/>
        <v>0</v>
      </c>
      <c r="BU52" s="13">
        <f t="shared" si="53"/>
        <v>0</v>
      </c>
      <c r="BV52" s="13">
        <f t="shared" si="54"/>
        <v>0</v>
      </c>
      <c r="BW52" s="13">
        <f t="shared" si="55"/>
        <v>0</v>
      </c>
      <c r="BX52" s="13">
        <f t="shared" si="56"/>
        <v>0</v>
      </c>
      <c r="BY52" s="13">
        <f t="shared" si="57"/>
        <v>0</v>
      </c>
      <c r="BZ52" s="13">
        <f t="shared" si="58"/>
        <v>0</v>
      </c>
      <c r="CA52" s="13">
        <f t="shared" si="59"/>
        <v>0</v>
      </c>
      <c r="CB52" s="59">
        <f>+SUM(Data!BM52:BS52)*2+Data!BT52</f>
        <v>898.7676421337062</v>
      </c>
      <c r="CC52" s="59">
        <f>+SUM(Data!BN52:BT52)*2+Data!BU52</f>
        <v>890.31424389993367</v>
      </c>
      <c r="CD52" s="59">
        <f>+SUM(Data!BO52:BU52)*2+Data!BV52</f>
        <v>765.0514675527844</v>
      </c>
      <c r="CE52" s="59">
        <f>+SUM(Data!BP52:BV52)*2+Data!BW52</f>
        <v>672.64530258193338</v>
      </c>
      <c r="CF52" s="59">
        <f>+SUM(Data!BQ52:BW52)*2+Data!BX52</f>
        <v>653.69568849656889</v>
      </c>
      <c r="CG52" s="59">
        <f>+SUM(Data!BR52:BX52)*2+Data!BY52</f>
        <v>677.49357429979102</v>
      </c>
      <c r="CH52" s="59">
        <f>+SUM(Data!BS52:BY52)*2+Data!BZ52</f>
        <v>630.41759553482541</v>
      </c>
      <c r="CI52" s="59">
        <f>+SUM(Data!BT52:BZ52)*2+Data!CA52</f>
        <v>585.39233271826879</v>
      </c>
      <c r="CJ52" s="13">
        <f>+SUM(Data!AW52:BC52)*2+Data!BD52</f>
        <v>5227.5834917024722</v>
      </c>
      <c r="CK52" s="13">
        <f>+SUM(Data!AX52:BD52)*2+Data!BE52</f>
        <v>5190.1629671023602</v>
      </c>
      <c r="CL52" s="13">
        <f>+SUM(Data!AY52:BE52)*2+Data!BF52</f>
        <v>4453.8295054819091</v>
      </c>
      <c r="CM52" s="13">
        <f>+SUM(Data!AZ52:BF52)*2+Data!BG52</f>
        <v>3910.9542261831612</v>
      </c>
      <c r="CN52" s="13">
        <f>+SUM(Data!BA52:BG52)*2+Data!BH52</f>
        <v>3787.957231082557</v>
      </c>
      <c r="CO52" s="13">
        <f>+SUM(Data!BB52:BH52)*2+Data!BI52</f>
        <v>3918.5968756436164</v>
      </c>
      <c r="CP52" s="13">
        <f>+SUM(Data!BC52:BI52)*2+Data!BJ52</f>
        <v>3646.9504244564064</v>
      </c>
      <c r="CQ52" s="13">
        <f>+SUM(Data!BD52:BJ52)*2+Data!BK52</f>
        <v>3390.9134943801696</v>
      </c>
      <c r="CR52" s="59">
        <f>+SUM(Data!CC52:CI52)*2+Data!CJ52</f>
        <v>271.34507633168909</v>
      </c>
      <c r="CS52" s="59">
        <f>+SUM(Data!CD52:CJ52)*2+Data!CK52</f>
        <v>273.63831211057465</v>
      </c>
      <c r="CT52" s="59">
        <f>+SUM(Data!CE52:CK52)*2+Data!CL52</f>
        <v>239.16299032667501</v>
      </c>
      <c r="CU52" s="59">
        <f>+SUM(Data!CF52:CL52)*2+Data!CM52</f>
        <v>210.33073504930201</v>
      </c>
      <c r="CV52" s="59">
        <f>+SUM(Data!CG52:CM52)*2+Data!CN52</f>
        <v>210.61878479268199</v>
      </c>
      <c r="CW52" s="59">
        <f>+SUM(Data!CH52:CN52)*2+Data!CO52</f>
        <v>217.25022810625421</v>
      </c>
      <c r="CX52" s="59">
        <f>+SUM(Data!CI52:CO52)*2+Data!CP52</f>
        <v>203.65233885536256</v>
      </c>
      <c r="CY52" s="59">
        <f>+SUM(Data!CJ52:CP52)*2+Data!CQ52</f>
        <v>188.90647403554792</v>
      </c>
      <c r="CZ52" s="60">
        <f t="shared" si="60"/>
        <v>6397.6962101678673</v>
      </c>
      <c r="DA52" s="60">
        <f t="shared" si="61"/>
        <v>6354.1155231128687</v>
      </c>
      <c r="DB52" s="60">
        <f t="shared" si="62"/>
        <v>5458.0439633613687</v>
      </c>
      <c r="DC52" s="60">
        <f t="shared" si="63"/>
        <v>4793.9302638143972</v>
      </c>
      <c r="DD52" s="60">
        <f t="shared" si="64"/>
        <v>4652.2717043718085</v>
      </c>
      <c r="DE52" s="60">
        <f t="shared" si="65"/>
        <v>4813.3406780496616</v>
      </c>
      <c r="DF52" s="60">
        <f t="shared" si="66"/>
        <v>4481.0203588465938</v>
      </c>
      <c r="DG52" s="60">
        <f t="shared" si="67"/>
        <v>4165.2123011339863</v>
      </c>
      <c r="DH52" s="13">
        <f t="shared" si="68"/>
        <v>0</v>
      </c>
      <c r="DI52" s="13">
        <f t="shared" si="69"/>
        <v>0</v>
      </c>
      <c r="DJ52" s="13">
        <f t="shared" si="70"/>
        <v>0</v>
      </c>
      <c r="DK52" s="13">
        <f t="shared" si="71"/>
        <v>0</v>
      </c>
      <c r="DL52" s="13">
        <f t="shared" si="72"/>
        <v>0</v>
      </c>
      <c r="DM52" s="13">
        <f t="shared" si="73"/>
        <v>0</v>
      </c>
      <c r="DN52" s="13">
        <f t="shared" si="74"/>
        <v>0</v>
      </c>
      <c r="DO52" s="13">
        <f t="shared" si="75"/>
        <v>0</v>
      </c>
      <c r="DP52" s="50">
        <f>DH52*'Useful Constants'!$B$8</f>
        <v>0</v>
      </c>
      <c r="DQ52" s="50">
        <f>DI52*'Useful Constants'!$B$8</f>
        <v>0</v>
      </c>
      <c r="DR52" s="50">
        <f>DJ52*'Useful Constants'!$B$10</f>
        <v>0</v>
      </c>
      <c r="DS52" s="50">
        <f>DK52*'Useful Constants'!$B$10</f>
        <v>0</v>
      </c>
      <c r="DT52" s="50">
        <f>DL52*'Useful Constants'!$B$10</f>
        <v>0</v>
      </c>
      <c r="DU52" s="50">
        <f>DM52*'Useful Constants'!$B$10</f>
        <v>0</v>
      </c>
      <c r="DV52" s="50">
        <f>DN52*'Useful Constants'!$B$10</f>
        <v>0</v>
      </c>
      <c r="DW52" s="50">
        <f>DO52*'Useful Constants'!$B$10</f>
        <v>0</v>
      </c>
      <c r="DX52" s="14">
        <f>DH52*'Useful Constants'!$B$9</f>
        <v>0</v>
      </c>
      <c r="DY52" s="14">
        <f>DI52*'Useful Constants'!$B$9</f>
        <v>0</v>
      </c>
      <c r="DZ52" s="14">
        <f>DJ52*'Useful Constants'!$B$11</f>
        <v>0</v>
      </c>
      <c r="EA52" s="14">
        <f>DK52*'Useful Constants'!$B$11</f>
        <v>0</v>
      </c>
      <c r="EB52" s="14">
        <f>DL52*'Useful Constants'!$B$11</f>
        <v>0</v>
      </c>
      <c r="EC52" s="14">
        <f>DM52*'Useful Constants'!$B$11</f>
        <v>0</v>
      </c>
      <c r="ED52" s="14">
        <f>DN52*'Useful Constants'!$B$11</f>
        <v>0</v>
      </c>
      <c r="EE52" s="14">
        <f>DO52*'Useful Constants'!$B$11</f>
        <v>0</v>
      </c>
      <c r="EF52" s="78">
        <f>(SUM(Data!DI52:DO52)*2+Data!DP52)/('Useful Constants'!$B$1*1000000)*$K52/100</f>
        <v>15.799429377663692</v>
      </c>
      <c r="EG52" s="78">
        <f>(SUM(Data!DJ52:DP52)*2+Data!DQ52)/('Useful Constants'!$B$1*1000000)*$K52/100</f>
        <v>13.210978482908779</v>
      </c>
      <c r="EH52" s="78">
        <f>(SUM(Data!DK52:DQ52)*2+Data!DR52)/('Useful Constants'!$B$1*1000000)*$K52/100</f>
        <v>10.930934453663369</v>
      </c>
      <c r="EI52" s="78">
        <f>(SUM(Data!DL52:DR52)*2+Data!DS52)/('Useful Constants'!$B$1*1000000)*$K52/100</f>
        <v>10.173047697945677</v>
      </c>
      <c r="EJ52" s="78">
        <f>(SUM(Data!DM52:DS52)*2+Data!DT52)/('Useful Constants'!$B$1*1000000)*$K52/100</f>
        <v>9.6275966121026695</v>
      </c>
      <c r="EK52" s="78">
        <f>(SUM(Data!DN52:DT52)*2+Data!DU52)/('Useful Constants'!$B$1*1000000)*$K52/100</f>
        <v>10.21068551233326</v>
      </c>
      <c r="EL52" s="78">
        <f>(SUM(Data!DO52:DU52)*2+Data!DV52)/('Useful Constants'!$B$1*1000000)*$K52/100</f>
        <v>11.410120435965176</v>
      </c>
      <c r="EM52" s="78">
        <f>(SUM(Data!DP52:DV52)*2+Data!DW52)/('Useful Constants'!$B$1*1000000)*$K52/100</f>
        <v>12.663013144246568</v>
      </c>
      <c r="EN52" s="79">
        <f>EF52*'Useful Constants'!$B$3</f>
        <v>1327.1520677237502</v>
      </c>
      <c r="EO52" s="79">
        <f>EG52*'Useful Constants'!$B$3</f>
        <v>1109.7221925643373</v>
      </c>
      <c r="EP52" s="79">
        <f>EH52*'Useful Constants'!$B$3</f>
        <v>918.19849410772304</v>
      </c>
      <c r="EQ52" s="79">
        <f>EI52*'Useful Constants'!$B$3</f>
        <v>854.53600662743679</v>
      </c>
      <c r="ER52" s="79">
        <f>EJ52*'Useful Constants'!$B$3</f>
        <v>808.71811541662419</v>
      </c>
      <c r="ES52" s="79">
        <f>EK52*'Useful Constants'!$B$3</f>
        <v>857.69758303599383</v>
      </c>
      <c r="ET52" s="79">
        <f>EL52*'Useful Constants'!$B$3</f>
        <v>958.45011662107481</v>
      </c>
      <c r="EU52" s="79">
        <f>EM52*'Useful Constants'!$B$3</f>
        <v>1063.6931041167118</v>
      </c>
      <c r="EV52" s="78">
        <f>EF52*'Useful Constants'!$B$4</f>
        <v>442.38402257458335</v>
      </c>
      <c r="EW52" s="78">
        <f>EG52*'Useful Constants'!$B$4</f>
        <v>369.90739752144577</v>
      </c>
      <c r="EX52" s="78">
        <f>EH52*'Useful Constants'!$B$4</f>
        <v>306.06616470257433</v>
      </c>
      <c r="EY52" s="78">
        <f>EI52*'Useful Constants'!$B$4</f>
        <v>284.84533554247895</v>
      </c>
      <c r="EZ52" s="78">
        <f>EJ52*'Useful Constants'!$B$4</f>
        <v>269.57270513887477</v>
      </c>
      <c r="FA52" s="78">
        <f>EK52*'Useful Constants'!$B$4</f>
        <v>285.8991943453313</v>
      </c>
      <c r="FB52" s="78">
        <f>EL52*'Useful Constants'!$B$4</f>
        <v>319.4833722070249</v>
      </c>
      <c r="FC52" s="78">
        <f>EM52*'Useful Constants'!$B$4</f>
        <v>354.56436803890392</v>
      </c>
      <c r="FD52" s="40">
        <f t="shared" si="76"/>
        <v>0.33224876587630203</v>
      </c>
      <c r="FE52" s="40">
        <f t="shared" si="77"/>
        <v>0.33669363398886776</v>
      </c>
      <c r="FF52" s="40">
        <f t="shared" si="78"/>
        <v>0.42885010899825354</v>
      </c>
      <c r="FG52" s="40">
        <f t="shared" si="79"/>
        <v>0.49743868199634378</v>
      </c>
      <c r="FH52" s="40">
        <f t="shared" si="80"/>
        <v>0.51210746474303748</v>
      </c>
      <c r="FI52" s="40">
        <f t="shared" si="81"/>
        <v>0.49545184055449831</v>
      </c>
      <c r="FJ52" s="40">
        <f t="shared" si="82"/>
        <v>0.52985774223942683</v>
      </c>
      <c r="FK52" s="40">
        <f t="shared" si="83"/>
        <v>0.56260958966188801</v>
      </c>
      <c r="FL52" s="4">
        <f t="shared" si="84"/>
        <v>0.541480576342525</v>
      </c>
      <c r="FM52" s="4">
        <f t="shared" si="85"/>
        <v>0.55677750214595567</v>
      </c>
      <c r="FN52" s="4">
        <f t="shared" si="86"/>
        <v>0.62072060859382239</v>
      </c>
      <c r="FO52" s="4">
        <f t="shared" si="87"/>
        <v>0.66363009858494226</v>
      </c>
      <c r="FP52" s="4">
        <f t="shared" si="88"/>
        <v>0.67470089400912914</v>
      </c>
      <c r="FQ52" s="4">
        <f t="shared" si="89"/>
        <v>0.66230372189164455</v>
      </c>
      <c r="FR52" s="4">
        <f t="shared" si="90"/>
        <v>0.67597555087831174</v>
      </c>
      <c r="FS52" s="4">
        <f t="shared" si="91"/>
        <v>0.68841431780003592</v>
      </c>
      <c r="FT52" s="38">
        <f t="shared" si="92"/>
        <v>0.43014035640361575</v>
      </c>
      <c r="FU52" s="38">
        <f t="shared" si="93"/>
        <v>0.43964686240324413</v>
      </c>
      <c r="FV52" s="38">
        <f t="shared" si="94"/>
        <v>0.51864049022091363</v>
      </c>
      <c r="FW52" s="38">
        <f t="shared" si="95"/>
        <v>0.57523975475244105</v>
      </c>
      <c r="FX52" s="38">
        <f t="shared" si="96"/>
        <v>0.58822760520155826</v>
      </c>
      <c r="FY52" s="38">
        <f t="shared" si="97"/>
        <v>0.5735603412539757</v>
      </c>
      <c r="FZ52" s="38">
        <f t="shared" si="98"/>
        <v>0.5982799973463282</v>
      </c>
      <c r="GA52" s="38">
        <f t="shared" si="99"/>
        <v>0.62153677656543649</v>
      </c>
    </row>
    <row r="53" spans="1:183" x14ac:dyDescent="0.25">
      <c r="A53" s="1" t="str">
        <f>Data!A53</f>
        <v>MT_BILLINGS-LOGAN-IAP_726770_TY3A</v>
      </c>
      <c r="B53" s="1" t="str">
        <f>TY3A_REP_CITIES!B53</f>
        <v>Billings</v>
      </c>
      <c r="C53" s="1" t="str">
        <f>TY3A_REP_CITIES!C53</f>
        <v>Yellowstone</v>
      </c>
      <c r="D53" s="2" t="str">
        <f>TY3A_REP_CITIES!A53</f>
        <v>MT</v>
      </c>
      <c r="E53" s="42">
        <f>TY3A_REP_CITIES!E53</f>
        <v>161300</v>
      </c>
      <c r="F53" s="2">
        <f>TY3A_REP_CITIES!G53</f>
        <v>6</v>
      </c>
      <c r="G53" s="2" t="str">
        <f>TY3A_REP_CITIES!H53</f>
        <v>Cold</v>
      </c>
      <c r="H53" s="2" t="str">
        <f>TY3A_REP_CITIES!I53</f>
        <v>Rocky Mountains</v>
      </c>
      <c r="I53" s="2">
        <f>Data!B53</f>
        <v>45.8</v>
      </c>
      <c r="J53" s="2">
        <f>Data!C53</f>
        <v>-108.55</v>
      </c>
      <c r="K53" s="2">
        <f>VLOOKUP(D53,Table1[],2,FALSE)</f>
        <v>2.2000000000000002</v>
      </c>
      <c r="L53" s="2">
        <v>0.5</v>
      </c>
      <c r="M53" s="10">
        <f>Data!N53</f>
        <v>4996.0742700000001</v>
      </c>
      <c r="N53" s="10">
        <f>Data!Q53</f>
        <v>29308</v>
      </c>
      <c r="O53" s="10">
        <f>Data!O53</f>
        <v>54536790106.809998</v>
      </c>
      <c r="P53" s="10">
        <f>Data!P53</f>
        <v>56809156361.260506</v>
      </c>
      <c r="Q53" s="10">
        <f>Data!S53*15</f>
        <v>42863.302575962749</v>
      </c>
      <c r="R53" s="48">
        <f>SUM(Data!U53:AA53)*2+Data!AB53</f>
        <v>670.89181310036042</v>
      </c>
      <c r="S53" s="48">
        <f>SUM(Data!V53:AB53)*2+Data!AC53</f>
        <v>691.08617647964047</v>
      </c>
      <c r="T53" s="48">
        <f>SUM(Data!W53:AC53)*2+Data!AD53</f>
        <v>571.00346534918606</v>
      </c>
      <c r="U53" s="48">
        <f>SUM(Data!X53:AD53)*2+Data!AE53</f>
        <v>548.83756043719904</v>
      </c>
      <c r="V53" s="48">
        <f>SUM(Data!Y53:AE53)*2+Data!AF53</f>
        <v>535.93019360890264</v>
      </c>
      <c r="W53" s="48">
        <f>SUM(Data!Z53:AF53)*2+Data!AG53</f>
        <v>478.83043941832165</v>
      </c>
      <c r="X53" s="48">
        <f>SUM(Data!AA53:AG53)*2+Data!AH53</f>
        <v>439.80266492673826</v>
      </c>
      <c r="Y53" s="48">
        <f>SUM(Data!AB53:AH53)*2+Data!AI53</f>
        <v>383.87692616784744</v>
      </c>
      <c r="Z53" s="80">
        <f>(SUM(Data!CS53:CY53)*2+Data!CZ53)/('Useful Constants'!$B$1*1000000)*$K53/100</f>
        <v>4.1382176462715183E-4</v>
      </c>
      <c r="AA53" s="80">
        <f>(SUM(Data!CT53:CZ53)*2+Data!DA53)/('Useful Constants'!$B$1*1000000)*$K53/100</f>
        <v>3.8702087775430177E-4</v>
      </c>
      <c r="AB53" s="80">
        <f>(SUM(Data!CU53:DA53)*2+Data!DB53)/('Useful Constants'!$B$1*1000000)*$K53/100</f>
        <v>3.7503755485770768E-4</v>
      </c>
      <c r="AC53" s="80">
        <f>(SUM(Data!CV53:DB53)*2+Data!DC53)/('Useful Constants'!$B$1*1000000)*$K53/100</f>
        <v>3.6359505924189674E-4</v>
      </c>
      <c r="AD53" s="80">
        <f>(SUM(Data!CW53:DC53)*2+Data!DD53)/('Useful Constants'!$B$1*1000000)*$K53/100</f>
        <v>3.2399506914761509E-4</v>
      </c>
      <c r="AE53" s="80">
        <f>(SUM(Data!CX53:DD53)*2+Data!DE53)/('Useful Constants'!$B$1*1000000)*$K53/100</f>
        <v>2.3800333708567302E-4</v>
      </c>
      <c r="AF53" s="80">
        <f>(SUM(Data!CY53:DE53)*2+Data!DF53)/('Useful Constants'!$B$1*1000000)*$K53/100</f>
        <v>8.2184510030209931E-5</v>
      </c>
      <c r="AG53" s="80">
        <f>(SUM(Data!CZ53:DF53)*2+Data!DG53)/('Useful Constants'!$B$1*1000000)*$K53/100</f>
        <v>2.0424709122409054E-5</v>
      </c>
      <c r="AH53" s="48">
        <f>Z53*'Useful Constants'!$B$3</f>
        <v>3.4761028228680754E-2</v>
      </c>
      <c r="AI53" s="48">
        <f>AA53*'Useful Constants'!$B$3</f>
        <v>3.2509753731361349E-2</v>
      </c>
      <c r="AJ53" s="48">
        <f>AB53*'Useful Constants'!$B$3</f>
        <v>3.1503154608047444E-2</v>
      </c>
      <c r="AK53" s="48">
        <f>AC53*'Useful Constants'!$B$3</f>
        <v>3.0541984976319325E-2</v>
      </c>
      <c r="AL53" s="48">
        <f>AD53*'Useful Constants'!$B$3</f>
        <v>2.7215585808399667E-2</v>
      </c>
      <c r="AM53" s="48">
        <f>AE53*'Useful Constants'!$B$3</f>
        <v>1.9992280315196533E-2</v>
      </c>
      <c r="AN53" s="48">
        <f>AF53*'Useful Constants'!$B$3</f>
        <v>6.9034988425376344E-3</v>
      </c>
      <c r="AO53" s="48">
        <f>AG53*'Useful Constants'!$B$3</f>
        <v>1.7156755662823605E-3</v>
      </c>
      <c r="AP53" s="10">
        <f>Z53*'Useful Constants'!$B$4</f>
        <v>1.1587009409560251E-2</v>
      </c>
      <c r="AQ53" s="10">
        <f>AA53*'Useful Constants'!$B$4</f>
        <v>1.083658457712045E-2</v>
      </c>
      <c r="AR53" s="10">
        <f>AB53*'Useful Constants'!$B$4</f>
        <v>1.0501051536015816E-2</v>
      </c>
      <c r="AS53" s="10">
        <f>AC53*'Useful Constants'!$B$4</f>
        <v>1.018066165877311E-2</v>
      </c>
      <c r="AT53" s="10">
        <f>AD53*'Useful Constants'!$B$4</f>
        <v>9.0718619361332218E-3</v>
      </c>
      <c r="AU53" s="10">
        <f>AE53*'Useful Constants'!$B$4</f>
        <v>6.6640934383988444E-3</v>
      </c>
      <c r="AV53" s="10">
        <f>AF53*'Useful Constants'!$B$4</f>
        <v>2.3011662808458781E-3</v>
      </c>
      <c r="AW53" s="10">
        <f>AG53*'Useful Constants'!$B$4</f>
        <v>5.7189185542745353E-4</v>
      </c>
      <c r="AX53" s="48">
        <f>P53/1000000/'Useful Constants'!$B$1*K53/100*'Useful Constants'!$B$3*15</f>
        <v>31494.996286682821</v>
      </c>
      <c r="AY53" s="48">
        <f>P53/1000000/'Useful Constants'!$B$1*L53/100*'Useful Constants'!$B$3*15</f>
        <v>7157.9537015188234</v>
      </c>
      <c r="AZ53" s="48">
        <f>P53/1000000/'Useful Constants'!$B$1*K53/100*'Useful Constants'!$B$4*15</f>
        <v>10498.332095560942</v>
      </c>
      <c r="BA53" s="48">
        <f>P53/1000000/'Useful Constants'!$B$1*L53/100*'Useful Constants'!$B$4*15</f>
        <v>2385.9845671729408</v>
      </c>
      <c r="BB53" s="7">
        <f>Data!AN53</f>
        <v>4996.0742700000001</v>
      </c>
      <c r="BC53" s="7">
        <f>Data!AQ53</f>
        <v>4996.0742700000001</v>
      </c>
      <c r="BD53" s="7">
        <f>Data!AT53</f>
        <v>9618.6826500000006</v>
      </c>
      <c r="BE53" s="6">
        <f>Data!AO53</f>
        <v>40568312102.997704</v>
      </c>
      <c r="BF53" s="6">
        <f>Data!AP53</f>
        <v>14556049252.1985</v>
      </c>
      <c r="BG53" s="6">
        <f>Data!AR53</f>
        <v>11342144543.7959</v>
      </c>
      <c r="BH53" s="6">
        <f>Data!AS53</f>
        <v>11342144543.7959</v>
      </c>
      <c r="BI53" s="8">
        <f t="shared" si="50"/>
        <v>0.78150559104171402</v>
      </c>
      <c r="BJ53" s="8">
        <f t="shared" si="51"/>
        <v>0.56204881957636144</v>
      </c>
      <c r="BK53" s="13">
        <f>BB53*'Useful Constants'!$B$5/'Useful Constants'!$B$6*'Useful Constants'!$B$7</f>
        <v>1.278495405693</v>
      </c>
      <c r="BL53" s="52">
        <f>1-VLOOKUP($G53,'Useful Constants'!$A$17:$X$23,10,FALSE)</f>
        <v>6.6471999999999865E-2</v>
      </c>
      <c r="BM53" s="52">
        <f>1-VLOOKUP($G53,'Useful Constants'!$A$17:$X$23,12,FALSE)</f>
        <v>4.945672000000001E-2</v>
      </c>
      <c r="BN53" s="52">
        <f>1-VLOOKUP($G53,'Useful Constants'!$A$17:$X$23,14,FALSE)</f>
        <v>3.4455679999999989E-2</v>
      </c>
      <c r="BO53" s="52">
        <f>1-VLOOKUP($G53,'Useful Constants'!$A$17:$X$23,16,FALSE)</f>
        <v>2.1468880000000024E-2</v>
      </c>
      <c r="BP53" s="52">
        <f>1-VLOOKUP($G53,'Useful Constants'!$A$17:$X$23,18,FALSE)</f>
        <v>0</v>
      </c>
      <c r="BQ53" s="52">
        <f>1-VLOOKUP($G53,'Useful Constants'!$A$17:$X$23,20, FALSE)</f>
        <v>0</v>
      </c>
      <c r="BR53" s="52">
        <f>1-VLOOKUP($G53,'Useful Constants'!$A$17:$X$23,22, FALSE)</f>
        <v>0</v>
      </c>
      <c r="BS53" s="52">
        <f>1-VLOOKUP($G53,'Useful Constants'!$A$17:$X$23,24, FALSE)</f>
        <v>0</v>
      </c>
      <c r="BT53" s="13">
        <f t="shared" si="52"/>
        <v>8.498414660722492E-2</v>
      </c>
      <c r="BU53" s="13">
        <f t="shared" si="53"/>
        <v>6.3230189300645126E-2</v>
      </c>
      <c r="BV53" s="13">
        <f t="shared" si="54"/>
        <v>4.4051428580028175E-2</v>
      </c>
      <c r="BW53" s="13">
        <f t="shared" si="55"/>
        <v>2.7447864445374365E-2</v>
      </c>
      <c r="BX53" s="13">
        <f t="shared" si="56"/>
        <v>0</v>
      </c>
      <c r="BY53" s="13">
        <f t="shared" si="57"/>
        <v>0</v>
      </c>
      <c r="BZ53" s="13">
        <f t="shared" si="58"/>
        <v>0</v>
      </c>
      <c r="CA53" s="13">
        <f t="shared" si="59"/>
        <v>0</v>
      </c>
      <c r="CB53" s="59">
        <f>+SUM(Data!BM53:BS53)*2+Data!BT53</f>
        <v>3776.0129994076715</v>
      </c>
      <c r="CC53" s="59">
        <f>+SUM(Data!BN53:BT53)*2+Data!BU53</f>
        <v>3881.0714183366358</v>
      </c>
      <c r="CD53" s="59">
        <f>+SUM(Data!BO53:BU53)*2+Data!BV53</f>
        <v>3200.4669138744634</v>
      </c>
      <c r="CE53" s="59">
        <f>+SUM(Data!BP53:BV53)*2+Data!BW53</f>
        <v>3068.0060899799246</v>
      </c>
      <c r="CF53" s="59">
        <f>+SUM(Data!BQ53:BW53)*2+Data!BX53</f>
        <v>2997.3876177196785</v>
      </c>
      <c r="CG53" s="59">
        <f>+SUM(Data!BR53:BX53)*2+Data!BY53</f>
        <v>2668.9427612714198</v>
      </c>
      <c r="CH53" s="59">
        <f>+SUM(Data!BS53:BY53)*2+Data!BZ53</f>
        <v>2443.0719074449739</v>
      </c>
      <c r="CI53" s="59">
        <f>+SUM(Data!BT53:BZ53)*2+Data!CA53</f>
        <v>2133.7951368182921</v>
      </c>
      <c r="CJ53" s="13">
        <f>+SUM(Data!AW53:BC53)*2+Data!BD53</f>
        <v>16419.225620062516</v>
      </c>
      <c r="CK53" s="13">
        <f>+SUM(Data!AX53:BD53)*2+Data!BE53</f>
        <v>16866.326012974758</v>
      </c>
      <c r="CL53" s="13">
        <f>+SUM(Data!AY53:BE53)*2+Data!BF53</f>
        <v>13920.418380424178</v>
      </c>
      <c r="CM53" s="13">
        <f>+SUM(Data!AZ53:BF53)*2+Data!BG53</f>
        <v>13333.02073075382</v>
      </c>
      <c r="CN53" s="13">
        <f>+SUM(Data!BA53:BG53)*2+Data!BH53</f>
        <v>13021.201087129641</v>
      </c>
      <c r="CO53" s="13">
        <f>+SUM(Data!BB53:BH53)*2+Data!BI53</f>
        <v>11579.994397251392</v>
      </c>
      <c r="CP53" s="13">
        <f>+SUM(Data!BC53:BI53)*2+Data!BJ53</f>
        <v>10591.302134889542</v>
      </c>
      <c r="CQ53" s="13">
        <f>+SUM(Data!BD53:BJ53)*2+Data!BK53</f>
        <v>9260.6173985235037</v>
      </c>
      <c r="CR53" s="59">
        <f>+SUM(Data!CC53:CI53)*2+Data!CJ53</f>
        <v>13386.892434414558</v>
      </c>
      <c r="CS53" s="59">
        <f>+SUM(Data!CD53:CJ53)*2+Data!CK53</f>
        <v>14084.072032344628</v>
      </c>
      <c r="CT53" s="59">
        <f>+SUM(Data!CE53:CK53)*2+Data!CL53</f>
        <v>11855.540736377881</v>
      </c>
      <c r="CU53" s="59">
        <f>+SUM(Data!CF53:CL53)*2+Data!CM53</f>
        <v>11659.350583122045</v>
      </c>
      <c r="CV53" s="59">
        <f>+SUM(Data!CG53:CM53)*2+Data!CN53</f>
        <v>11342.125987247269</v>
      </c>
      <c r="CW53" s="59">
        <f>+SUM(Data!CH53:CN53)*2+Data!CO53</f>
        <v>10404.486271852918</v>
      </c>
      <c r="CX53" s="59">
        <f>+SUM(Data!CI53:CO53)*2+Data!CP53</f>
        <v>9814.5806796249981</v>
      </c>
      <c r="CY53" s="59">
        <f>+SUM(Data!CJ53:CP53)*2+Data!CQ53</f>
        <v>8495.1677663684877</v>
      </c>
      <c r="CZ53" s="60">
        <f t="shared" si="60"/>
        <v>33582.131053884747</v>
      </c>
      <c r="DA53" s="60">
        <f t="shared" si="61"/>
        <v>34831.469463656023</v>
      </c>
      <c r="DB53" s="60">
        <f t="shared" si="62"/>
        <v>28976.426030676521</v>
      </c>
      <c r="DC53" s="60">
        <f t="shared" si="63"/>
        <v>28060.377403855789</v>
      </c>
      <c r="DD53" s="60">
        <f t="shared" si="64"/>
        <v>27360.71469209659</v>
      </c>
      <c r="DE53" s="60">
        <f t="shared" si="65"/>
        <v>24653.423430375729</v>
      </c>
      <c r="DF53" s="60">
        <f t="shared" si="66"/>
        <v>22848.954721959512</v>
      </c>
      <c r="DG53" s="60">
        <f t="shared" si="67"/>
        <v>19889.580301710281</v>
      </c>
      <c r="DH53" s="13">
        <f t="shared" si="68"/>
        <v>8.7378369567755507E-2</v>
      </c>
      <c r="DI53" s="13">
        <f t="shared" si="69"/>
        <v>6.5011547084020571E-2</v>
      </c>
      <c r="DJ53" s="13">
        <f t="shared" si="70"/>
        <v>4.5292471126915514E-2</v>
      </c>
      <c r="DK53" s="13">
        <f t="shared" si="71"/>
        <v>2.8221141696440622E-2</v>
      </c>
      <c r="DL53" s="13">
        <f t="shared" si="72"/>
        <v>0</v>
      </c>
      <c r="DM53" s="13">
        <f t="shared" si="73"/>
        <v>0</v>
      </c>
      <c r="DN53" s="13">
        <f t="shared" si="74"/>
        <v>0</v>
      </c>
      <c r="DO53" s="13">
        <f t="shared" si="75"/>
        <v>0</v>
      </c>
      <c r="DP53" s="50">
        <f>DH53*'Useful Constants'!$B$8</f>
        <v>372.23185435863849</v>
      </c>
      <c r="DQ53" s="50">
        <f>DI53*'Useful Constants'!$B$8</f>
        <v>276.94919057792765</v>
      </c>
      <c r="DR53" s="50">
        <f>DJ53*'Useful Constants'!$B$10</f>
        <v>110.0607048384047</v>
      </c>
      <c r="DS53" s="50">
        <f>DK53*'Useful Constants'!$B$10</f>
        <v>68.577374322350707</v>
      </c>
      <c r="DT53" s="50">
        <f>DL53*'Useful Constants'!$B$10</f>
        <v>0</v>
      </c>
      <c r="DU53" s="50">
        <f>DM53*'Useful Constants'!$B$10</f>
        <v>0</v>
      </c>
      <c r="DV53" s="50">
        <f>DN53*'Useful Constants'!$B$10</f>
        <v>0</v>
      </c>
      <c r="DW53" s="50">
        <f>DO53*'Useful Constants'!$B$10</f>
        <v>0</v>
      </c>
      <c r="DX53" s="14">
        <f>DH53*'Useful Constants'!$B$9</f>
        <v>168.11598304836158</v>
      </c>
      <c r="DY53" s="14">
        <f>DI53*'Useful Constants'!$B$9</f>
        <v>125.08221658965557</v>
      </c>
      <c r="DZ53" s="14">
        <f>DJ53*'Useful Constants'!$B$11</f>
        <v>30.663002952921804</v>
      </c>
      <c r="EA53" s="14">
        <f>DK53*'Useful Constants'!$B$11</f>
        <v>19.105712928490302</v>
      </c>
      <c r="EB53" s="14">
        <f>DL53*'Useful Constants'!$B$11</f>
        <v>0</v>
      </c>
      <c r="EC53" s="14">
        <f>DM53*'Useful Constants'!$B$11</f>
        <v>0</v>
      </c>
      <c r="ED53" s="14">
        <f>DN53*'Useful Constants'!$B$11</f>
        <v>0</v>
      </c>
      <c r="EE53" s="14">
        <f>DO53*'Useful Constants'!$B$11</f>
        <v>0</v>
      </c>
      <c r="EF53" s="78">
        <f>(SUM(Data!DI53:DO53)*2+Data!DP53)/('Useful Constants'!$B$1*1000000)*$K53/100</f>
        <v>1.4699402652312921E-2</v>
      </c>
      <c r="EG53" s="78">
        <f>(SUM(Data!DJ53:DP53)*2+Data!DQ53)/('Useful Constants'!$B$1*1000000)*$K53/100</f>
        <v>1.3375901326501136E-2</v>
      </c>
      <c r="EH53" s="78">
        <f>(SUM(Data!DK53:DQ53)*2+Data!DR53)/('Useful Constants'!$B$1*1000000)*$K53/100</f>
        <v>1.2906782653858912E-2</v>
      </c>
      <c r="EI53" s="78">
        <f>(SUM(Data!DL53:DR53)*2+Data!DS53)/('Useful Constants'!$B$1*1000000)*$K53/100</f>
        <v>1.2295254520732329E-2</v>
      </c>
      <c r="EJ53" s="78">
        <f>(SUM(Data!DM53:DS53)*2+Data!DT53)/('Useful Constants'!$B$1*1000000)*$K53/100</f>
        <v>9.9031805201657622E-3</v>
      </c>
      <c r="EK53" s="78">
        <f>(SUM(Data!DN53:DT53)*2+Data!DU53)/('Useful Constants'!$B$1*1000000)*$K53/100</f>
        <v>7.2636768181295053E-3</v>
      </c>
      <c r="EL53" s="78">
        <f>(SUM(Data!DO53:DU53)*2+Data!DV53)/('Useful Constants'!$B$1*1000000)*$K53/100</f>
        <v>2.3761597555816412E-3</v>
      </c>
      <c r="EM53" s="78">
        <f>(SUM(Data!DP53:DV53)*2+Data!DW53)/('Useful Constants'!$B$1*1000000)*$K53/100</f>
        <v>5.5292428852640231E-4</v>
      </c>
      <c r="EN53" s="79">
        <f>EF53*'Useful Constants'!$B$3</f>
        <v>1.2347498227942855</v>
      </c>
      <c r="EO53" s="79">
        <f>EG53*'Useful Constants'!$B$3</f>
        <v>1.1235757114260954</v>
      </c>
      <c r="EP53" s="79">
        <f>EH53*'Useful Constants'!$B$3</f>
        <v>1.0841697429241486</v>
      </c>
      <c r="EQ53" s="79">
        <f>EI53*'Useful Constants'!$B$3</f>
        <v>1.0328013797415156</v>
      </c>
      <c r="ER53" s="79">
        <f>EJ53*'Useful Constants'!$B$3</f>
        <v>0.83186716369392399</v>
      </c>
      <c r="ES53" s="79">
        <f>EK53*'Useful Constants'!$B$3</f>
        <v>0.61014885272287844</v>
      </c>
      <c r="ET53" s="79">
        <f>EL53*'Useful Constants'!$B$3</f>
        <v>0.19959741946885787</v>
      </c>
      <c r="EU53" s="79">
        <f>EM53*'Useful Constants'!$B$3</f>
        <v>4.6445640236217792E-2</v>
      </c>
      <c r="EV53" s="78">
        <f>EF53*'Useful Constants'!$B$4</f>
        <v>0.41158327426476177</v>
      </c>
      <c r="EW53" s="78">
        <f>EG53*'Useful Constants'!$B$4</f>
        <v>0.37452523714203179</v>
      </c>
      <c r="EX53" s="78">
        <f>EH53*'Useful Constants'!$B$4</f>
        <v>0.36138991430804951</v>
      </c>
      <c r="EY53" s="78">
        <f>EI53*'Useful Constants'!$B$4</f>
        <v>0.34426712658050523</v>
      </c>
      <c r="EZ53" s="78">
        <f>EJ53*'Useful Constants'!$B$4</f>
        <v>0.27728905456464137</v>
      </c>
      <c r="FA53" s="78">
        <f>EK53*'Useful Constants'!$B$4</f>
        <v>0.20338295090762615</v>
      </c>
      <c r="FB53" s="78">
        <f>EL53*'Useful Constants'!$B$4</f>
        <v>6.6532473156285951E-2</v>
      </c>
      <c r="FC53" s="78">
        <f>EM53*'Useful Constants'!$B$4</f>
        <v>1.5481880078739265E-2</v>
      </c>
      <c r="FD53" s="40">
        <f t="shared" si="76"/>
        <v>0.2286033651211557</v>
      </c>
      <c r="FE53" s="40">
        <f t="shared" si="77"/>
        <v>0.20027647129583961</v>
      </c>
      <c r="FF53" s="40">
        <f t="shared" si="78"/>
        <v>0.332867756581261</v>
      </c>
      <c r="FG53" s="40">
        <f t="shared" si="79"/>
        <v>0.35362833263481763</v>
      </c>
      <c r="FH53" s="40">
        <f t="shared" si="80"/>
        <v>0.36955764086041842</v>
      </c>
      <c r="FI53" s="40">
        <f t="shared" si="81"/>
        <v>0.43119035185400711</v>
      </c>
      <c r="FJ53" s="40">
        <f t="shared" si="82"/>
        <v>0.47234835481534693</v>
      </c>
      <c r="FK53" s="40">
        <f t="shared" si="83"/>
        <v>0.54009531880037609</v>
      </c>
      <c r="FL53" s="4">
        <f t="shared" si="84"/>
        <v>0.58685043075963839</v>
      </c>
      <c r="FM53" s="4">
        <f t="shared" si="85"/>
        <v>0.57291491388279248</v>
      </c>
      <c r="FN53" s="4">
        <f t="shared" si="86"/>
        <v>0.64565072400909951</v>
      </c>
      <c r="FO53" s="4">
        <f t="shared" si="87"/>
        <v>0.65722358840067818</v>
      </c>
      <c r="FP53" s="4">
        <f t="shared" si="88"/>
        <v>0.66653492248235491</v>
      </c>
      <c r="FQ53" s="4">
        <f t="shared" si="89"/>
        <v>0.69932309761874023</v>
      </c>
      <c r="FR53" s="4">
        <f t="shared" si="90"/>
        <v>0.72120238912390378</v>
      </c>
      <c r="FS53" s="4">
        <f t="shared" si="91"/>
        <v>0.75714780361803002</v>
      </c>
      <c r="FT53" s="38">
        <f t="shared" si="92"/>
        <v>0.40178053161227884</v>
      </c>
      <c r="FU53" s="38">
        <f t="shared" si="93"/>
        <v>0.38062152141186961</v>
      </c>
      <c r="FV53" s="38">
        <f t="shared" si="94"/>
        <v>0.48494044026412358</v>
      </c>
      <c r="FW53" s="38">
        <f t="shared" si="95"/>
        <v>0.50121510477755971</v>
      </c>
      <c r="FX53" s="38">
        <f t="shared" si="96"/>
        <v>0.51387238638926447</v>
      </c>
      <c r="FY53" s="38">
        <f t="shared" si="97"/>
        <v>0.5615297776676792</v>
      </c>
      <c r="FZ53" s="38">
        <f t="shared" si="98"/>
        <v>0.59334278839418797</v>
      </c>
      <c r="GA53" s="38">
        <f t="shared" si="99"/>
        <v>0.64566069070155141</v>
      </c>
    </row>
    <row r="54" spans="1:183" x14ac:dyDescent="0.25">
      <c r="A54" s="1" t="str">
        <f>Data!A54</f>
        <v>NC_CHARLOTTE-DOUGLAS-IAP_723140_TY3A</v>
      </c>
      <c r="B54" s="1" t="str">
        <f>TY3A_REP_CITIES!B54</f>
        <v>Charlotte</v>
      </c>
      <c r="C54" s="1" t="str">
        <f>TY3A_REP_CITIES!C54</f>
        <v>Mecklenburg</v>
      </c>
      <c r="D54" s="2" t="str">
        <f>TY3A_REP_CITIES!A54</f>
        <v>NC</v>
      </c>
      <c r="E54" s="42">
        <f>TY3A_REP_CITIES!E54</f>
        <v>1110356</v>
      </c>
      <c r="F54" s="2">
        <f>TY3A_REP_CITIES!G54</f>
        <v>3</v>
      </c>
      <c r="G54" s="2" t="str">
        <f>TY3A_REP_CITIES!H54</f>
        <v>Mixed-Humid</v>
      </c>
      <c r="H54" s="2" t="str">
        <f>TY3A_REP_CITIES!I54</f>
        <v>Southeast</v>
      </c>
      <c r="I54" s="2">
        <f>Data!B54</f>
        <v>35.22</v>
      </c>
      <c r="J54" s="2">
        <f>Data!C54</f>
        <v>-80.95</v>
      </c>
      <c r="K54" s="2">
        <f>VLOOKUP(D54,Table1[],2,FALSE)</f>
        <v>1</v>
      </c>
      <c r="L54" s="2">
        <v>0.5</v>
      </c>
      <c r="M54" s="10">
        <f>Data!N54</f>
        <v>5339.6141799999996</v>
      </c>
      <c r="N54" s="10">
        <f>Data!Q54</f>
        <v>29308</v>
      </c>
      <c r="O54" s="10">
        <f>Data!O54</f>
        <v>18713933009.364799</v>
      </c>
      <c r="P54" s="10">
        <f>Data!P54</f>
        <v>19493680218.088337</v>
      </c>
      <c r="Q54" s="10">
        <f>Data!S54*15</f>
        <v>14708.254215103501</v>
      </c>
      <c r="R54" s="48">
        <f>SUM(Data!U54:AA54)*2+Data!AB54</f>
        <v>224.02115391187908</v>
      </c>
      <c r="S54" s="48">
        <f>SUM(Data!V54:AB54)*2+Data!AC54</f>
        <v>214.80571589415823</v>
      </c>
      <c r="T54" s="48">
        <f>SUM(Data!W54:AC54)*2+Data!AD54</f>
        <v>193.33571969963131</v>
      </c>
      <c r="U54" s="48">
        <f>SUM(Data!X54:AD54)*2+Data!AE54</f>
        <v>170.89403401558448</v>
      </c>
      <c r="V54" s="48">
        <f>SUM(Data!Y54:AE54)*2+Data!AF54</f>
        <v>180.13418544662102</v>
      </c>
      <c r="W54" s="48">
        <f>SUM(Data!Z54:AF54)*2+Data!AG54</f>
        <v>170.78336933947764</v>
      </c>
      <c r="X54" s="48">
        <f>SUM(Data!AA54:AG54)*2+Data!AH54</f>
        <v>161.68474193267053</v>
      </c>
      <c r="Y54" s="48">
        <f>SUM(Data!AB54:AH54)*2+Data!AI54</f>
        <v>139.10201378294815</v>
      </c>
      <c r="Z54" s="80">
        <f>(SUM(Data!CS54:CY54)*2+Data!CZ54)/('Useful Constants'!$B$1*1000000)*$K54/100</f>
        <v>0.21632297327428865</v>
      </c>
      <c r="AA54" s="80">
        <f>(SUM(Data!CT54:CZ54)*2+Data!DA54)/('Useful Constants'!$B$1*1000000)*$K54/100</f>
        <v>0.19622153822168373</v>
      </c>
      <c r="AB54" s="80">
        <f>(SUM(Data!CU54:DA54)*2+Data!DB54)/('Useful Constants'!$B$1*1000000)*$K54/100</f>
        <v>0.17729070325754456</v>
      </c>
      <c r="AC54" s="80">
        <f>(SUM(Data!CV54:DB54)*2+Data!DC54)/('Useful Constants'!$B$1*1000000)*$K54/100</f>
        <v>0.16056352058096088</v>
      </c>
      <c r="AD54" s="80">
        <f>(SUM(Data!CW54:DC54)*2+Data!DD54)/('Useful Constants'!$B$1*1000000)*$K54/100</f>
        <v>0.14539633483319953</v>
      </c>
      <c r="AE54" s="80">
        <f>(SUM(Data!CX54:DD54)*2+Data!DE54)/('Useful Constants'!$B$1*1000000)*$K54/100</f>
        <v>0.14112232172530725</v>
      </c>
      <c r="AF54" s="80">
        <f>(SUM(Data!CY54:DE54)*2+Data!DF54)/('Useful Constants'!$B$1*1000000)*$K54/100</f>
        <v>0.14119007112112947</v>
      </c>
      <c r="AG54" s="80">
        <f>(SUM(Data!CZ54:DF54)*2+Data!DG54)/('Useful Constants'!$B$1*1000000)*$K54/100</f>
        <v>0.14656799375294172</v>
      </c>
      <c r="AH54" s="48">
        <f>Z54*'Useful Constants'!$B$3</f>
        <v>18.171129755040248</v>
      </c>
      <c r="AI54" s="48">
        <f>AA54*'Useful Constants'!$B$3</f>
        <v>16.482609210621433</v>
      </c>
      <c r="AJ54" s="48">
        <f>AB54*'Useful Constants'!$B$3</f>
        <v>14.892419073633743</v>
      </c>
      <c r="AK54" s="48">
        <f>AC54*'Useful Constants'!$B$3</f>
        <v>13.487335728800714</v>
      </c>
      <c r="AL54" s="48">
        <f>AD54*'Useful Constants'!$B$3</f>
        <v>12.21329212598876</v>
      </c>
      <c r="AM54" s="48">
        <f>AE54*'Useful Constants'!$B$3</f>
        <v>11.854275024925808</v>
      </c>
      <c r="AN54" s="48">
        <f>AF54*'Useful Constants'!$B$3</f>
        <v>11.859965974174875</v>
      </c>
      <c r="AO54" s="48">
        <f>AG54*'Useful Constants'!$B$3</f>
        <v>12.311711475247105</v>
      </c>
      <c r="AP54" s="10">
        <f>Z54*'Useful Constants'!$B$4</f>
        <v>6.0570432516800823</v>
      </c>
      <c r="AQ54" s="10">
        <f>AA54*'Useful Constants'!$B$4</f>
        <v>5.4942030702071447</v>
      </c>
      <c r="AR54" s="10">
        <f>AB54*'Useful Constants'!$B$4</f>
        <v>4.9641396912112477</v>
      </c>
      <c r="AS54" s="10">
        <f>AC54*'Useful Constants'!$B$4</f>
        <v>4.4957785762669049</v>
      </c>
      <c r="AT54" s="10">
        <f>AD54*'Useful Constants'!$B$4</f>
        <v>4.0710973753295869</v>
      </c>
      <c r="AU54" s="10">
        <f>AE54*'Useful Constants'!$B$4</f>
        <v>3.9514250083086031</v>
      </c>
      <c r="AV54" s="10">
        <f>AF54*'Useful Constants'!$B$4</f>
        <v>3.9533219913916251</v>
      </c>
      <c r="AW54" s="10">
        <f>AG54*'Useful Constants'!$B$4</f>
        <v>4.1039038250823676</v>
      </c>
      <c r="AX54" s="48">
        <f>P54/1000000/'Useful Constants'!$B$1*K54/100*'Useful Constants'!$B$3*15</f>
        <v>4912.4074149582611</v>
      </c>
      <c r="AY54" s="48">
        <f>P54/1000000/'Useful Constants'!$B$1*L54/100*'Useful Constants'!$B$3*15</f>
        <v>2456.2037074791306</v>
      </c>
      <c r="AZ54" s="48">
        <f>P54/1000000/'Useful Constants'!$B$1*K54/100*'Useful Constants'!$B$4*15</f>
        <v>1637.4691383194204</v>
      </c>
      <c r="BA54" s="48">
        <f>P54/1000000/'Useful Constants'!$B$1*L54/100*'Useful Constants'!$B$4*15</f>
        <v>818.73456915971019</v>
      </c>
      <c r="BB54" s="7">
        <f>Data!AN54</f>
        <v>5339.6141799999996</v>
      </c>
      <c r="BC54" s="7">
        <f>Data!AQ54</f>
        <v>5339.6141799999996</v>
      </c>
      <c r="BD54" s="7">
        <f>Data!AT54</f>
        <v>5316.6440000000002</v>
      </c>
      <c r="BE54" s="6">
        <f>Data!AO54</f>
        <v>17655452471.902302</v>
      </c>
      <c r="BF54" s="6">
        <f>Data!AP54</f>
        <v>5027591465.2123899</v>
      </c>
      <c r="BG54" s="6">
        <f>Data!AR54</f>
        <v>333544662.48435998</v>
      </c>
      <c r="BH54" s="6">
        <f>Data!AS54</f>
        <v>333544662.48435998</v>
      </c>
      <c r="BI54" s="8">
        <f t="shared" si="50"/>
        <v>0.98145840704778498</v>
      </c>
      <c r="BJ54" s="8">
        <f t="shared" si="51"/>
        <v>0.93778470560350102</v>
      </c>
      <c r="BK54" s="13">
        <f>BB54*'Useful Constants'!$B$5/'Useful Constants'!$B$6*'Useful Constants'!$B$7</f>
        <v>1.3664072686619999</v>
      </c>
      <c r="BL54" s="52">
        <f>1-VLOOKUP($G54,'Useful Constants'!$A$17:$X$23,10,FALSE)</f>
        <v>0</v>
      </c>
      <c r="BM54" s="52">
        <f>1-VLOOKUP($G54,'Useful Constants'!$A$17:$X$23,12,FALSE)</f>
        <v>0</v>
      </c>
      <c r="BN54" s="52">
        <f>1-VLOOKUP($G54,'Useful Constants'!$A$17:$X$23,14,FALSE)</f>
        <v>0</v>
      </c>
      <c r="BO54" s="52">
        <f>1-VLOOKUP($G54,'Useful Constants'!$A$17:$X$23,16,FALSE)</f>
        <v>0</v>
      </c>
      <c r="BP54" s="52">
        <f>1-VLOOKUP($G54,'Useful Constants'!$A$17:$X$23,18,FALSE)</f>
        <v>0</v>
      </c>
      <c r="BQ54" s="52">
        <f>1-VLOOKUP($G54,'Useful Constants'!$A$17:$X$23,20, FALSE)</f>
        <v>0</v>
      </c>
      <c r="BR54" s="52">
        <f>1-VLOOKUP($G54,'Useful Constants'!$A$17:$X$23,22, FALSE)</f>
        <v>0</v>
      </c>
      <c r="BS54" s="52">
        <f>1-VLOOKUP($G54,'Useful Constants'!$A$17:$X$23,24, FALSE)</f>
        <v>0</v>
      </c>
      <c r="BT54" s="13">
        <f t="shared" si="52"/>
        <v>0</v>
      </c>
      <c r="BU54" s="13">
        <f t="shared" si="53"/>
        <v>0</v>
      </c>
      <c r="BV54" s="13">
        <f t="shared" si="54"/>
        <v>0</v>
      </c>
      <c r="BW54" s="13">
        <f t="shared" si="55"/>
        <v>0</v>
      </c>
      <c r="BX54" s="13">
        <f t="shared" si="56"/>
        <v>0</v>
      </c>
      <c r="BY54" s="13">
        <f t="shared" si="57"/>
        <v>0</v>
      </c>
      <c r="BZ54" s="13">
        <f t="shared" si="58"/>
        <v>0</v>
      </c>
      <c r="CA54" s="13">
        <f t="shared" si="59"/>
        <v>0</v>
      </c>
      <c r="CB54" s="59">
        <f>+SUM(Data!BM54:BS54)*2+Data!BT54</f>
        <v>1251.1181778572588</v>
      </c>
      <c r="CC54" s="59">
        <f>+SUM(Data!BN54:BT54)*2+Data!BU54</f>
        <v>1199.1717571236095</v>
      </c>
      <c r="CD54" s="59">
        <f>+SUM(Data!BO54:BU54)*2+Data!BV54</f>
        <v>1079.0325991462028</v>
      </c>
      <c r="CE54" s="59">
        <f>+SUM(Data!BP54:BV54)*2+Data!BW54</f>
        <v>954.09136659684475</v>
      </c>
      <c r="CF54" s="59">
        <f>+SUM(Data!BQ54:BW54)*2+Data!BX54</f>
        <v>1005.7136471239156</v>
      </c>
      <c r="CG54" s="59">
        <f>+SUM(Data!BR54:BX54)*2+Data!BY54</f>
        <v>953.75765490633125</v>
      </c>
      <c r="CH54" s="59">
        <f>+SUM(Data!BS54:BY54)*2+Data!BZ54</f>
        <v>902.73390278915258</v>
      </c>
      <c r="CI54" s="59">
        <f>+SUM(Data!BT54:BZ54)*2+Data!CA54</f>
        <v>776.25455190344167</v>
      </c>
      <c r="CJ54" s="13">
        <f>+SUM(Data!AW54:BC54)*2+Data!BD54</f>
        <v>6611.5921136482093</v>
      </c>
      <c r="CK54" s="13">
        <f>+SUM(Data!AX54:BD54)*2+Data!BE54</f>
        <v>6344.8429275490425</v>
      </c>
      <c r="CL54" s="13">
        <f>+SUM(Data!AY54:BE54)*2+Data!BF54</f>
        <v>5705.8769375562024</v>
      </c>
      <c r="CM54" s="13">
        <f>+SUM(Data!AZ54:BF54)*2+Data!BG54</f>
        <v>5034.929282229331</v>
      </c>
      <c r="CN54" s="13">
        <f>+SUM(Data!BA54:BG54)*2+Data!BH54</f>
        <v>5309.4832310051834</v>
      </c>
      <c r="CO54" s="13">
        <f>+SUM(Data!BB54:BH54)*2+Data!BI54</f>
        <v>5024.9232632800486</v>
      </c>
      <c r="CP54" s="13">
        <f>+SUM(Data!BC54:BI54)*2+Data!BJ54</f>
        <v>4769.0028362371077</v>
      </c>
      <c r="CQ54" s="13">
        <f>+SUM(Data!BD54:BJ54)*2+Data!BK54</f>
        <v>4103.9341766088701</v>
      </c>
      <c r="CR54" s="59">
        <f>+SUM(Data!CC54:CI54)*2+Data!CJ54</f>
        <v>471.1292373415402</v>
      </c>
      <c r="CS54" s="59">
        <f>+SUM(Data!CD54:CJ54)*2+Data!CK54</f>
        <v>450.59718411086396</v>
      </c>
      <c r="CT54" s="59">
        <f>+SUM(Data!CE54:CK54)*2+Data!CL54</f>
        <v>405.40823696917903</v>
      </c>
      <c r="CU54" s="59">
        <f>+SUM(Data!CF54:CL54)*2+Data!CM54</f>
        <v>355.28521021623027</v>
      </c>
      <c r="CV54" s="59">
        <f>+SUM(Data!CG54:CM54)*2+Data!CN54</f>
        <v>373.02002970696537</v>
      </c>
      <c r="CW54" s="59">
        <f>+SUM(Data!CH54:CN54)*2+Data!CO54</f>
        <v>355.50358661072477</v>
      </c>
      <c r="CX54" s="59">
        <f>+SUM(Data!CI54:CO54)*2+Data!CP54</f>
        <v>338.41993874050081</v>
      </c>
      <c r="CY54" s="59">
        <f>+SUM(Data!CJ54:CP54)*2+Data!CQ54</f>
        <v>293.00881932673622</v>
      </c>
      <c r="CZ54" s="60">
        <f t="shared" si="60"/>
        <v>8333.8395288470092</v>
      </c>
      <c r="DA54" s="60">
        <f t="shared" si="61"/>
        <v>7994.611868783516</v>
      </c>
      <c r="DB54" s="60">
        <f t="shared" si="62"/>
        <v>7190.3177736715843</v>
      </c>
      <c r="DC54" s="60">
        <f t="shared" si="63"/>
        <v>6344.3058590424062</v>
      </c>
      <c r="DD54" s="60">
        <f t="shared" si="64"/>
        <v>6688.2169078360639</v>
      </c>
      <c r="DE54" s="60">
        <f t="shared" si="65"/>
        <v>6334.1845047971046</v>
      </c>
      <c r="DF54" s="60">
        <f t="shared" si="66"/>
        <v>6010.1566777667613</v>
      </c>
      <c r="DG54" s="60">
        <f t="shared" si="67"/>
        <v>5173.1975478390486</v>
      </c>
      <c r="DH54" s="13">
        <f t="shared" si="68"/>
        <v>0</v>
      </c>
      <c r="DI54" s="13">
        <f t="shared" si="69"/>
        <v>0</v>
      </c>
      <c r="DJ54" s="13">
        <f t="shared" si="70"/>
        <v>0</v>
      </c>
      <c r="DK54" s="13">
        <f t="shared" si="71"/>
        <v>0</v>
      </c>
      <c r="DL54" s="13">
        <f t="shared" si="72"/>
        <v>0</v>
      </c>
      <c r="DM54" s="13">
        <f t="shared" si="73"/>
        <v>0</v>
      </c>
      <c r="DN54" s="13">
        <f t="shared" si="74"/>
        <v>0</v>
      </c>
      <c r="DO54" s="13">
        <f t="shared" si="75"/>
        <v>0</v>
      </c>
      <c r="DP54" s="50">
        <f>DH54*'Useful Constants'!$B$8</f>
        <v>0</v>
      </c>
      <c r="DQ54" s="50">
        <f>DI54*'Useful Constants'!$B$8</f>
        <v>0</v>
      </c>
      <c r="DR54" s="50">
        <f>DJ54*'Useful Constants'!$B$10</f>
        <v>0</v>
      </c>
      <c r="DS54" s="50">
        <f>DK54*'Useful Constants'!$B$10</f>
        <v>0</v>
      </c>
      <c r="DT54" s="50">
        <f>DL54*'Useful Constants'!$B$10</f>
        <v>0</v>
      </c>
      <c r="DU54" s="50">
        <f>DM54*'Useful Constants'!$B$10</f>
        <v>0</v>
      </c>
      <c r="DV54" s="50">
        <f>DN54*'Useful Constants'!$B$10</f>
        <v>0</v>
      </c>
      <c r="DW54" s="50">
        <f>DO54*'Useful Constants'!$B$10</f>
        <v>0</v>
      </c>
      <c r="DX54" s="14">
        <f>DH54*'Useful Constants'!$B$9</f>
        <v>0</v>
      </c>
      <c r="DY54" s="14">
        <f>DI54*'Useful Constants'!$B$9</f>
        <v>0</v>
      </c>
      <c r="DZ54" s="14">
        <f>DJ54*'Useful Constants'!$B$11</f>
        <v>0</v>
      </c>
      <c r="EA54" s="14">
        <f>DK54*'Useful Constants'!$B$11</f>
        <v>0</v>
      </c>
      <c r="EB54" s="14">
        <f>DL54*'Useful Constants'!$B$11</f>
        <v>0</v>
      </c>
      <c r="EC54" s="14">
        <f>DM54*'Useful Constants'!$B$11</f>
        <v>0</v>
      </c>
      <c r="ED54" s="14">
        <f>DN54*'Useful Constants'!$B$11</f>
        <v>0</v>
      </c>
      <c r="EE54" s="14">
        <f>DO54*'Useful Constants'!$B$11</f>
        <v>0</v>
      </c>
      <c r="EF54" s="78">
        <f>(SUM(Data!DI54:DO54)*2+Data!DP54)/('Useful Constants'!$B$1*1000000)*$K54/100</f>
        <v>7.9652411952024487</v>
      </c>
      <c r="EG54" s="78">
        <f>(SUM(Data!DJ54:DP54)*2+Data!DQ54)/('Useful Constants'!$B$1*1000000)*$K54/100</f>
        <v>7.2454344386347032</v>
      </c>
      <c r="EH54" s="78">
        <f>(SUM(Data!DK54:DQ54)*2+Data!DR54)/('Useful Constants'!$B$1*1000000)*$K54/100</f>
        <v>6.5677891823427554</v>
      </c>
      <c r="EI54" s="78">
        <f>(SUM(Data!DL54:DR54)*2+Data!DS54)/('Useful Constants'!$B$1*1000000)*$K54/100</f>
        <v>5.9704525352458004</v>
      </c>
      <c r="EJ54" s="78">
        <f>(SUM(Data!DM54:DS54)*2+Data!DT54)/('Useful Constants'!$B$1*1000000)*$K54/100</f>
        <v>5.4302155408999182</v>
      </c>
      <c r="EK54" s="78">
        <f>(SUM(Data!DN54:DT54)*2+Data!DU54)/('Useful Constants'!$B$1*1000000)*$K54/100</f>
        <v>5.2922244445359077</v>
      </c>
      <c r="EL54" s="78">
        <f>(SUM(Data!DO54:DU54)*2+Data!DV54)/('Useful Constants'!$B$1*1000000)*$K54/100</f>
        <v>5.3158670169897349</v>
      </c>
      <c r="EM54" s="78">
        <f>(SUM(Data!DP54:DV54)*2+Data!DW54)/('Useful Constants'!$B$1*1000000)*$K54/100</f>
        <v>5.537507521472639</v>
      </c>
      <c r="EN54" s="79">
        <f>EF54*'Useful Constants'!$B$3</f>
        <v>669.08026039700565</v>
      </c>
      <c r="EO54" s="79">
        <f>EG54*'Useful Constants'!$B$3</f>
        <v>608.61649284531507</v>
      </c>
      <c r="EP54" s="79">
        <f>EH54*'Useful Constants'!$B$3</f>
        <v>551.69429131679146</v>
      </c>
      <c r="EQ54" s="79">
        <f>EI54*'Useful Constants'!$B$3</f>
        <v>501.51801296064724</v>
      </c>
      <c r="ER54" s="79">
        <f>EJ54*'Useful Constants'!$B$3</f>
        <v>456.1381054355931</v>
      </c>
      <c r="ES54" s="79">
        <f>EK54*'Useful Constants'!$B$3</f>
        <v>444.54685334101623</v>
      </c>
      <c r="ET54" s="79">
        <f>EL54*'Useful Constants'!$B$3</f>
        <v>446.5328294271377</v>
      </c>
      <c r="EU54" s="79">
        <f>EM54*'Useful Constants'!$B$3</f>
        <v>465.15063180370169</v>
      </c>
      <c r="EV54" s="78">
        <f>EF54*'Useful Constants'!$B$4</f>
        <v>223.02675346566855</v>
      </c>
      <c r="EW54" s="78">
        <f>EG54*'Useful Constants'!$B$4</f>
        <v>202.87216428177169</v>
      </c>
      <c r="EX54" s="78">
        <f>EH54*'Useful Constants'!$B$4</f>
        <v>183.89809710559715</v>
      </c>
      <c r="EY54" s="78">
        <f>EI54*'Useful Constants'!$B$4</f>
        <v>167.17267098688242</v>
      </c>
      <c r="EZ54" s="78">
        <f>EJ54*'Useful Constants'!$B$4</f>
        <v>152.04603514519772</v>
      </c>
      <c r="FA54" s="78">
        <f>EK54*'Useful Constants'!$B$4</f>
        <v>148.18228444700543</v>
      </c>
      <c r="FB54" s="78">
        <f>EL54*'Useful Constants'!$B$4</f>
        <v>148.84427647571258</v>
      </c>
      <c r="FC54" s="78">
        <f>EM54*'Useful Constants'!$B$4</f>
        <v>155.05021060123389</v>
      </c>
      <c r="FD54" s="40">
        <f t="shared" si="76"/>
        <v>0.44189084899011377</v>
      </c>
      <c r="FE54" s="40">
        <f t="shared" si="77"/>
        <v>0.46427797611551586</v>
      </c>
      <c r="FF54" s="40">
        <f t="shared" si="78"/>
        <v>0.51747982563401707</v>
      </c>
      <c r="FG54" s="40">
        <f t="shared" si="79"/>
        <v>0.57361095186224664</v>
      </c>
      <c r="FH54" s="40">
        <f t="shared" si="80"/>
        <v>0.55077630110798725</v>
      </c>
      <c r="FI54" s="40">
        <f t="shared" si="81"/>
        <v>0.57428802307617555</v>
      </c>
      <c r="FJ54" s="40">
        <f t="shared" si="82"/>
        <v>0.59581833556062658</v>
      </c>
      <c r="FK54" s="40">
        <f t="shared" si="83"/>
        <v>0.65157449797195055</v>
      </c>
      <c r="FL54" s="4">
        <f t="shared" si="84"/>
        <v>0.59662634766938627</v>
      </c>
      <c r="FM54" s="4">
        <f t="shared" si="85"/>
        <v>0.61434601483695728</v>
      </c>
      <c r="FN54" s="4">
        <f t="shared" si="86"/>
        <v>0.6525923450481812</v>
      </c>
      <c r="FO54" s="4">
        <f t="shared" si="87"/>
        <v>0.69247796576628073</v>
      </c>
      <c r="FP54" s="4">
        <f t="shared" si="88"/>
        <v>0.67918241778070487</v>
      </c>
      <c r="FQ54" s="4">
        <f t="shared" si="89"/>
        <v>0.69546798220748518</v>
      </c>
      <c r="FR54" s="4">
        <f t="shared" si="90"/>
        <v>0.70981705532591344</v>
      </c>
      <c r="FS54" s="4">
        <f t="shared" si="91"/>
        <v>0.74634346798898132</v>
      </c>
      <c r="FT54" s="38">
        <f t="shared" si="92"/>
        <v>0.50807160228901038</v>
      </c>
      <c r="FU54" s="38">
        <f t="shared" si="93"/>
        <v>0.5284671717730508</v>
      </c>
      <c r="FV54" s="38">
        <f t="shared" si="94"/>
        <v>0.57528544927158354</v>
      </c>
      <c r="FW54" s="38">
        <f t="shared" si="95"/>
        <v>0.62447890953387497</v>
      </c>
      <c r="FX54" s="38">
        <f t="shared" si="96"/>
        <v>0.60571815465007517</v>
      </c>
      <c r="FY54" s="38">
        <f t="shared" si="97"/>
        <v>0.626143679520064</v>
      </c>
      <c r="FZ54" s="38">
        <f t="shared" si="98"/>
        <v>0.64460664505044263</v>
      </c>
      <c r="GA54" s="38">
        <f t="shared" si="99"/>
        <v>0.69214517871167613</v>
      </c>
    </row>
    <row r="55" spans="1:183" x14ac:dyDescent="0.25">
      <c r="A55" s="1" t="str">
        <f>Data!A55</f>
        <v>NC_RALEIGH-DURHAM-IAP_723060_TY3A</v>
      </c>
      <c r="B55" s="1" t="str">
        <f>TY3A_REP_CITIES!B55</f>
        <v>Raleigh</v>
      </c>
      <c r="C55" s="1" t="str">
        <f>TY3A_REP_CITIES!C55</f>
        <v>Wake</v>
      </c>
      <c r="D55" s="2" t="str">
        <f>TY3A_REP_CITIES!A55</f>
        <v>NC</v>
      </c>
      <c r="E55" s="42">
        <f>TY3A_REP_CITIES!E55</f>
        <v>1111761</v>
      </c>
      <c r="F55" s="2">
        <f>TY3A_REP_CITIES!G55</f>
        <v>4</v>
      </c>
      <c r="G55" s="2" t="str">
        <f>TY3A_REP_CITIES!H55</f>
        <v>Mixed-Humid</v>
      </c>
      <c r="H55" s="2" t="str">
        <f>TY3A_REP_CITIES!I55</f>
        <v>Southeast</v>
      </c>
      <c r="I55" s="2">
        <f>Data!B55</f>
        <v>35.869999999999997</v>
      </c>
      <c r="J55" s="2">
        <f>Data!C55</f>
        <v>-78.78</v>
      </c>
      <c r="K55" s="2">
        <f>VLOOKUP(D55,Table1[],2,FALSE)</f>
        <v>1</v>
      </c>
      <c r="L55" s="2">
        <v>0.5</v>
      </c>
      <c r="M55" s="10">
        <f>Data!N55</f>
        <v>5418.6270100000002</v>
      </c>
      <c r="N55" s="10">
        <f>Data!Q55</f>
        <v>29308</v>
      </c>
      <c r="O55" s="10">
        <f>Data!O55</f>
        <v>21772878600.779099</v>
      </c>
      <c r="P55" s="10">
        <f>Data!P55</f>
        <v>22680081875.811668</v>
      </c>
      <c r="Q55" s="10">
        <f>Data!S55*15</f>
        <v>17112.438806668379</v>
      </c>
      <c r="R55" s="48">
        <f>SUM(Data!U55:AA55)*2+Data!AB55</f>
        <v>258.97459359255839</v>
      </c>
      <c r="S55" s="48">
        <f>SUM(Data!V55:AB55)*2+Data!AC55</f>
        <v>248.77572681861884</v>
      </c>
      <c r="T55" s="48">
        <f>SUM(Data!W55:AC55)*2+Data!AD55</f>
        <v>223.28931206514505</v>
      </c>
      <c r="U55" s="48">
        <f>SUM(Data!X55:AD55)*2+Data!AE55</f>
        <v>196.65030384071986</v>
      </c>
      <c r="V55" s="48">
        <f>SUM(Data!Y55:AE55)*2+Data!AF55</f>
        <v>207.69206871626207</v>
      </c>
      <c r="W55" s="48">
        <f>SUM(Data!Z55:AF55)*2+Data!AG55</f>
        <v>197.20943402504719</v>
      </c>
      <c r="X55" s="48">
        <f>SUM(Data!AA55:AG55)*2+Data!AH55</f>
        <v>186.56513590025685</v>
      </c>
      <c r="Y55" s="48">
        <f>SUM(Data!AB55:AH55)*2+Data!AI55</f>
        <v>160.40776547722027</v>
      </c>
      <c r="Z55" s="80">
        <f>(SUM(Data!CS55:CY55)*2+Data!CZ55)/('Useful Constants'!$B$1*1000000)*$K55/100</f>
        <v>0.2526175216444933</v>
      </c>
      <c r="AA55" s="80">
        <f>(SUM(Data!CT55:CZ55)*2+Data!DA55)/('Useful Constants'!$B$1*1000000)*$K55/100</f>
        <v>0.2318634657683312</v>
      </c>
      <c r="AB55" s="80">
        <f>(SUM(Data!CU55:DA55)*2+Data!DB55)/('Useful Constants'!$B$1*1000000)*$K55/100</f>
        <v>0.21252549584146233</v>
      </c>
      <c r="AC55" s="80">
        <f>(SUM(Data!CV55:DB55)*2+Data!DC55)/('Useful Constants'!$B$1*1000000)*$K55/100</f>
        <v>0.19482498086171313</v>
      </c>
      <c r="AD55" s="80">
        <f>(SUM(Data!CW55:DC55)*2+Data!DD55)/('Useful Constants'!$B$1*1000000)*$K55/100</f>
        <v>0.17814624554180625</v>
      </c>
      <c r="AE55" s="80">
        <f>(SUM(Data!CX55:DD55)*2+Data!DE55)/('Useful Constants'!$B$1*1000000)*$K55/100</f>
        <v>0.17432534564525209</v>
      </c>
      <c r="AF55" s="80">
        <f>(SUM(Data!CY55:DE55)*2+Data!DF55)/('Useful Constants'!$B$1*1000000)*$K55/100</f>
        <v>0.17563907691167774</v>
      </c>
      <c r="AG55" s="80">
        <f>(SUM(Data!CZ55:DF55)*2+Data!DG55)/('Useful Constants'!$B$1*1000000)*$K55/100</f>
        <v>0.18241144402697565</v>
      </c>
      <c r="AH55" s="48">
        <f>Z55*'Useful Constants'!$B$3</f>
        <v>21.219871818137438</v>
      </c>
      <c r="AI55" s="48">
        <f>AA55*'Useful Constants'!$B$3</f>
        <v>19.476531124539822</v>
      </c>
      <c r="AJ55" s="48">
        <f>AB55*'Useful Constants'!$B$3</f>
        <v>17.852141650682835</v>
      </c>
      <c r="AK55" s="48">
        <f>AC55*'Useful Constants'!$B$3</f>
        <v>16.365298392383902</v>
      </c>
      <c r="AL55" s="48">
        <f>AD55*'Useful Constants'!$B$3</f>
        <v>14.964284625511725</v>
      </c>
      <c r="AM55" s="48">
        <f>AE55*'Useful Constants'!$B$3</f>
        <v>14.643329034201177</v>
      </c>
      <c r="AN55" s="48">
        <f>AF55*'Useful Constants'!$B$3</f>
        <v>14.753682460580929</v>
      </c>
      <c r="AO55" s="48">
        <f>AG55*'Useful Constants'!$B$3</f>
        <v>15.322561298265954</v>
      </c>
      <c r="AP55" s="10">
        <f>Z55*'Useful Constants'!$B$4</f>
        <v>7.0732906060458127</v>
      </c>
      <c r="AQ55" s="10">
        <f>AA55*'Useful Constants'!$B$4</f>
        <v>6.4921770415132736</v>
      </c>
      <c r="AR55" s="10">
        <f>AB55*'Useful Constants'!$B$4</f>
        <v>5.9507138835609448</v>
      </c>
      <c r="AS55" s="10">
        <f>AC55*'Useful Constants'!$B$4</f>
        <v>5.4550994641279678</v>
      </c>
      <c r="AT55" s="10">
        <f>AD55*'Useful Constants'!$B$4</f>
        <v>4.9880948751705745</v>
      </c>
      <c r="AU55" s="10">
        <f>AE55*'Useful Constants'!$B$4</f>
        <v>4.8811096780670589</v>
      </c>
      <c r="AV55" s="10">
        <f>AF55*'Useful Constants'!$B$4</f>
        <v>4.9178941535269765</v>
      </c>
      <c r="AW55" s="10">
        <f>AG55*'Useful Constants'!$B$4</f>
        <v>5.1075204327553179</v>
      </c>
      <c r="AX55" s="48">
        <f>P55/1000000/'Useful Constants'!$B$1*K55/100*'Useful Constants'!$B$3*15</f>
        <v>5715.3806327045404</v>
      </c>
      <c r="AY55" s="48">
        <f>P55/1000000/'Useful Constants'!$B$1*L55/100*'Useful Constants'!$B$3*15</f>
        <v>2857.6903163522702</v>
      </c>
      <c r="AZ55" s="48">
        <f>P55/1000000/'Useful Constants'!$B$1*K55/100*'Useful Constants'!$B$4*15</f>
        <v>1905.1268775681804</v>
      </c>
      <c r="BA55" s="48">
        <f>P55/1000000/'Useful Constants'!$B$1*L55/100*'Useful Constants'!$B$4*15</f>
        <v>952.56343878409018</v>
      </c>
      <c r="BB55" s="7">
        <f>Data!AN55</f>
        <v>5418.6270100000002</v>
      </c>
      <c r="BC55" s="7">
        <f>Data!AQ55</f>
        <v>5418.6270100000002</v>
      </c>
      <c r="BD55" s="7">
        <f>Data!AT55</f>
        <v>5546.7491</v>
      </c>
      <c r="BE55" s="6">
        <f>Data!AO55</f>
        <v>20544902084.1283</v>
      </c>
      <c r="BF55" s="6">
        <f>Data!AP55</f>
        <v>6149776652.6016302</v>
      </c>
      <c r="BG55" s="6">
        <f>Data!AR55</f>
        <v>437399787.33237398</v>
      </c>
      <c r="BH55" s="6">
        <f>Data!AS55</f>
        <v>437399787.33237398</v>
      </c>
      <c r="BI55" s="8">
        <f t="shared" si="50"/>
        <v>0.97915387024684319</v>
      </c>
      <c r="BJ55" s="8">
        <f t="shared" si="51"/>
        <v>0.93359828883879781</v>
      </c>
      <c r="BK55" s="13">
        <f>BB55*'Useful Constants'!$B$5/'Useful Constants'!$B$6*'Useful Constants'!$B$7</f>
        <v>1.386626651859</v>
      </c>
      <c r="BL55" s="52">
        <f>1-VLOOKUP($G55,'Useful Constants'!$A$17:$X$23,10,FALSE)</f>
        <v>0</v>
      </c>
      <c r="BM55" s="52">
        <f>1-VLOOKUP($G55,'Useful Constants'!$A$17:$X$23,12,FALSE)</f>
        <v>0</v>
      </c>
      <c r="BN55" s="52">
        <f>1-VLOOKUP($G55,'Useful Constants'!$A$17:$X$23,14,FALSE)</f>
        <v>0</v>
      </c>
      <c r="BO55" s="52">
        <f>1-VLOOKUP($G55,'Useful Constants'!$A$17:$X$23,16,FALSE)</f>
        <v>0</v>
      </c>
      <c r="BP55" s="52">
        <f>1-VLOOKUP($G55,'Useful Constants'!$A$17:$X$23,18,FALSE)</f>
        <v>0</v>
      </c>
      <c r="BQ55" s="52">
        <f>1-VLOOKUP($G55,'Useful Constants'!$A$17:$X$23,20, FALSE)</f>
        <v>0</v>
      </c>
      <c r="BR55" s="52">
        <f>1-VLOOKUP($G55,'Useful Constants'!$A$17:$X$23,22, FALSE)</f>
        <v>0</v>
      </c>
      <c r="BS55" s="52">
        <f>1-VLOOKUP($G55,'Useful Constants'!$A$17:$X$23,24, FALSE)</f>
        <v>0</v>
      </c>
      <c r="BT55" s="13">
        <f t="shared" si="52"/>
        <v>0</v>
      </c>
      <c r="BU55" s="13">
        <f t="shared" si="53"/>
        <v>0</v>
      </c>
      <c r="BV55" s="13">
        <f t="shared" si="54"/>
        <v>0</v>
      </c>
      <c r="BW55" s="13">
        <f t="shared" si="55"/>
        <v>0</v>
      </c>
      <c r="BX55" s="13">
        <f t="shared" si="56"/>
        <v>0</v>
      </c>
      <c r="BY55" s="13">
        <f t="shared" si="57"/>
        <v>0</v>
      </c>
      <c r="BZ55" s="13">
        <f t="shared" si="58"/>
        <v>0</v>
      </c>
      <c r="CA55" s="13">
        <f t="shared" si="59"/>
        <v>0</v>
      </c>
      <c r="CB55" s="59">
        <f>+SUM(Data!BM55:BS55)*2+Data!BT55</f>
        <v>1412.935633605055</v>
      </c>
      <c r="CC55" s="59">
        <f>+SUM(Data!BN55:BT55)*2+Data!BU55</f>
        <v>1355.7647728810846</v>
      </c>
      <c r="CD55" s="59">
        <f>+SUM(Data!BO55:BU55)*2+Data!BV55</f>
        <v>1216.2784415173207</v>
      </c>
      <c r="CE55" s="59">
        <f>+SUM(Data!BP55:BV55)*2+Data!BW55</f>
        <v>1071.9918514488938</v>
      </c>
      <c r="CF55" s="59">
        <f>+SUM(Data!BQ55:BW55)*2+Data!BX55</f>
        <v>1132.2869378268008</v>
      </c>
      <c r="CG55" s="59">
        <f>+SUM(Data!BR55:BX55)*2+Data!BY55</f>
        <v>1075.2688301693304</v>
      </c>
      <c r="CH55" s="59">
        <f>+SUM(Data!BS55:BY55)*2+Data!BZ55</f>
        <v>1017.1385251419315</v>
      </c>
      <c r="CI55" s="59">
        <f>+SUM(Data!BT55:BZ55)*2+Data!CA55</f>
        <v>874.06808844559089</v>
      </c>
      <c r="CJ55" s="13">
        <f>+SUM(Data!AW55:BC55)*2+Data!BD55</f>
        <v>8207.7638001139894</v>
      </c>
      <c r="CK55" s="13">
        <f>+SUM(Data!AX55:BD55)*2+Data!BE55</f>
        <v>7895.0660507577404</v>
      </c>
      <c r="CL55" s="13">
        <f>+SUM(Data!AY55:BE55)*2+Data!BF55</f>
        <v>7082.3695789372714</v>
      </c>
      <c r="CM55" s="13">
        <f>+SUM(Data!AZ55:BF55)*2+Data!BG55</f>
        <v>6223.8737088595171</v>
      </c>
      <c r="CN55" s="13">
        <f>+SUM(Data!BA55:BG55)*2+Data!BH55</f>
        <v>6575.7855739599208</v>
      </c>
      <c r="CO55" s="13">
        <f>+SUM(Data!BB55:BH55)*2+Data!BI55</f>
        <v>6237.6732760679706</v>
      </c>
      <c r="CP55" s="13">
        <f>+SUM(Data!BC55:BI55)*2+Data!BJ55</f>
        <v>5908.9544705259177</v>
      </c>
      <c r="CQ55" s="13">
        <f>+SUM(Data!BD55:BJ55)*2+Data!BK55</f>
        <v>5085.1780187759005</v>
      </c>
      <c r="CR55" s="59">
        <f>+SUM(Data!CC55:CI55)*2+Data!CJ55</f>
        <v>643.32304453886161</v>
      </c>
      <c r="CS55" s="59">
        <f>+SUM(Data!CD55:CJ55)*2+Data!CK55</f>
        <v>615.91835155085437</v>
      </c>
      <c r="CT55" s="59">
        <f>+SUM(Data!CE55:CK55)*2+Data!CL55</f>
        <v>549.70300284510006</v>
      </c>
      <c r="CU55" s="59">
        <f>+SUM(Data!CF55:CL55)*2+Data!CM55</f>
        <v>479.41956122255402</v>
      </c>
      <c r="CV55" s="59">
        <f>+SUM(Data!CG55:CM55)*2+Data!CN55</f>
        <v>505.69819020376127</v>
      </c>
      <c r="CW55" s="59">
        <f>+SUM(Data!CH55:CN55)*2+Data!CO55</f>
        <v>483.81469933053899</v>
      </c>
      <c r="CX55" s="59">
        <f>+SUM(Data!CI55:CO55)*2+Data!CP55</f>
        <v>457.65413394672697</v>
      </c>
      <c r="CY55" s="59">
        <f>+SUM(Data!CJ55:CP55)*2+Data!CQ55</f>
        <v>397.11205956093056</v>
      </c>
      <c r="CZ55" s="60">
        <f t="shared" si="60"/>
        <v>10264.022478257906</v>
      </c>
      <c r="DA55" s="60">
        <f t="shared" si="61"/>
        <v>9866.7491751896796</v>
      </c>
      <c r="DB55" s="60">
        <f t="shared" si="62"/>
        <v>8848.3510232996923</v>
      </c>
      <c r="DC55" s="60">
        <f t="shared" si="63"/>
        <v>7775.2851215309647</v>
      </c>
      <c r="DD55" s="60">
        <f t="shared" si="64"/>
        <v>8213.7707019904828</v>
      </c>
      <c r="DE55" s="60">
        <f t="shared" si="65"/>
        <v>7796.7568055678403</v>
      </c>
      <c r="DF55" s="60">
        <f t="shared" si="66"/>
        <v>7383.7471296145759</v>
      </c>
      <c r="DG55" s="60">
        <f t="shared" si="67"/>
        <v>6356.3581667824219</v>
      </c>
      <c r="DH55" s="13">
        <f t="shared" si="68"/>
        <v>0</v>
      </c>
      <c r="DI55" s="13">
        <f t="shared" si="69"/>
        <v>0</v>
      </c>
      <c r="DJ55" s="13">
        <f t="shared" si="70"/>
        <v>0</v>
      </c>
      <c r="DK55" s="13">
        <f t="shared" si="71"/>
        <v>0</v>
      </c>
      <c r="DL55" s="13">
        <f t="shared" si="72"/>
        <v>0</v>
      </c>
      <c r="DM55" s="13">
        <f t="shared" si="73"/>
        <v>0</v>
      </c>
      <c r="DN55" s="13">
        <f t="shared" si="74"/>
        <v>0</v>
      </c>
      <c r="DO55" s="13">
        <f t="shared" si="75"/>
        <v>0</v>
      </c>
      <c r="DP55" s="50">
        <f>DH55*'Useful Constants'!$B$8</f>
        <v>0</v>
      </c>
      <c r="DQ55" s="50">
        <f>DI55*'Useful Constants'!$B$8</f>
        <v>0</v>
      </c>
      <c r="DR55" s="50">
        <f>DJ55*'Useful Constants'!$B$10</f>
        <v>0</v>
      </c>
      <c r="DS55" s="50">
        <f>DK55*'Useful Constants'!$B$10</f>
        <v>0</v>
      </c>
      <c r="DT55" s="50">
        <f>DL55*'Useful Constants'!$B$10</f>
        <v>0</v>
      </c>
      <c r="DU55" s="50">
        <f>DM55*'Useful Constants'!$B$10</f>
        <v>0</v>
      </c>
      <c r="DV55" s="50">
        <f>DN55*'Useful Constants'!$B$10</f>
        <v>0</v>
      </c>
      <c r="DW55" s="50">
        <f>DO55*'Useful Constants'!$B$10</f>
        <v>0</v>
      </c>
      <c r="DX55" s="14">
        <f>DH55*'Useful Constants'!$B$9</f>
        <v>0</v>
      </c>
      <c r="DY55" s="14">
        <f>DI55*'Useful Constants'!$B$9</f>
        <v>0</v>
      </c>
      <c r="DZ55" s="14">
        <f>DJ55*'Useful Constants'!$B$11</f>
        <v>0</v>
      </c>
      <c r="EA55" s="14">
        <f>DK55*'Useful Constants'!$B$11</f>
        <v>0</v>
      </c>
      <c r="EB55" s="14">
        <f>DL55*'Useful Constants'!$B$11</f>
        <v>0</v>
      </c>
      <c r="EC55" s="14">
        <f>DM55*'Useful Constants'!$B$11</f>
        <v>0</v>
      </c>
      <c r="ED55" s="14">
        <f>DN55*'Useful Constants'!$B$11</f>
        <v>0</v>
      </c>
      <c r="EE55" s="14">
        <f>DO55*'Useful Constants'!$B$11</f>
        <v>0</v>
      </c>
      <c r="EF55" s="78">
        <f>(SUM(Data!DI55:DO55)*2+Data!DP55)/('Useful Constants'!$B$1*1000000)*$K55/100</f>
        <v>9.9301072361205431</v>
      </c>
      <c r="EG55" s="78">
        <f>(SUM(Data!DJ55:DP55)*2+Data!DQ55)/('Useful Constants'!$B$1*1000000)*$K55/100</f>
        <v>9.1612323925286532</v>
      </c>
      <c r="EH55" s="78">
        <f>(SUM(Data!DK55:DQ55)*2+Data!DR55)/('Useful Constants'!$B$1*1000000)*$K55/100</f>
        <v>8.4463209806652113</v>
      </c>
      <c r="EI55" s="78">
        <f>(SUM(Data!DL55:DR55)*2+Data!DS55)/('Useful Constants'!$B$1*1000000)*$K55/100</f>
        <v>7.779062234937105</v>
      </c>
      <c r="EJ55" s="78">
        <f>(SUM(Data!DM55:DS55)*2+Data!DT55)/('Useful Constants'!$B$1*1000000)*$K55/100</f>
        <v>7.1482586600076523</v>
      </c>
      <c r="EK55" s="78">
        <f>(SUM(Data!DN55:DT55)*2+Data!DU55)/('Useful Constants'!$B$1*1000000)*$K55/100</f>
        <v>7.0218457898079114</v>
      </c>
      <c r="EL55" s="78">
        <f>(SUM(Data!DO55:DU55)*2+Data!DV55)/('Useful Constants'!$B$1*1000000)*$K55/100</f>
        <v>7.1007376633877417</v>
      </c>
      <c r="EM55" s="78">
        <f>(SUM(Data!DP55:DV55)*2+Data!DW55)/('Useful Constants'!$B$1*1000000)*$K55/100</f>
        <v>7.3936619062409727</v>
      </c>
      <c r="EN55" s="79">
        <f>EF55*'Useful Constants'!$B$3</f>
        <v>834.12900783412567</v>
      </c>
      <c r="EO55" s="79">
        <f>EG55*'Useful Constants'!$B$3</f>
        <v>769.5435209724069</v>
      </c>
      <c r="EP55" s="79">
        <f>EH55*'Useful Constants'!$B$3</f>
        <v>709.49096237587776</v>
      </c>
      <c r="EQ55" s="79">
        <f>EI55*'Useful Constants'!$B$3</f>
        <v>653.44122773471679</v>
      </c>
      <c r="ER55" s="79">
        <f>EJ55*'Useful Constants'!$B$3</f>
        <v>600.45372744064275</v>
      </c>
      <c r="ES55" s="79">
        <f>EK55*'Useful Constants'!$B$3</f>
        <v>589.83504634386452</v>
      </c>
      <c r="ET55" s="79">
        <f>EL55*'Useful Constants'!$B$3</f>
        <v>596.4619637245703</v>
      </c>
      <c r="EU55" s="79">
        <f>EM55*'Useful Constants'!$B$3</f>
        <v>621.06760012424172</v>
      </c>
      <c r="EV55" s="78">
        <f>EF55*'Useful Constants'!$B$4</f>
        <v>278.04300261137519</v>
      </c>
      <c r="EW55" s="78">
        <f>EG55*'Useful Constants'!$B$4</f>
        <v>256.51450699080226</v>
      </c>
      <c r="EX55" s="78">
        <f>EH55*'Useful Constants'!$B$4</f>
        <v>236.49698745862591</v>
      </c>
      <c r="EY55" s="78">
        <f>EI55*'Useful Constants'!$B$4</f>
        <v>217.81374257823893</v>
      </c>
      <c r="EZ55" s="78">
        <f>EJ55*'Useful Constants'!$B$4</f>
        <v>200.15124248021425</v>
      </c>
      <c r="FA55" s="78">
        <f>EK55*'Useful Constants'!$B$4</f>
        <v>196.61168211462152</v>
      </c>
      <c r="FB55" s="78">
        <f>EL55*'Useful Constants'!$B$4</f>
        <v>198.82065457485677</v>
      </c>
      <c r="FC55" s="78">
        <f>EM55*'Useful Constants'!$B$4</f>
        <v>207.02253337474724</v>
      </c>
      <c r="FD55" s="40">
        <f t="shared" si="76"/>
        <v>0.40914292684418352</v>
      </c>
      <c r="FE55" s="40">
        <f t="shared" si="77"/>
        <v>0.431678633072686</v>
      </c>
      <c r="FF55" s="40">
        <f t="shared" si="78"/>
        <v>0.48958872897078431</v>
      </c>
      <c r="FG55" s="40">
        <f t="shared" si="79"/>
        <v>0.55079755659642127</v>
      </c>
      <c r="FH55" s="40">
        <f t="shared" si="80"/>
        <v>0.52576739973345765</v>
      </c>
      <c r="FI55" s="40">
        <f t="shared" si="81"/>
        <v>0.54957162056948294</v>
      </c>
      <c r="FJ55" s="40">
        <f t="shared" si="82"/>
        <v>0.57316923251026197</v>
      </c>
      <c r="FK55" s="40">
        <f t="shared" si="83"/>
        <v>0.632002858345725</v>
      </c>
      <c r="FL55" s="4">
        <f t="shared" si="84"/>
        <v>0.57258422912103335</v>
      </c>
      <c r="FM55" s="4">
        <f t="shared" si="85"/>
        <v>0.59018300735898843</v>
      </c>
      <c r="FN55" s="4">
        <f t="shared" si="86"/>
        <v>0.63135069359844109</v>
      </c>
      <c r="FO55" s="4">
        <f t="shared" si="87"/>
        <v>0.67454802029198779</v>
      </c>
      <c r="FP55" s="4">
        <f t="shared" si="88"/>
        <v>0.65978972064925701</v>
      </c>
      <c r="FQ55" s="4">
        <f t="shared" si="89"/>
        <v>0.67616038715029159</v>
      </c>
      <c r="FR55" s="4">
        <f t="shared" si="90"/>
        <v>0.69172704680681818</v>
      </c>
      <c r="FS55" s="4">
        <f t="shared" si="91"/>
        <v>0.73019755647262929</v>
      </c>
      <c r="FT55" s="38">
        <f t="shared" si="92"/>
        <v>0.47904856351531222</v>
      </c>
      <c r="FU55" s="38">
        <f t="shared" si="93"/>
        <v>0.49947762861089701</v>
      </c>
      <c r="FV55" s="38">
        <f t="shared" si="94"/>
        <v>0.55024100288687194</v>
      </c>
      <c r="FW55" s="38">
        <f t="shared" si="95"/>
        <v>0.60375738970921045</v>
      </c>
      <c r="FX55" s="38">
        <f t="shared" si="96"/>
        <v>0.58311443045483635</v>
      </c>
      <c r="FY55" s="38">
        <f t="shared" si="97"/>
        <v>0.60374373173873475</v>
      </c>
      <c r="FZ55" s="38">
        <f t="shared" si="98"/>
        <v>0.62391064134059493</v>
      </c>
      <c r="GA55" s="38">
        <f t="shared" si="99"/>
        <v>0.67404168613316595</v>
      </c>
    </row>
    <row r="56" spans="1:183" x14ac:dyDescent="0.25">
      <c r="A56" s="1" t="str">
        <f>Data!A56</f>
        <v>ND_BISMARCK-MUNI-AP_727640_TY3A</v>
      </c>
      <c r="B56" s="1" t="str">
        <f>TY3A_REP_CITIES!B56</f>
        <v>Bismark</v>
      </c>
      <c r="C56" s="1" t="str">
        <f>TY3A_REP_CITIES!C56</f>
        <v>Burleigh</v>
      </c>
      <c r="D56" s="2" t="str">
        <f>TY3A_REP_CITIES!A56</f>
        <v>ND</v>
      </c>
      <c r="E56" s="42">
        <f>TY3A_REP_CITIES!E56</f>
        <v>95626</v>
      </c>
      <c r="F56" s="2">
        <f>TY3A_REP_CITIES!G56</f>
        <v>6</v>
      </c>
      <c r="G56" s="2" t="str">
        <f>TY3A_REP_CITIES!H56</f>
        <v>Cold</v>
      </c>
      <c r="H56" s="2" t="str">
        <f>TY3A_REP_CITIES!I56</f>
        <v>Midwest</v>
      </c>
      <c r="I56" s="2">
        <f>Data!B56</f>
        <v>46.77</v>
      </c>
      <c r="J56" s="2">
        <f>Data!C56</f>
        <v>-100.77</v>
      </c>
      <c r="K56" s="2">
        <f>VLOOKUP(D56,Table1[],2,FALSE)</f>
        <v>2.2000000000000002</v>
      </c>
      <c r="L56" s="2">
        <v>0.5</v>
      </c>
      <c r="M56" s="10">
        <f>Data!N56</f>
        <v>6421.4720500000003</v>
      </c>
      <c r="N56" s="10">
        <f>Data!Q56</f>
        <v>29308</v>
      </c>
      <c r="O56" s="10">
        <f>Data!O56</f>
        <v>74915000413.012802</v>
      </c>
      <c r="P56" s="10">
        <f>Data!P56</f>
        <v>78036458763.554916</v>
      </c>
      <c r="Q56" s="10">
        <f>Data!S56*15</f>
        <v>58879.59896232262</v>
      </c>
      <c r="R56" s="48">
        <f>SUM(Data!U56:AA56)*2+Data!AB56</f>
        <v>1356.3098011585907</v>
      </c>
      <c r="S56" s="48">
        <f>SUM(Data!V56:AB56)*2+Data!AC56</f>
        <v>1313.5782933941205</v>
      </c>
      <c r="T56" s="48">
        <f>SUM(Data!W56:AC56)*2+Data!AD56</f>
        <v>1108.1086358165546</v>
      </c>
      <c r="U56" s="48">
        <f>SUM(Data!X56:AD56)*2+Data!AE56</f>
        <v>1010.334191524365</v>
      </c>
      <c r="V56" s="48">
        <f>SUM(Data!Y56:AE56)*2+Data!AF56</f>
        <v>1100.0460473623584</v>
      </c>
      <c r="W56" s="48">
        <f>SUM(Data!Z56:AF56)*2+Data!AG56</f>
        <v>1184.7192512821487</v>
      </c>
      <c r="X56" s="48">
        <f>SUM(Data!AA56:AG56)*2+Data!AH56</f>
        <v>1092.2809443457111</v>
      </c>
      <c r="Y56" s="48">
        <f>SUM(Data!AB56:AH56)*2+Data!AI56</f>
        <v>995.47581162594918</v>
      </c>
      <c r="Z56" s="80">
        <f>(SUM(Data!CS56:CY56)*2+Data!CZ56)/('Useful Constants'!$B$1*1000000)*$K56/100</f>
        <v>9.3892871870684732E-3</v>
      </c>
      <c r="AA56" s="80">
        <f>(SUM(Data!CT56:CZ56)*2+Data!DA56)/('Useful Constants'!$B$1*1000000)*$K56/100</f>
        <v>8.0051706927437398E-3</v>
      </c>
      <c r="AB56" s="80">
        <f>(SUM(Data!CU56:DA56)*2+Data!DB56)/('Useful Constants'!$B$1*1000000)*$K56/100</f>
        <v>7.0873061191350662E-3</v>
      </c>
      <c r="AC56" s="80">
        <f>(SUM(Data!CV56:DB56)*2+Data!DC56)/('Useful Constants'!$B$1*1000000)*$K56/100</f>
        <v>6.0564898929467911E-3</v>
      </c>
      <c r="AD56" s="80">
        <f>(SUM(Data!CW56:DC56)*2+Data!DD56)/('Useful Constants'!$B$1*1000000)*$K56/100</f>
        <v>4.9407476979230792E-3</v>
      </c>
      <c r="AE56" s="80">
        <f>(SUM(Data!CX56:DD56)*2+Data!DE56)/('Useful Constants'!$B$1*1000000)*$K56/100</f>
        <v>2.7744314580312218E-3</v>
      </c>
      <c r="AF56" s="80">
        <f>(SUM(Data!CY56:DE56)*2+Data!DF56)/('Useful Constants'!$B$1*1000000)*$K56/100</f>
        <v>1.3641228754551274E-3</v>
      </c>
      <c r="AG56" s="80">
        <f>(SUM(Data!CZ56:DF56)*2+Data!DG56)/('Useful Constants'!$B$1*1000000)*$K56/100</f>
        <v>4.3676252208510837E-4</v>
      </c>
      <c r="AH56" s="48">
        <f>Z56*'Useful Constants'!$B$3</f>
        <v>0.78870012371375176</v>
      </c>
      <c r="AI56" s="48">
        <f>AA56*'Useful Constants'!$B$3</f>
        <v>0.67243433819047416</v>
      </c>
      <c r="AJ56" s="48">
        <f>AB56*'Useful Constants'!$B$3</f>
        <v>0.59533371400734558</v>
      </c>
      <c r="AK56" s="48">
        <f>AC56*'Useful Constants'!$B$3</f>
        <v>0.50874515100753048</v>
      </c>
      <c r="AL56" s="48">
        <f>AD56*'Useful Constants'!$B$3</f>
        <v>0.41502280662553864</v>
      </c>
      <c r="AM56" s="48">
        <f>AE56*'Useful Constants'!$B$3</f>
        <v>0.23305224247462264</v>
      </c>
      <c r="AN56" s="48">
        <f>AF56*'Useful Constants'!$B$3</f>
        <v>0.1145863215382307</v>
      </c>
      <c r="AO56" s="48">
        <f>AG56*'Useful Constants'!$B$3</f>
        <v>3.6688051855149104E-2</v>
      </c>
      <c r="AP56" s="10">
        <f>Z56*'Useful Constants'!$B$4</f>
        <v>0.26290004123791727</v>
      </c>
      <c r="AQ56" s="10">
        <f>AA56*'Useful Constants'!$B$4</f>
        <v>0.2241447793968247</v>
      </c>
      <c r="AR56" s="10">
        <f>AB56*'Useful Constants'!$B$4</f>
        <v>0.19844457133578186</v>
      </c>
      <c r="AS56" s="10">
        <f>AC56*'Useful Constants'!$B$4</f>
        <v>0.16958171700251015</v>
      </c>
      <c r="AT56" s="10">
        <f>AD56*'Useful Constants'!$B$4</f>
        <v>0.13834093554184623</v>
      </c>
      <c r="AU56" s="10">
        <f>AE56*'Useful Constants'!$B$4</f>
        <v>7.7684080824874213E-2</v>
      </c>
      <c r="AV56" s="10">
        <f>AF56*'Useful Constants'!$B$4</f>
        <v>3.8195440512743567E-2</v>
      </c>
      <c r="AW56" s="10">
        <f>AG56*'Useful Constants'!$B$4</f>
        <v>1.2229350618383034E-2</v>
      </c>
      <c r="AX56" s="48">
        <f>P56/1000000/'Useful Constants'!$B$1*K56/100*'Useful Constants'!$B$3*15</f>
        <v>43263.412738514846</v>
      </c>
      <c r="AY56" s="48">
        <f>P56/1000000/'Useful Constants'!$B$1*L56/100*'Useful Constants'!$B$3*15</f>
        <v>9832.5938042079197</v>
      </c>
      <c r="AZ56" s="48">
        <f>P56/1000000/'Useful Constants'!$B$1*K56/100*'Useful Constants'!$B$4*15</f>
        <v>14421.137579504948</v>
      </c>
      <c r="BA56" s="48">
        <f>P56/1000000/'Useful Constants'!$B$1*L56/100*'Useful Constants'!$B$4*15</f>
        <v>3277.5312680693069</v>
      </c>
      <c r="BB56" s="7">
        <f>Data!AN56</f>
        <v>6421.4720500000003</v>
      </c>
      <c r="BC56" s="7">
        <f>Data!AQ56</f>
        <v>6421.4720500000003</v>
      </c>
      <c r="BD56" s="7">
        <f>Data!AT56</f>
        <v>11495.16696</v>
      </c>
      <c r="BE56" s="6">
        <f>Data!AO56</f>
        <v>47413999691.176903</v>
      </c>
      <c r="BF56" s="6">
        <f>Data!AP56</f>
        <v>18973568135.714199</v>
      </c>
      <c r="BG56" s="6">
        <f>Data!AR56</f>
        <v>24568344771.2048</v>
      </c>
      <c r="BH56" s="6">
        <f>Data!AS56</f>
        <v>24568344771.2048</v>
      </c>
      <c r="BI56" s="8">
        <f t="shared" si="50"/>
        <v>0.65868929451104052</v>
      </c>
      <c r="BJ56" s="8">
        <f t="shared" si="51"/>
        <v>0.43575412445187306</v>
      </c>
      <c r="BK56" s="13">
        <f>BB56*'Useful Constants'!$B$5/'Useful Constants'!$B$6*'Useful Constants'!$B$7</f>
        <v>1.643254697595</v>
      </c>
      <c r="BL56" s="52">
        <f>1-VLOOKUP($G56,'Useful Constants'!$A$17:$X$23,10,FALSE)</f>
        <v>6.6471999999999865E-2</v>
      </c>
      <c r="BM56" s="52">
        <f>1-VLOOKUP($G56,'Useful Constants'!$A$17:$X$23,12,FALSE)</f>
        <v>4.945672000000001E-2</v>
      </c>
      <c r="BN56" s="52">
        <f>1-VLOOKUP($G56,'Useful Constants'!$A$17:$X$23,14,FALSE)</f>
        <v>3.4455679999999989E-2</v>
      </c>
      <c r="BO56" s="52">
        <f>1-VLOOKUP($G56,'Useful Constants'!$A$17:$X$23,16,FALSE)</f>
        <v>2.1468880000000024E-2</v>
      </c>
      <c r="BP56" s="52">
        <f>1-VLOOKUP($G56,'Useful Constants'!$A$17:$X$23,18,FALSE)</f>
        <v>0</v>
      </c>
      <c r="BQ56" s="52">
        <f>1-VLOOKUP($G56,'Useful Constants'!$A$17:$X$23,20, FALSE)</f>
        <v>0</v>
      </c>
      <c r="BR56" s="52">
        <f>1-VLOOKUP($G56,'Useful Constants'!$A$17:$X$23,22, FALSE)</f>
        <v>0</v>
      </c>
      <c r="BS56" s="52">
        <f>1-VLOOKUP($G56,'Useful Constants'!$A$17:$X$23,24, FALSE)</f>
        <v>0</v>
      </c>
      <c r="BT56" s="13">
        <f t="shared" si="52"/>
        <v>0.10923042625853462</v>
      </c>
      <c r="BU56" s="13">
        <f t="shared" si="53"/>
        <v>8.1269987467640609E-2</v>
      </c>
      <c r="BV56" s="13">
        <f t="shared" si="54"/>
        <v>5.6619458018830067E-2</v>
      </c>
      <c r="BW56" s="13">
        <f t="shared" si="55"/>
        <v>3.5278837912103379E-2</v>
      </c>
      <c r="BX56" s="13">
        <f t="shared" si="56"/>
        <v>0</v>
      </c>
      <c r="BY56" s="13">
        <f t="shared" si="57"/>
        <v>0</v>
      </c>
      <c r="BZ56" s="13">
        <f t="shared" si="58"/>
        <v>0</v>
      </c>
      <c r="CA56" s="13">
        <f t="shared" si="59"/>
        <v>0</v>
      </c>
      <c r="CB56" s="59">
        <f>+SUM(Data!BM56:BS56)*2+Data!BT56</f>
        <v>5899.9602378561167</v>
      </c>
      <c r="CC56" s="59">
        <f>+SUM(Data!BN56:BT56)*2+Data!BU56</f>
        <v>5703.2362685742901</v>
      </c>
      <c r="CD56" s="59">
        <f>+SUM(Data!BO56:BU56)*2+Data!BV56</f>
        <v>4796.0913372170271</v>
      </c>
      <c r="CE56" s="59">
        <f>+SUM(Data!BP56:BV56)*2+Data!BW56</f>
        <v>4363.7528572062301</v>
      </c>
      <c r="CF56" s="59">
        <f>+SUM(Data!BQ56:BW56)*2+Data!BX56</f>
        <v>4749.3637700416075</v>
      </c>
      <c r="CG56" s="59">
        <f>+SUM(Data!BR56:BX56)*2+Data!BY56</f>
        <v>5112.4535529933592</v>
      </c>
      <c r="CH56" s="59">
        <f>+SUM(Data!BS56:BY56)*2+Data!BZ56</f>
        <v>4710.3893467550397</v>
      </c>
      <c r="CI56" s="59">
        <f>+SUM(Data!BT56:BZ56)*2+Data!CA56</f>
        <v>4292.1122242934043</v>
      </c>
      <c r="CJ56" s="13">
        <f>+SUM(Data!AW56:BC56)*2+Data!BD56</f>
        <v>27783.785315375673</v>
      </c>
      <c r="CK56" s="13">
        <f>+SUM(Data!AX56:BD56)*2+Data!BE56</f>
        <v>26771.462833918711</v>
      </c>
      <c r="CL56" s="13">
        <f>+SUM(Data!AY56:BE56)*2+Data!BF56</f>
        <v>22394.27523078071</v>
      </c>
      <c r="CM56" s="13">
        <f>+SUM(Data!AZ56:BF56)*2+Data!BG56</f>
        <v>20295.015888464452</v>
      </c>
      <c r="CN56" s="13">
        <f>+SUM(Data!BA56:BG56)*2+Data!BH56</f>
        <v>22072.440649359793</v>
      </c>
      <c r="CO56" s="13">
        <f>+SUM(Data!BB56:BH56)*2+Data!BI56</f>
        <v>23734.370237188872</v>
      </c>
      <c r="CP56" s="13">
        <f>+SUM(Data!BC56:BI56)*2+Data!BJ56</f>
        <v>21818.849167669952</v>
      </c>
      <c r="CQ56" s="13">
        <f>+SUM(Data!BD56:BJ56)*2+Data!BK56</f>
        <v>19911.198459683925</v>
      </c>
      <c r="CR56" s="59">
        <f>+SUM(Data!CC56:CI56)*2+Data!CJ56</f>
        <v>39391.279445942157</v>
      </c>
      <c r="CS56" s="59">
        <f>+SUM(Data!CD56:CJ56)*2+Data!CK56</f>
        <v>39019.270319964067</v>
      </c>
      <c r="CT56" s="59">
        <f>+SUM(Data!CE56:CK56)*2+Data!CL56</f>
        <v>33985.899024441198</v>
      </c>
      <c r="CU56" s="59">
        <f>+SUM(Data!CF56:CL56)*2+Data!CM56</f>
        <v>31747.209496851861</v>
      </c>
      <c r="CV56" s="59">
        <f>+SUM(Data!CG56:CM56)*2+Data!CN56</f>
        <v>34909.56357455672</v>
      </c>
      <c r="CW56" s="59">
        <f>+SUM(Data!CH56:CN56)*2+Data!CO56</f>
        <v>37794.905387480037</v>
      </c>
      <c r="CX56" s="59">
        <f>+SUM(Data!CI56:CO56)*2+Data!CP56</f>
        <v>34955.917861141075</v>
      </c>
      <c r="CY56" s="59">
        <f>+SUM(Data!CJ56:CP56)*2+Data!CQ56</f>
        <v>31766.096915420916</v>
      </c>
      <c r="CZ56" s="60">
        <f t="shared" si="60"/>
        <v>73075.02499917394</v>
      </c>
      <c r="DA56" s="60">
        <f t="shared" si="61"/>
        <v>71493.96942245707</v>
      </c>
      <c r="DB56" s="60">
        <f t="shared" si="62"/>
        <v>61176.265592438933</v>
      </c>
      <c r="DC56" s="60">
        <f t="shared" si="63"/>
        <v>56405.978242522542</v>
      </c>
      <c r="DD56" s="60">
        <f t="shared" si="64"/>
        <v>61731.36799395812</v>
      </c>
      <c r="DE56" s="60">
        <f t="shared" si="65"/>
        <v>66641.729177662273</v>
      </c>
      <c r="DF56" s="60">
        <f t="shared" si="66"/>
        <v>61485.156375566068</v>
      </c>
      <c r="DG56" s="60">
        <f t="shared" si="67"/>
        <v>55969.407599398241</v>
      </c>
      <c r="DH56" s="13">
        <f t="shared" si="68"/>
        <v>0.11230772955541203</v>
      </c>
      <c r="DI56" s="13">
        <f t="shared" si="69"/>
        <v>8.3559572969938475E-2</v>
      </c>
      <c r="DJ56" s="13">
        <f t="shared" si="70"/>
        <v>5.8214574423634396E-2</v>
      </c>
      <c r="DK56" s="13">
        <f t="shared" si="71"/>
        <v>3.6272733916500204E-2</v>
      </c>
      <c r="DL56" s="13">
        <f t="shared" si="72"/>
        <v>0</v>
      </c>
      <c r="DM56" s="13">
        <f t="shared" si="73"/>
        <v>0</v>
      </c>
      <c r="DN56" s="13">
        <f t="shared" si="74"/>
        <v>0</v>
      </c>
      <c r="DO56" s="13">
        <f t="shared" si="75"/>
        <v>0</v>
      </c>
      <c r="DP56" s="50">
        <f>DH56*'Useful Constants'!$B$8</f>
        <v>478.43092790605527</v>
      </c>
      <c r="DQ56" s="50">
        <f>DI56*'Useful Constants'!$B$8</f>
        <v>355.96378085193788</v>
      </c>
      <c r="DR56" s="50">
        <f>DJ56*'Useful Constants'!$B$10</f>
        <v>141.46141584943157</v>
      </c>
      <c r="DS56" s="50">
        <f>DK56*'Useful Constants'!$B$10</f>
        <v>88.142743417095488</v>
      </c>
      <c r="DT56" s="50">
        <f>DL56*'Useful Constants'!$B$10</f>
        <v>0</v>
      </c>
      <c r="DU56" s="50">
        <f>DM56*'Useful Constants'!$B$10</f>
        <v>0</v>
      </c>
      <c r="DV56" s="50">
        <f>DN56*'Useful Constants'!$B$10</f>
        <v>0</v>
      </c>
      <c r="DW56" s="50">
        <f>DO56*'Useful Constants'!$B$10</f>
        <v>0</v>
      </c>
      <c r="DX56" s="14">
        <f>DH56*'Useful Constants'!$B$9</f>
        <v>216.08007166461275</v>
      </c>
      <c r="DY56" s="14">
        <f>DI56*'Useful Constants'!$B$9</f>
        <v>160.76861839416162</v>
      </c>
      <c r="DZ56" s="14">
        <f>DJ56*'Useful Constants'!$B$11</f>
        <v>39.411266884800483</v>
      </c>
      <c r="EA56" s="14">
        <f>DK56*'Useful Constants'!$B$11</f>
        <v>24.556640861470637</v>
      </c>
      <c r="EB56" s="14">
        <f>DL56*'Useful Constants'!$B$11</f>
        <v>0</v>
      </c>
      <c r="EC56" s="14">
        <f>DM56*'Useful Constants'!$B$11</f>
        <v>0</v>
      </c>
      <c r="ED56" s="14">
        <f>DN56*'Useful Constants'!$B$11</f>
        <v>0</v>
      </c>
      <c r="EE56" s="14">
        <f>DO56*'Useful Constants'!$B$11</f>
        <v>0</v>
      </c>
      <c r="EF56" s="78">
        <f>(SUM(Data!DI56:DO56)*2+Data!DP56)/('Useful Constants'!$B$1*1000000)*$K56/100</f>
        <v>0.4422484708362599</v>
      </c>
      <c r="EG56" s="78">
        <f>(SUM(Data!DJ56:DP56)*2+Data!DQ56)/('Useful Constants'!$B$1*1000000)*$K56/100</f>
        <v>0.37372265490550732</v>
      </c>
      <c r="EH56" s="78">
        <f>(SUM(Data!DK56:DQ56)*2+Data!DR56)/('Useful Constants'!$B$1*1000000)*$K56/100</f>
        <v>0.32886284179012071</v>
      </c>
      <c r="EI56" s="78">
        <f>(SUM(Data!DL56:DR56)*2+Data!DS56)/('Useful Constants'!$B$1*1000000)*$K56/100</f>
        <v>0.27096842164430579</v>
      </c>
      <c r="EJ56" s="78">
        <f>(SUM(Data!DM56:DS56)*2+Data!DT56)/('Useful Constants'!$B$1*1000000)*$K56/100</f>
        <v>0.21065557427225751</v>
      </c>
      <c r="EK56" s="78">
        <f>(SUM(Data!DN56:DT56)*2+Data!DU56)/('Useful Constants'!$B$1*1000000)*$K56/100</f>
        <v>0.11496214032955893</v>
      </c>
      <c r="EL56" s="78">
        <f>(SUM(Data!DO56:DU56)*2+Data!DV56)/('Useful Constants'!$B$1*1000000)*$K56/100</f>
        <v>5.4998193226942806E-2</v>
      </c>
      <c r="EM56" s="78">
        <f>(SUM(Data!DP56:DV56)*2+Data!DW56)/('Useful Constants'!$B$1*1000000)*$K56/100</f>
        <v>1.7290092445501778E-2</v>
      </c>
      <c r="EN56" s="79">
        <f>EF56*'Useful Constants'!$B$3</f>
        <v>37.148871550245829</v>
      </c>
      <c r="EO56" s="79">
        <f>EG56*'Useful Constants'!$B$3</f>
        <v>31.392703012062615</v>
      </c>
      <c r="EP56" s="79">
        <f>EH56*'Useful Constants'!$B$3</f>
        <v>27.624478710370141</v>
      </c>
      <c r="EQ56" s="79">
        <f>EI56*'Useful Constants'!$B$3</f>
        <v>22.761347418121687</v>
      </c>
      <c r="ER56" s="79">
        <f>EJ56*'Useful Constants'!$B$3</f>
        <v>17.695068238869631</v>
      </c>
      <c r="ES56" s="79">
        <f>EK56*'Useful Constants'!$B$3</f>
        <v>9.6568197876829505</v>
      </c>
      <c r="ET56" s="79">
        <f>EL56*'Useful Constants'!$B$3</f>
        <v>4.6198482310631954</v>
      </c>
      <c r="EU56" s="79">
        <f>EM56*'Useful Constants'!$B$3</f>
        <v>1.4523677654221494</v>
      </c>
      <c r="EV56" s="78">
        <f>EF56*'Useful Constants'!$B$4</f>
        <v>12.382957183415277</v>
      </c>
      <c r="EW56" s="78">
        <f>EG56*'Useful Constants'!$B$4</f>
        <v>10.464234337354204</v>
      </c>
      <c r="EX56" s="78">
        <f>EH56*'Useful Constants'!$B$4</f>
        <v>9.2081595701233798</v>
      </c>
      <c r="EY56" s="78">
        <f>EI56*'Useful Constants'!$B$4</f>
        <v>7.5871158060405621</v>
      </c>
      <c r="EZ56" s="78">
        <f>EJ56*'Useful Constants'!$B$4</f>
        <v>5.89835607962321</v>
      </c>
      <c r="FA56" s="78">
        <f>EK56*'Useful Constants'!$B$4</f>
        <v>3.2189399292276502</v>
      </c>
      <c r="FB56" s="78">
        <f>EL56*'Useful Constants'!$B$4</f>
        <v>1.5399494103543985</v>
      </c>
      <c r="FC56" s="78">
        <f>EM56*'Useful Constants'!$B$4</f>
        <v>0.48412258847404976</v>
      </c>
      <c r="FD56" s="40">
        <f t="shared" si="76"/>
        <v>-0.21314721566011482</v>
      </c>
      <c r="FE56" s="40">
        <f t="shared" si="77"/>
        <v>-0.18774207778950652</v>
      </c>
      <c r="FF56" s="40">
        <f t="shared" si="78"/>
        <v>-1.9813359134540867E-2</v>
      </c>
      <c r="FG56" s="40">
        <f t="shared" si="79"/>
        <v>5.8172629820353268E-2</v>
      </c>
      <c r="FH56" s="40">
        <f t="shared" si="80"/>
        <v>-2.9205290961463456E-2</v>
      </c>
      <c r="FI56" s="40">
        <f t="shared" si="81"/>
        <v>-0.10950612875795032</v>
      </c>
      <c r="FJ56" s="40">
        <f t="shared" si="82"/>
        <v>-2.5233100433949843E-2</v>
      </c>
      <c r="FK56" s="40">
        <f t="shared" si="83"/>
        <v>6.5230268008778639E-2</v>
      </c>
      <c r="FL56" s="4">
        <f t="shared" si="84"/>
        <v>0.35066752846096855</v>
      </c>
      <c r="FM56" s="4">
        <f t="shared" si="85"/>
        <v>0.36550960256648352</v>
      </c>
      <c r="FN56" s="4">
        <f t="shared" si="86"/>
        <v>0.45752552434526178</v>
      </c>
      <c r="FO56" s="4">
        <f t="shared" si="87"/>
        <v>0.49979061106155942</v>
      </c>
      <c r="FP56" s="4">
        <f t="shared" si="88"/>
        <v>0.453915714152264</v>
      </c>
      <c r="FQ56" s="4">
        <f t="shared" si="89"/>
        <v>0.41100161321048007</v>
      </c>
      <c r="FR56" s="4">
        <f t="shared" si="90"/>
        <v>0.45616995382826719</v>
      </c>
      <c r="FS56" s="4">
        <f t="shared" si="91"/>
        <v>0.50455602320565163</v>
      </c>
      <c r="FT56" s="38">
        <f t="shared" si="92"/>
        <v>5.942595702643784E-2</v>
      </c>
      <c r="FU56" s="38">
        <f t="shared" si="93"/>
        <v>7.9942257960925966E-2</v>
      </c>
      <c r="FV56" s="38">
        <f t="shared" si="94"/>
        <v>0.21189877265974746</v>
      </c>
      <c r="FW56" s="38">
        <f t="shared" si="95"/>
        <v>0.27259936138162411</v>
      </c>
      <c r="FX56" s="38">
        <f t="shared" si="96"/>
        <v>0.20522017878888038</v>
      </c>
      <c r="FY56" s="38">
        <f t="shared" si="97"/>
        <v>0.14297425987632606</v>
      </c>
      <c r="FZ56" s="38">
        <f t="shared" si="98"/>
        <v>0.20836575672063604</v>
      </c>
      <c r="GA56" s="38">
        <f t="shared" si="99"/>
        <v>0.27849449716496449</v>
      </c>
    </row>
    <row r="57" spans="1:183" x14ac:dyDescent="0.25">
      <c r="A57" s="1" t="str">
        <f>Data!A57</f>
        <v>ND_FARGO-HECTOR-IAP_727530_TY3A</v>
      </c>
      <c r="B57" s="1" t="str">
        <f>TY3A_REP_CITIES!B57</f>
        <v>Fargo</v>
      </c>
      <c r="C57" s="1" t="str">
        <f>TY3A_REP_CITIES!C57</f>
        <v>Cass</v>
      </c>
      <c r="D57" s="2" t="str">
        <f>TY3A_REP_CITIES!A57</f>
        <v>ND</v>
      </c>
      <c r="E57" s="42">
        <f>TY3A_REP_CITIES!E57</f>
        <v>181923</v>
      </c>
      <c r="F57" s="2">
        <f>TY3A_REP_CITIES!G57</f>
        <v>7</v>
      </c>
      <c r="G57" s="2" t="str">
        <f>TY3A_REP_CITIES!H57</f>
        <v>Very Cold</v>
      </c>
      <c r="H57" s="2" t="str">
        <f>TY3A_REP_CITIES!I57</f>
        <v>Midwest</v>
      </c>
      <c r="I57" s="2">
        <f>Data!B57</f>
        <v>46.93</v>
      </c>
      <c r="J57" s="2">
        <f>Data!C57</f>
        <v>-96.82</v>
      </c>
      <c r="K57" s="2">
        <f>VLOOKUP(D57,Table1[],2,FALSE)</f>
        <v>2.2000000000000002</v>
      </c>
      <c r="L57" s="2">
        <v>0.5</v>
      </c>
      <c r="M57" s="10">
        <f>Data!N57</f>
        <v>6921.5049799999997</v>
      </c>
      <c r="N57" s="10">
        <f>Data!Q57</f>
        <v>29308</v>
      </c>
      <c r="O57" s="10">
        <f>Data!O57</f>
        <v>88107231480.753998</v>
      </c>
      <c r="P57" s="10">
        <f>Data!P57</f>
        <v>91778366125.785828</v>
      </c>
      <c r="Q57" s="10">
        <f>Data!S57*15</f>
        <v>69248.060157071624</v>
      </c>
      <c r="R57" s="48">
        <f>SUM(Data!U57:AA57)*2+Data!AB57</f>
        <v>1606.3321838004972</v>
      </c>
      <c r="S57" s="48">
        <f>SUM(Data!V57:AB57)*2+Data!AC57</f>
        <v>1557.3711931370688</v>
      </c>
      <c r="T57" s="48">
        <f>SUM(Data!W57:AC57)*2+Data!AD57</f>
        <v>1312.8121507291658</v>
      </c>
      <c r="U57" s="48">
        <f>SUM(Data!X57:AD57)*2+Data!AE57</f>
        <v>1199.5732057378063</v>
      </c>
      <c r="V57" s="48">
        <f>SUM(Data!Y57:AE57)*2+Data!AF57</f>
        <v>1307.4401570014343</v>
      </c>
      <c r="W57" s="48">
        <f>SUM(Data!Z57:AF57)*2+Data!AG57</f>
        <v>1408.5815939336794</v>
      </c>
      <c r="X57" s="48">
        <f>SUM(Data!AA57:AG57)*2+Data!AH57</f>
        <v>1301.7537952250325</v>
      </c>
      <c r="Y57" s="48">
        <f>SUM(Data!AB57:AH57)*2+Data!AI57</f>
        <v>1187.8087466733214</v>
      </c>
      <c r="Z57" s="80">
        <f>(SUM(Data!CS57:CY57)*2+Data!CZ57)/('Useful Constants'!$B$1*1000000)*$K57/100</f>
        <v>1.2843319318533211E-2</v>
      </c>
      <c r="AA57" s="80">
        <f>(SUM(Data!CT57:CZ57)*2+Data!DA57)/('Useful Constants'!$B$1*1000000)*$K57/100</f>
        <v>1.0607616511771684E-2</v>
      </c>
      <c r="AB57" s="80">
        <f>(SUM(Data!CU57:DA57)*2+Data!DB57)/('Useful Constants'!$B$1*1000000)*$K57/100</f>
        <v>9.1997638678748619E-3</v>
      </c>
      <c r="AC57" s="80">
        <f>(SUM(Data!CV57:DB57)*2+Data!DC57)/('Useful Constants'!$B$1*1000000)*$K57/100</f>
        <v>7.76914927943014E-3</v>
      </c>
      <c r="AD57" s="80">
        <f>(SUM(Data!CW57:DC57)*2+Data!DD57)/('Useful Constants'!$B$1*1000000)*$K57/100</f>
        <v>6.3218428962431373E-3</v>
      </c>
      <c r="AE57" s="80">
        <f>(SUM(Data!CX57:DD57)*2+Data!DE57)/('Useful Constants'!$B$1*1000000)*$K57/100</f>
        <v>3.512486014903365E-3</v>
      </c>
      <c r="AF57" s="80">
        <f>(SUM(Data!CY57:DE57)*2+Data!DF57)/('Useful Constants'!$B$1*1000000)*$K57/100</f>
        <v>1.5613745720002184E-3</v>
      </c>
      <c r="AG57" s="80">
        <f>(SUM(Data!CZ57:DF57)*2+Data!DG57)/('Useful Constants'!$B$1*1000000)*$K57/100</f>
        <v>3.3331712562203867E-4</v>
      </c>
      <c r="AH57" s="48">
        <f>Z57*'Useful Constants'!$B$3</f>
        <v>1.0788388227567898</v>
      </c>
      <c r="AI57" s="48">
        <f>AA57*'Useful Constants'!$B$3</f>
        <v>0.89103978698882147</v>
      </c>
      <c r="AJ57" s="48">
        <f>AB57*'Useful Constants'!$B$3</f>
        <v>0.77278016490148838</v>
      </c>
      <c r="AK57" s="48">
        <f>AC57*'Useful Constants'!$B$3</f>
        <v>0.65260853947213171</v>
      </c>
      <c r="AL57" s="48">
        <f>AD57*'Useful Constants'!$B$3</f>
        <v>0.53103480328442354</v>
      </c>
      <c r="AM57" s="48">
        <f>AE57*'Useful Constants'!$B$3</f>
        <v>0.29504882525188264</v>
      </c>
      <c r="AN57" s="48">
        <f>AF57*'Useful Constants'!$B$3</f>
        <v>0.13115546404801834</v>
      </c>
      <c r="AO57" s="48">
        <f>AG57*'Useful Constants'!$B$3</f>
        <v>2.7998638552251248E-2</v>
      </c>
      <c r="AP57" s="10">
        <f>Z57*'Useful Constants'!$B$4</f>
        <v>0.35961294091892992</v>
      </c>
      <c r="AQ57" s="10">
        <f>AA57*'Useful Constants'!$B$4</f>
        <v>0.29701326232960717</v>
      </c>
      <c r="AR57" s="10">
        <f>AB57*'Useful Constants'!$B$4</f>
        <v>0.25759338830049616</v>
      </c>
      <c r="AS57" s="10">
        <f>AC57*'Useful Constants'!$B$4</f>
        <v>0.21753617982404391</v>
      </c>
      <c r="AT57" s="10">
        <f>AD57*'Useful Constants'!$B$4</f>
        <v>0.17701160109480785</v>
      </c>
      <c r="AU57" s="10">
        <f>AE57*'Useful Constants'!$B$4</f>
        <v>9.8349608417294218E-2</v>
      </c>
      <c r="AV57" s="10">
        <f>AF57*'Useful Constants'!$B$4</f>
        <v>4.3718488016006113E-2</v>
      </c>
      <c r="AW57" s="10">
        <f>AG57*'Useful Constants'!$B$4</f>
        <v>9.3328795174170837E-3</v>
      </c>
      <c r="AX57" s="48">
        <f>P57/1000000/'Useful Constants'!$B$1*K57/100*'Useful Constants'!$B$3*15</f>
        <v>50881.92618013567</v>
      </c>
      <c r="AY57" s="48">
        <f>P57/1000000/'Useful Constants'!$B$1*L57/100*'Useful Constants'!$B$3*15</f>
        <v>11564.074131849015</v>
      </c>
      <c r="AZ57" s="48">
        <f>P57/1000000/'Useful Constants'!$B$1*K57/100*'Useful Constants'!$B$4*15</f>
        <v>16960.642060045222</v>
      </c>
      <c r="BA57" s="48">
        <f>P57/1000000/'Useful Constants'!$B$1*L57/100*'Useful Constants'!$B$4*15</f>
        <v>3854.6913772830044</v>
      </c>
      <c r="BB57" s="7">
        <f>Data!AN57</f>
        <v>6921.5049799999997</v>
      </c>
      <c r="BC57" s="7">
        <f>Data!AQ57</f>
        <v>6921.5049799999997</v>
      </c>
      <c r="BD57" s="7">
        <f>Data!AT57</f>
        <v>11838.234560000001</v>
      </c>
      <c r="BE57" s="6">
        <f>Data!AO57</f>
        <v>48747548345.887604</v>
      </c>
      <c r="BF57" s="6">
        <f>Data!AP57</f>
        <v>20108411272.574001</v>
      </c>
      <c r="BG57" s="6">
        <f>Data!AR57</f>
        <v>36219790556.991203</v>
      </c>
      <c r="BH57" s="6">
        <f>Data!AS57</f>
        <v>36219790556.991203</v>
      </c>
      <c r="BI57" s="8">
        <f t="shared" si="50"/>
        <v>0.57372102004522074</v>
      </c>
      <c r="BJ57" s="8">
        <f t="shared" si="51"/>
        <v>0.35698656480135715</v>
      </c>
      <c r="BK57" s="13">
        <f>BB57*'Useful Constants'!$B$5/'Useful Constants'!$B$6*'Useful Constants'!$B$7</f>
        <v>1.771213124382</v>
      </c>
      <c r="BL57" s="52">
        <f>1-VLOOKUP($G57,'Useful Constants'!$A$17:$X$23,10,FALSE)</f>
        <v>6.6471999999999865E-2</v>
      </c>
      <c r="BM57" s="52">
        <f>1-VLOOKUP($G57,'Useful Constants'!$A$17:$X$23,12,FALSE)</f>
        <v>4.945672000000001E-2</v>
      </c>
      <c r="BN57" s="52">
        <f>1-VLOOKUP($G57,'Useful Constants'!$A$17:$X$23,14,FALSE)</f>
        <v>3.4455679999999989E-2</v>
      </c>
      <c r="BO57" s="52">
        <f>1-VLOOKUP($G57,'Useful Constants'!$A$17:$X$23,16,FALSE)</f>
        <v>2.1468880000000024E-2</v>
      </c>
      <c r="BP57" s="52">
        <f>1-VLOOKUP($G57,'Useful Constants'!$A$17:$X$23,18,FALSE)</f>
        <v>0</v>
      </c>
      <c r="BQ57" s="52">
        <f>1-VLOOKUP($G57,'Useful Constants'!$A$17:$X$23,20, FALSE)</f>
        <v>0</v>
      </c>
      <c r="BR57" s="52">
        <f>1-VLOOKUP($G57,'Useful Constants'!$A$17:$X$23,22, FALSE)</f>
        <v>0</v>
      </c>
      <c r="BS57" s="52">
        <f>1-VLOOKUP($G57,'Useful Constants'!$A$17:$X$23,24, FALSE)</f>
        <v>0</v>
      </c>
      <c r="BT57" s="13">
        <f t="shared" si="52"/>
        <v>0.11773607880392006</v>
      </c>
      <c r="BU57" s="13">
        <f t="shared" si="53"/>
        <v>8.7598391552885763E-2</v>
      </c>
      <c r="BV57" s="13">
        <f t="shared" si="54"/>
        <v>6.102835262550637E-2</v>
      </c>
      <c r="BW57" s="13">
        <f t="shared" si="55"/>
        <v>3.8025962021782274E-2</v>
      </c>
      <c r="BX57" s="13">
        <f t="shared" si="56"/>
        <v>0</v>
      </c>
      <c r="BY57" s="13">
        <f t="shared" si="57"/>
        <v>0</v>
      </c>
      <c r="BZ57" s="13">
        <f t="shared" si="58"/>
        <v>0</v>
      </c>
      <c r="CA57" s="13">
        <f t="shared" si="59"/>
        <v>0</v>
      </c>
      <c r="CB57" s="59">
        <f>+SUM(Data!BM57:BS57)*2+Data!BT57</f>
        <v>6332.9204947192547</v>
      </c>
      <c r="CC57" s="59">
        <f>+SUM(Data!BN57:BT57)*2+Data!BU57</f>
        <v>6120.4820243555532</v>
      </c>
      <c r="CD57" s="59">
        <f>+SUM(Data!BO57:BU57)*2+Data!BV57</f>
        <v>5140.1067563284705</v>
      </c>
      <c r="CE57" s="59">
        <f>+SUM(Data!BP57:BV57)*2+Data!BW57</f>
        <v>4678.0231255546942</v>
      </c>
      <c r="CF57" s="59">
        <f>+SUM(Data!BQ57:BW57)*2+Data!BX57</f>
        <v>5092.258931819495</v>
      </c>
      <c r="CG57" s="59">
        <f>+SUM(Data!BR57:BX57)*2+Data!BY57</f>
        <v>5483.8410069417741</v>
      </c>
      <c r="CH57" s="59">
        <f>+SUM(Data!BS57:BY57)*2+Data!BZ57</f>
        <v>5056.6249861232882</v>
      </c>
      <c r="CI57" s="59">
        <f>+SUM(Data!BT57:BZ57)*2+Data!CA57</f>
        <v>4615.8149374141049</v>
      </c>
      <c r="CJ57" s="13">
        <f>+SUM(Data!AW57:BC57)*2+Data!BD57</f>
        <v>28949.779433680815</v>
      </c>
      <c r="CK57" s="13">
        <f>+SUM(Data!AX57:BD57)*2+Data!BE57</f>
        <v>27747.715796464956</v>
      </c>
      <c r="CL57" s="13">
        <f>+SUM(Data!AY57:BE57)*2+Data!BF57</f>
        <v>23063.42315005379</v>
      </c>
      <c r="CM57" s="13">
        <f>+SUM(Data!AZ57:BF57)*2+Data!BG57</f>
        <v>20747.543161046986</v>
      </c>
      <c r="CN57" s="13">
        <f>+SUM(Data!BA57:BG57)*2+Data!BH57</f>
        <v>22460.662864831018</v>
      </c>
      <c r="CO57" s="13">
        <f>+SUM(Data!BB57:BH57)*2+Data!BI57</f>
        <v>24152.942317696863</v>
      </c>
      <c r="CP57" s="13">
        <f>+SUM(Data!BC57:BI57)*2+Data!BJ57</f>
        <v>22156.228049069363</v>
      </c>
      <c r="CQ57" s="13">
        <f>+SUM(Data!BD57:BJ57)*2+Data!BK57</f>
        <v>20290.777926292656</v>
      </c>
      <c r="CR57" s="59">
        <f>+SUM(Data!CC57:CI57)*2+Data!CJ57</f>
        <v>58878.514982622204</v>
      </c>
      <c r="CS57" s="59">
        <f>+SUM(Data!CD57:CJ57)*2+Data!CK57</f>
        <v>58462.444003725635</v>
      </c>
      <c r="CT57" s="59">
        <f>+SUM(Data!CE57:CK57)*2+Data!CL57</f>
        <v>50732.495749756468</v>
      </c>
      <c r="CU57" s="59">
        <f>+SUM(Data!CF57:CL57)*2+Data!CM57</f>
        <v>47667.220210019208</v>
      </c>
      <c r="CV57" s="59">
        <f>+SUM(Data!CG57:CM57)*2+Data!CN57</f>
        <v>52578.483972724542</v>
      </c>
      <c r="CW57" s="59">
        <f>+SUM(Data!CH57:CN57)*2+Data!CO57</f>
        <v>56888.565728946181</v>
      </c>
      <c r="CX57" s="59">
        <f>+SUM(Data!CI57:CO57)*2+Data!CP57</f>
        <v>52969.080870080208</v>
      </c>
      <c r="CY57" s="59">
        <f>+SUM(Data!CJ57:CP57)*2+Data!CQ57</f>
        <v>48151.38361335051</v>
      </c>
      <c r="CZ57" s="60">
        <f t="shared" si="60"/>
        <v>94161.214911022282</v>
      </c>
      <c r="DA57" s="60">
        <f t="shared" si="61"/>
        <v>92330.641824546154</v>
      </c>
      <c r="DB57" s="60">
        <f t="shared" si="62"/>
        <v>78936.025656138721</v>
      </c>
      <c r="DC57" s="60">
        <f t="shared" si="63"/>
        <v>73092.786496620887</v>
      </c>
      <c r="DD57" s="60">
        <f t="shared" si="64"/>
        <v>80131.405769375051</v>
      </c>
      <c r="DE57" s="60">
        <f t="shared" si="65"/>
        <v>86525.349053584825</v>
      </c>
      <c r="DF57" s="60">
        <f t="shared" si="66"/>
        <v>80181.933905272861</v>
      </c>
      <c r="DG57" s="60">
        <f t="shared" si="67"/>
        <v>73057.976477057266</v>
      </c>
      <c r="DH57" s="13">
        <f t="shared" si="68"/>
        <v>0.12105300830676007</v>
      </c>
      <c r="DI57" s="13">
        <f t="shared" si="69"/>
        <v>9.0066264547254776E-2</v>
      </c>
      <c r="DJ57" s="13">
        <f t="shared" si="70"/>
        <v>6.2747678981451949E-2</v>
      </c>
      <c r="DK57" s="13">
        <f t="shared" si="71"/>
        <v>3.9097251609351957E-2</v>
      </c>
      <c r="DL57" s="13">
        <f t="shared" si="72"/>
        <v>0</v>
      </c>
      <c r="DM57" s="13">
        <f t="shared" si="73"/>
        <v>0</v>
      </c>
      <c r="DN57" s="13">
        <f t="shared" si="74"/>
        <v>0</v>
      </c>
      <c r="DO57" s="13">
        <f t="shared" si="75"/>
        <v>0</v>
      </c>
      <c r="DP57" s="50">
        <f>DH57*'Useful Constants'!$B$8</f>
        <v>515.68581538679791</v>
      </c>
      <c r="DQ57" s="50">
        <f>DI57*'Useful Constants'!$B$8</f>
        <v>383.68228697130536</v>
      </c>
      <c r="DR57" s="50">
        <f>DJ57*'Useful Constants'!$B$10</f>
        <v>152.47685992492825</v>
      </c>
      <c r="DS57" s="50">
        <f>DK57*'Useful Constants'!$B$10</f>
        <v>95.006321410725263</v>
      </c>
      <c r="DT57" s="50">
        <f>DL57*'Useful Constants'!$B$10</f>
        <v>0</v>
      </c>
      <c r="DU57" s="50">
        <f>DM57*'Useful Constants'!$B$10</f>
        <v>0</v>
      </c>
      <c r="DV57" s="50">
        <f>DN57*'Useful Constants'!$B$10</f>
        <v>0</v>
      </c>
      <c r="DW57" s="50">
        <f>DO57*'Useful Constants'!$B$10</f>
        <v>0</v>
      </c>
      <c r="DX57" s="14">
        <f>DH57*'Useful Constants'!$B$9</f>
        <v>232.90598798220637</v>
      </c>
      <c r="DY57" s="14">
        <f>DI57*'Useful Constants'!$B$9</f>
        <v>173.28749298891819</v>
      </c>
      <c r="DZ57" s="14">
        <f>DJ57*'Useful Constants'!$B$11</f>
        <v>42.480178670442967</v>
      </c>
      <c r="EA57" s="14">
        <f>DK57*'Useful Constants'!$B$11</f>
        <v>26.468839339531275</v>
      </c>
      <c r="EB57" s="14">
        <f>DL57*'Useful Constants'!$B$11</f>
        <v>0</v>
      </c>
      <c r="EC57" s="14">
        <f>DM57*'Useful Constants'!$B$11</f>
        <v>0</v>
      </c>
      <c r="ED57" s="14">
        <f>DN57*'Useful Constants'!$B$11</f>
        <v>0</v>
      </c>
      <c r="EE57" s="14">
        <f>DO57*'Useful Constants'!$B$11</f>
        <v>0</v>
      </c>
      <c r="EF57" s="78">
        <f>(SUM(Data!DI57:DO57)*2+Data!DP57)/('Useful Constants'!$B$1*1000000)*$K57/100</f>
        <v>0.70838786436578327</v>
      </c>
      <c r="EG57" s="78">
        <f>(SUM(Data!DJ57:DP57)*2+Data!DQ57)/('Useful Constants'!$B$1*1000000)*$K57/100</f>
        <v>0.56228954779158635</v>
      </c>
      <c r="EH57" s="78">
        <f>(SUM(Data!DK57:DQ57)*2+Data!DR57)/('Useful Constants'!$B$1*1000000)*$K57/100</f>
        <v>0.47862385134797092</v>
      </c>
      <c r="EI57" s="78">
        <f>(SUM(Data!DL57:DR57)*2+Data!DS57)/('Useful Constants'!$B$1*1000000)*$K57/100</f>
        <v>0.39037753343961895</v>
      </c>
      <c r="EJ57" s="78">
        <f>(SUM(Data!DM57:DS57)*2+Data!DT57)/('Useful Constants'!$B$1*1000000)*$K57/100</f>
        <v>0.30593062537506355</v>
      </c>
      <c r="EK57" s="78">
        <f>(SUM(Data!DN57:DT57)*2+Data!DU57)/('Useful Constants'!$B$1*1000000)*$K57/100</f>
        <v>0.16961807353455668</v>
      </c>
      <c r="EL57" s="78">
        <f>(SUM(Data!DO57:DU57)*2+Data!DV57)/('Useful Constants'!$B$1*1000000)*$K57/100</f>
        <v>7.5834390368840793E-2</v>
      </c>
      <c r="EM57" s="78">
        <f>(SUM(Data!DP57:DV57)*2+Data!DW57)/('Useful Constants'!$B$1*1000000)*$K57/100</f>
        <v>1.5938435076524274E-2</v>
      </c>
      <c r="EN57" s="79">
        <f>EF57*'Useful Constants'!$B$3</f>
        <v>59.504580606725796</v>
      </c>
      <c r="EO57" s="79">
        <f>EG57*'Useful Constants'!$B$3</f>
        <v>47.232322014493256</v>
      </c>
      <c r="EP57" s="79">
        <f>EH57*'Useful Constants'!$B$3</f>
        <v>40.204403513229558</v>
      </c>
      <c r="EQ57" s="79">
        <f>EI57*'Useful Constants'!$B$3</f>
        <v>32.79171280892799</v>
      </c>
      <c r="ER57" s="79">
        <f>EJ57*'Useful Constants'!$B$3</f>
        <v>25.698172531505339</v>
      </c>
      <c r="ES57" s="79">
        <f>EK57*'Useful Constants'!$B$3</f>
        <v>14.247918176902761</v>
      </c>
      <c r="ET57" s="79">
        <f>EL57*'Useful Constants'!$B$3</f>
        <v>6.3700887909826269</v>
      </c>
      <c r="EU57" s="79">
        <f>EM57*'Useful Constants'!$B$3</f>
        <v>1.3388285464280389</v>
      </c>
      <c r="EV57" s="78">
        <f>EF57*'Useful Constants'!$B$4</f>
        <v>19.834860202241931</v>
      </c>
      <c r="EW57" s="78">
        <f>EG57*'Useful Constants'!$B$4</f>
        <v>15.744107338164419</v>
      </c>
      <c r="EX57" s="78">
        <f>EH57*'Useful Constants'!$B$4</f>
        <v>13.401467837743185</v>
      </c>
      <c r="EY57" s="78">
        <f>EI57*'Useful Constants'!$B$4</f>
        <v>10.93057093630933</v>
      </c>
      <c r="EZ57" s="78">
        <f>EJ57*'Useful Constants'!$B$4</f>
        <v>8.5660575105017784</v>
      </c>
      <c r="FA57" s="78">
        <f>EK57*'Useful Constants'!$B$4</f>
        <v>4.7493060589675871</v>
      </c>
      <c r="FB57" s="78">
        <f>EL57*'Useful Constants'!$B$4</f>
        <v>2.1233629303275423</v>
      </c>
      <c r="FC57" s="78">
        <f>EM57*'Useful Constants'!$B$4</f>
        <v>0.44627618214267967</v>
      </c>
      <c r="FD57" s="40">
        <f t="shared" si="76"/>
        <v>-0.32893970013917828</v>
      </c>
      <c r="FE57" s="40">
        <f t="shared" si="77"/>
        <v>-0.30400507508911634</v>
      </c>
      <c r="FF57" s="40">
        <f t="shared" si="78"/>
        <v>-0.11869401659043867</v>
      </c>
      <c r="FG57" s="40">
        <f t="shared" si="79"/>
        <v>-3.754779270140652E-2</v>
      </c>
      <c r="FH57" s="40">
        <f t="shared" si="80"/>
        <v>-0.13572160090532273</v>
      </c>
      <c r="FI57" s="40">
        <f t="shared" si="81"/>
        <v>-0.22458903946356532</v>
      </c>
      <c r="FJ57" s="40">
        <f t="shared" si="82"/>
        <v>-0.13652934590995683</v>
      </c>
      <c r="FK57" s="40">
        <f t="shared" si="83"/>
        <v>-3.7226879062081129E-2</v>
      </c>
      <c r="FL57" s="4">
        <f t="shared" si="84"/>
        <v>0.28930713031979483</v>
      </c>
      <c r="FM57" s="4">
        <f t="shared" si="85"/>
        <v>0.3038653694540564</v>
      </c>
      <c r="FN57" s="4">
        <f t="shared" si="86"/>
        <v>0.40508151481338539</v>
      </c>
      <c r="FO57" s="4">
        <f t="shared" si="87"/>
        <v>0.44903135733967808</v>
      </c>
      <c r="FP57" s="4">
        <f t="shared" si="88"/>
        <v>0.39732421421728803</v>
      </c>
      <c r="FQ57" s="4">
        <f t="shared" si="89"/>
        <v>0.34982954659322985</v>
      </c>
      <c r="FR57" s="4">
        <f t="shared" si="90"/>
        <v>0.39706204019240271</v>
      </c>
      <c r="FS57" s="4">
        <f t="shared" si="91"/>
        <v>0.4501936167592287</v>
      </c>
      <c r="FT57" s="38">
        <f t="shared" si="92"/>
        <v>-2.9932014968218113E-2</v>
      </c>
      <c r="FU57" s="38">
        <f t="shared" si="93"/>
        <v>-9.8079154117176465E-3</v>
      </c>
      <c r="FV57" s="38">
        <f t="shared" si="94"/>
        <v>0.13553332645399102</v>
      </c>
      <c r="FW57" s="38">
        <f t="shared" si="95"/>
        <v>0.19868908324081855</v>
      </c>
      <c r="FX57" s="38">
        <f t="shared" si="96"/>
        <v>0.12291687311249984</v>
      </c>
      <c r="FY57" s="38">
        <f t="shared" si="97"/>
        <v>5.4027147162551935E-2</v>
      </c>
      <c r="FZ57" s="38">
        <f t="shared" si="98"/>
        <v>0.12237848686464201</v>
      </c>
      <c r="GA57" s="38">
        <f t="shared" si="99"/>
        <v>0.19937038190481743</v>
      </c>
    </row>
    <row r="58" spans="1:183" x14ac:dyDescent="0.25">
      <c r="A58" s="1" t="str">
        <f>Data!A58</f>
        <v>NE_OMAHA_725530_TY3A</v>
      </c>
      <c r="B58" s="1" t="str">
        <f>TY3A_REP_CITIES!B58</f>
        <v>Omaha</v>
      </c>
      <c r="C58" s="1" t="str">
        <f>TY3A_REP_CITIES!C58</f>
        <v>Douglas</v>
      </c>
      <c r="D58" s="2" t="str">
        <f>TY3A_REP_CITIES!A58</f>
        <v>NE</v>
      </c>
      <c r="E58" s="42">
        <f>TY3A_REP_CITIES!E58</f>
        <v>571327</v>
      </c>
      <c r="F58" s="2">
        <f>TY3A_REP_CITIES!G58</f>
        <v>5</v>
      </c>
      <c r="G58" s="2" t="str">
        <f>TY3A_REP_CITIES!H58</f>
        <v>Cold</v>
      </c>
      <c r="H58" s="2" t="str">
        <f>TY3A_REP_CITIES!I58</f>
        <v>Midwest</v>
      </c>
      <c r="I58" s="2">
        <f>Data!B58</f>
        <v>41.37</v>
      </c>
      <c r="J58" s="2">
        <f>Data!C58</f>
        <v>-96.02</v>
      </c>
      <c r="K58" s="2">
        <f>VLOOKUP(D58,Table1[],2,FALSE)</f>
        <v>2.8</v>
      </c>
      <c r="L58" s="2">
        <v>0.5</v>
      </c>
      <c r="M58" s="10">
        <f>Data!N58</f>
        <v>5764.7194</v>
      </c>
      <c r="N58" s="10">
        <f>Data!Q58</f>
        <v>29308</v>
      </c>
      <c r="O58" s="10">
        <f>Data!O58</f>
        <v>59856170585.639702</v>
      </c>
      <c r="P58" s="10">
        <f>Data!P58</f>
        <v>62350177693.375168</v>
      </c>
      <c r="Q58" s="10">
        <f>Data!S58*15</f>
        <v>47044.080625683251</v>
      </c>
      <c r="R58" s="48">
        <f>SUM(Data!U58:AA58)*2+Data!AB58</f>
        <v>787.94959374778773</v>
      </c>
      <c r="S58" s="48">
        <f>SUM(Data!V58:AB58)*2+Data!AC58</f>
        <v>729.53075226491217</v>
      </c>
      <c r="T58" s="48">
        <f>SUM(Data!W58:AC58)*2+Data!AD58</f>
        <v>683.34723208307014</v>
      </c>
      <c r="U58" s="48">
        <f>SUM(Data!X58:AD58)*2+Data!AE58</f>
        <v>623.83253102993547</v>
      </c>
      <c r="V58" s="48">
        <f>SUM(Data!Y58:AE58)*2+Data!AF58</f>
        <v>626.2995003848381</v>
      </c>
      <c r="W58" s="48">
        <f>SUM(Data!Z58:AF58)*2+Data!AG58</f>
        <v>648.27829059577516</v>
      </c>
      <c r="X58" s="48">
        <f>SUM(Data!AA58:AG58)*2+Data!AH58</f>
        <v>640.71856596791429</v>
      </c>
      <c r="Y58" s="48">
        <f>SUM(Data!AB58:AH58)*2+Data!AI58</f>
        <v>634.26446312789517</v>
      </c>
      <c r="Z58" s="80">
        <f>(SUM(Data!CS58:CY58)*2+Data!CZ58)/('Useful Constants'!$B$1*1000000)*$K58/100</f>
        <v>8.3469363948566994E-2</v>
      </c>
      <c r="AA58" s="80">
        <f>(SUM(Data!CT58:CZ58)*2+Data!DA58)/('Useful Constants'!$B$1*1000000)*$K58/100</f>
        <v>6.3268023383912422E-2</v>
      </c>
      <c r="AB58" s="80">
        <f>(SUM(Data!CU58:DA58)*2+Data!DB58)/('Useful Constants'!$B$1*1000000)*$K58/100</f>
        <v>2.6227452680180074E-2</v>
      </c>
      <c r="AC58" s="80">
        <f>(SUM(Data!CV58:DB58)*2+Data!DC58)/('Useful Constants'!$B$1*1000000)*$K58/100</f>
        <v>1.1395960486346531E-2</v>
      </c>
      <c r="AD58" s="80">
        <f>(SUM(Data!CW58:DC58)*2+Data!DD58)/('Useful Constants'!$B$1*1000000)*$K58/100</f>
        <v>4.2995740997776345E-3</v>
      </c>
      <c r="AE58" s="80">
        <f>(SUM(Data!CX58:DD58)*2+Data!DE58)/('Useful Constants'!$B$1*1000000)*$K58/100</f>
        <v>5.5825154857409268E-4</v>
      </c>
      <c r="AF58" s="80">
        <f>(SUM(Data!CY58:DE58)*2+Data!DF58)/('Useful Constants'!$B$1*1000000)*$K58/100</f>
        <v>2.6882621207572699E-4</v>
      </c>
      <c r="AG58" s="80">
        <f>(SUM(Data!CZ58:DF58)*2+Data!DG58)/('Useful Constants'!$B$1*1000000)*$K58/100</f>
        <v>1.8801239904376845E-4</v>
      </c>
      <c r="AH58" s="48">
        <f>Z58*'Useful Constants'!$B$3</f>
        <v>7.0114265716796274</v>
      </c>
      <c r="AI58" s="48">
        <f>AA58*'Useful Constants'!$B$3</f>
        <v>5.3145139642486434</v>
      </c>
      <c r="AJ58" s="48">
        <f>AB58*'Useful Constants'!$B$3</f>
        <v>2.203106025135126</v>
      </c>
      <c r="AK58" s="48">
        <f>AC58*'Useful Constants'!$B$3</f>
        <v>0.95726068085310856</v>
      </c>
      <c r="AL58" s="48">
        <f>AD58*'Useful Constants'!$B$3</f>
        <v>0.36116422438132129</v>
      </c>
      <c r="AM58" s="48">
        <f>AE58*'Useful Constants'!$B$3</f>
        <v>4.6893130080223784E-2</v>
      </c>
      <c r="AN58" s="48">
        <f>AF58*'Useful Constants'!$B$3</f>
        <v>2.2581401814361066E-2</v>
      </c>
      <c r="AO58" s="48">
        <f>AG58*'Useful Constants'!$B$3</f>
        <v>1.5793041519676549E-2</v>
      </c>
      <c r="AP58" s="10">
        <f>Z58*'Useful Constants'!$B$4</f>
        <v>2.3371421905598759</v>
      </c>
      <c r="AQ58" s="10">
        <f>AA58*'Useful Constants'!$B$4</f>
        <v>1.7715046547495479</v>
      </c>
      <c r="AR58" s="10">
        <f>AB58*'Useful Constants'!$B$4</f>
        <v>0.73436867504504211</v>
      </c>
      <c r="AS58" s="10">
        <f>AC58*'Useful Constants'!$B$4</f>
        <v>0.31908689361770287</v>
      </c>
      <c r="AT58" s="10">
        <f>AD58*'Useful Constants'!$B$4</f>
        <v>0.12038807479377377</v>
      </c>
      <c r="AU58" s="10">
        <f>AE58*'Useful Constants'!$B$4</f>
        <v>1.5631043360074596E-2</v>
      </c>
      <c r="AV58" s="10">
        <f>AF58*'Useful Constants'!$B$4</f>
        <v>7.5271339381203558E-3</v>
      </c>
      <c r="AW58" s="10">
        <f>AG58*'Useful Constants'!$B$4</f>
        <v>5.2643471732255163E-3</v>
      </c>
      <c r="AX58" s="48">
        <f>P58/1000000/'Useful Constants'!$B$1*K58/100*'Useful Constants'!$B$3*15</f>
        <v>43994.285380445508</v>
      </c>
      <c r="AY58" s="48">
        <f>P58/1000000/'Useful Constants'!$B$1*L58/100*'Useful Constants'!$B$3*15</f>
        <v>7856.1223893652714</v>
      </c>
      <c r="AZ58" s="48">
        <f>P58/1000000/'Useful Constants'!$B$1*K58/100*'Useful Constants'!$B$4*15</f>
        <v>14664.761793481837</v>
      </c>
      <c r="BA58" s="48">
        <f>P58/1000000/'Useful Constants'!$B$1*L58/100*'Useful Constants'!$B$4*15</f>
        <v>2618.707463121757</v>
      </c>
      <c r="BB58" s="7">
        <f>Data!AN58</f>
        <v>5764.7194</v>
      </c>
      <c r="BC58" s="7">
        <f>Data!AQ58</f>
        <v>5764.7194</v>
      </c>
      <c r="BD58" s="7">
        <f>Data!AT58</f>
        <v>9384.8183399999998</v>
      </c>
      <c r="BE58" s="6">
        <f>Data!AO58</f>
        <v>44773170286.840103</v>
      </c>
      <c r="BF58" s="6">
        <f>Data!AP58</f>
        <v>16422642982.0177</v>
      </c>
      <c r="BG58" s="6">
        <f>Data!AR58</f>
        <v>12877191308.7964</v>
      </c>
      <c r="BH58" s="6">
        <f>Data!AS58</f>
        <v>12877191308.7964</v>
      </c>
      <c r="BI58" s="8">
        <f t="shared" si="50"/>
        <v>0.77663294813104755</v>
      </c>
      <c r="BJ58" s="8">
        <f t="shared" si="51"/>
        <v>0.56050293046081912</v>
      </c>
      <c r="BK58" s="13">
        <f>BB58*'Useful Constants'!$B$5/'Useful Constants'!$B$6*'Useful Constants'!$B$7</f>
        <v>1.4751916944600001</v>
      </c>
      <c r="BL58" s="52">
        <f>1-VLOOKUP($G58,'Useful Constants'!$A$17:$X$23,10,FALSE)</f>
        <v>6.6471999999999865E-2</v>
      </c>
      <c r="BM58" s="52">
        <f>1-VLOOKUP($G58,'Useful Constants'!$A$17:$X$23,12,FALSE)</f>
        <v>4.945672000000001E-2</v>
      </c>
      <c r="BN58" s="52">
        <f>1-VLOOKUP($G58,'Useful Constants'!$A$17:$X$23,14,FALSE)</f>
        <v>3.4455679999999989E-2</v>
      </c>
      <c r="BO58" s="52">
        <f>1-VLOOKUP($G58,'Useful Constants'!$A$17:$X$23,16,FALSE)</f>
        <v>2.1468880000000024E-2</v>
      </c>
      <c r="BP58" s="52">
        <f>1-VLOOKUP($G58,'Useful Constants'!$A$17:$X$23,18,FALSE)</f>
        <v>0</v>
      </c>
      <c r="BQ58" s="52">
        <f>1-VLOOKUP($G58,'Useful Constants'!$A$17:$X$23,20, FALSE)</f>
        <v>0</v>
      </c>
      <c r="BR58" s="52">
        <f>1-VLOOKUP($G58,'Useful Constants'!$A$17:$X$23,22, FALSE)</f>
        <v>0</v>
      </c>
      <c r="BS58" s="52">
        <f>1-VLOOKUP($G58,'Useful Constants'!$A$17:$X$23,24, FALSE)</f>
        <v>0</v>
      </c>
      <c r="BT58" s="13">
        <f t="shared" si="52"/>
        <v>9.8058942314144928E-2</v>
      </c>
      <c r="BU58" s="13">
        <f t="shared" si="53"/>
        <v>7.295814257923379E-2</v>
      </c>
      <c r="BV58" s="13">
        <f t="shared" si="54"/>
        <v>5.0828732962971516E-2</v>
      </c>
      <c r="BW58" s="13">
        <f t="shared" si="55"/>
        <v>3.1670713465358442E-2</v>
      </c>
      <c r="BX58" s="13">
        <f t="shared" si="56"/>
        <v>0</v>
      </c>
      <c r="BY58" s="13">
        <f t="shared" si="57"/>
        <v>0</v>
      </c>
      <c r="BZ58" s="13">
        <f t="shared" si="58"/>
        <v>0</v>
      </c>
      <c r="CA58" s="13">
        <f t="shared" si="59"/>
        <v>0</v>
      </c>
      <c r="CB58" s="59">
        <f>+SUM(Data!BM58:BS58)*2+Data!BT58</f>
        <v>3923.5522291652437</v>
      </c>
      <c r="CC58" s="59">
        <f>+SUM(Data!BN58:BT58)*2+Data!BU58</f>
        <v>3631.158094309536</v>
      </c>
      <c r="CD58" s="59">
        <f>+SUM(Data!BO58:BU58)*2+Data!BV58</f>
        <v>3397.0686788866396</v>
      </c>
      <c r="CE58" s="59">
        <f>+SUM(Data!BP58:BV58)*2+Data!BW58</f>
        <v>3098.3197027306737</v>
      </c>
      <c r="CF58" s="59">
        <f>+SUM(Data!BQ58:BW58)*2+Data!BX58</f>
        <v>3103.5618289755121</v>
      </c>
      <c r="CG58" s="59">
        <f>+SUM(Data!BR58:BX58)*2+Data!BY58</f>
        <v>3206.8130782038638</v>
      </c>
      <c r="CH58" s="59">
        <f>+SUM(Data!BS58:BY58)*2+Data!BZ58</f>
        <v>3163.0736010559212</v>
      </c>
      <c r="CI58" s="59">
        <f>+SUM(Data!BT58:BZ58)*2+Data!CA58</f>
        <v>3128.2723969982071</v>
      </c>
      <c r="CJ58" s="13">
        <f>+SUM(Data!AW58:BC58)*2+Data!BD58</f>
        <v>22277.931018983785</v>
      </c>
      <c r="CK58" s="13">
        <f>+SUM(Data!AX58:BD58)*2+Data!BE58</f>
        <v>20668.444360394002</v>
      </c>
      <c r="CL58" s="13">
        <f>+SUM(Data!AY58:BE58)*2+Data!BF58</f>
        <v>19370.563746322438</v>
      </c>
      <c r="CM58" s="13">
        <f>+SUM(Data!AZ58:BF58)*2+Data!BG58</f>
        <v>17700.964859782875</v>
      </c>
      <c r="CN58" s="13">
        <f>+SUM(Data!BA58:BG58)*2+Data!BH58</f>
        <v>17772.767663812243</v>
      </c>
      <c r="CO58" s="13">
        <f>+SUM(Data!BB58:BH58)*2+Data!BI58</f>
        <v>18371.858555588973</v>
      </c>
      <c r="CP58" s="13">
        <f>+SUM(Data!BC58:BI58)*2+Data!BJ58</f>
        <v>18155.630307730979</v>
      </c>
      <c r="CQ58" s="13">
        <f>+SUM(Data!BD58:BJ58)*2+Data!BK58</f>
        <v>17994.060080170741</v>
      </c>
      <c r="CR58" s="59">
        <f>+SUM(Data!CC58:CI58)*2+Data!CJ58</f>
        <v>18939.208249951807</v>
      </c>
      <c r="CS58" s="59">
        <f>+SUM(Data!CD58:CJ58)*2+Data!CK58</f>
        <v>17712.215082520845</v>
      </c>
      <c r="CT58" s="59">
        <f>+SUM(Data!CE58:CK58)*2+Data!CL58</f>
        <v>16812.736538220608</v>
      </c>
      <c r="CU58" s="59">
        <f>+SUM(Data!CF58:CL58)*2+Data!CM58</f>
        <v>15495.709541394026</v>
      </c>
      <c r="CV58" s="59">
        <f>+SUM(Data!CG58:CM58)*2+Data!CN58</f>
        <v>16006.547564891445</v>
      </c>
      <c r="CW58" s="59">
        <f>+SUM(Data!CH58:CN58)*2+Data!CO58</f>
        <v>16919.855666953259</v>
      </c>
      <c r="CX58" s="59">
        <f>+SUM(Data!CI58:CO58)*2+Data!CP58</f>
        <v>17077.400826754038</v>
      </c>
      <c r="CY58" s="59">
        <f>+SUM(Data!CJ58:CP58)*2+Data!CQ58</f>
        <v>17115.929262866179</v>
      </c>
      <c r="CZ58" s="60">
        <f t="shared" si="60"/>
        <v>45140.691498100838</v>
      </c>
      <c r="DA58" s="60">
        <f t="shared" si="61"/>
        <v>42011.817537224386</v>
      </c>
      <c r="DB58" s="60">
        <f t="shared" si="62"/>
        <v>39580.36896342969</v>
      </c>
      <c r="DC58" s="60">
        <f t="shared" si="63"/>
        <v>36294.994103907578</v>
      </c>
      <c r="DD58" s="60">
        <f t="shared" si="64"/>
        <v>36882.877057679201</v>
      </c>
      <c r="DE58" s="60">
        <f t="shared" si="65"/>
        <v>38498.527300746093</v>
      </c>
      <c r="DF58" s="60">
        <f t="shared" si="66"/>
        <v>38396.104735540939</v>
      </c>
      <c r="DG58" s="60">
        <f t="shared" si="67"/>
        <v>38238.26174003513</v>
      </c>
      <c r="DH58" s="13">
        <f t="shared" si="68"/>
        <v>0.10082151604756065</v>
      </c>
      <c r="DI58" s="13">
        <f t="shared" si="69"/>
        <v>7.5013561937954693E-2</v>
      </c>
      <c r="DJ58" s="13">
        <f t="shared" si="70"/>
        <v>5.226070968301872E-2</v>
      </c>
      <c r="DK58" s="13">
        <f t="shared" si="71"/>
        <v>3.2562959282753053E-2</v>
      </c>
      <c r="DL58" s="13">
        <f t="shared" si="72"/>
        <v>0</v>
      </c>
      <c r="DM58" s="13">
        <f t="shared" si="73"/>
        <v>0</v>
      </c>
      <c r="DN58" s="13">
        <f t="shared" si="74"/>
        <v>0</v>
      </c>
      <c r="DO58" s="13">
        <f t="shared" si="75"/>
        <v>0</v>
      </c>
      <c r="DP58" s="50">
        <f>DH58*'Useful Constants'!$B$8</f>
        <v>429.49965836260839</v>
      </c>
      <c r="DQ58" s="50">
        <f>DI58*'Useful Constants'!$B$8</f>
        <v>319.557773855687</v>
      </c>
      <c r="DR58" s="50">
        <f>DJ58*'Useful Constants'!$B$10</f>
        <v>126.9935245297355</v>
      </c>
      <c r="DS58" s="50">
        <f>DK58*'Useful Constants'!$B$10</f>
        <v>79.127991057089915</v>
      </c>
      <c r="DT58" s="50">
        <f>DL58*'Useful Constants'!$B$10</f>
        <v>0</v>
      </c>
      <c r="DU58" s="50">
        <f>DM58*'Useful Constants'!$B$10</f>
        <v>0</v>
      </c>
      <c r="DV58" s="50">
        <f>DN58*'Useful Constants'!$B$10</f>
        <v>0</v>
      </c>
      <c r="DW58" s="50">
        <f>DO58*'Useful Constants'!$B$10</f>
        <v>0</v>
      </c>
      <c r="DX58" s="14">
        <f>DH58*'Useful Constants'!$B$9</f>
        <v>193.98059687550668</v>
      </c>
      <c r="DY58" s="14">
        <f>DI58*'Useful Constants'!$B$9</f>
        <v>144.32609316862482</v>
      </c>
      <c r="DZ58" s="14">
        <f>DJ58*'Useful Constants'!$B$11</f>
        <v>35.380500455403677</v>
      </c>
      <c r="EA58" s="14">
        <f>DK58*'Useful Constants'!$B$11</f>
        <v>22.045123434423818</v>
      </c>
      <c r="EB58" s="14">
        <f>DL58*'Useful Constants'!$B$11</f>
        <v>0</v>
      </c>
      <c r="EC58" s="14">
        <f>DM58*'Useful Constants'!$B$11</f>
        <v>0</v>
      </c>
      <c r="ED58" s="14">
        <f>DN58*'Useful Constants'!$B$11</f>
        <v>0</v>
      </c>
      <c r="EE58" s="14">
        <f>DO58*'Useful Constants'!$B$11</f>
        <v>0</v>
      </c>
      <c r="EF58" s="78">
        <f>(SUM(Data!DI58:DO58)*2+Data!DP58)/('Useful Constants'!$B$1*1000000)*$K58/100</f>
        <v>4.2178356678287621</v>
      </c>
      <c r="EG58" s="78">
        <f>(SUM(Data!DJ58:DP58)*2+Data!DQ58)/('Useful Constants'!$B$1*1000000)*$K58/100</f>
        <v>3.0946722515240817</v>
      </c>
      <c r="EH58" s="78">
        <f>(SUM(Data!DK58:DQ58)*2+Data!DR58)/('Useful Constants'!$B$1*1000000)*$K58/100</f>
        <v>1.2377983536431238</v>
      </c>
      <c r="EI58" s="78">
        <f>(SUM(Data!DL58:DR58)*2+Data!DS58)/('Useful Constants'!$B$1*1000000)*$K58/100</f>
        <v>0.51545994185824406</v>
      </c>
      <c r="EJ58" s="78">
        <f>(SUM(Data!DM58:DS58)*2+Data!DT58)/('Useful Constants'!$B$1*1000000)*$K58/100</f>
        <v>0.17812905212078664</v>
      </c>
      <c r="EK58" s="78">
        <f>(SUM(Data!DN58:DT58)*2+Data!DU58)/('Useful Constants'!$B$1*1000000)*$K58/100</f>
        <v>2.0990834107613699E-2</v>
      </c>
      <c r="EL58" s="78">
        <f>(SUM(Data!DO58:DU58)*2+Data!DV58)/('Useful Constants'!$B$1*1000000)*$K58/100</f>
        <v>1.063453574803893E-2</v>
      </c>
      <c r="EM58" s="78">
        <f>(SUM(Data!DP58:DV58)*2+Data!DW58)/('Useful Constants'!$B$1*1000000)*$K58/100</f>
        <v>7.0927799917962072E-3</v>
      </c>
      <c r="EN58" s="79">
        <f>EF58*'Useful Constants'!$B$3</f>
        <v>354.29819609761603</v>
      </c>
      <c r="EO58" s="79">
        <f>EG58*'Useful Constants'!$B$3</f>
        <v>259.95246912802287</v>
      </c>
      <c r="EP58" s="79">
        <f>EH58*'Useful Constants'!$B$3</f>
        <v>103.9750617060224</v>
      </c>
      <c r="EQ58" s="79">
        <f>EI58*'Useful Constants'!$B$3</f>
        <v>43.298635116092498</v>
      </c>
      <c r="ER58" s="79">
        <f>EJ58*'Useful Constants'!$B$3</f>
        <v>14.962840378146078</v>
      </c>
      <c r="ES58" s="79">
        <f>EK58*'Useful Constants'!$B$3</f>
        <v>1.7632300650395507</v>
      </c>
      <c r="ET58" s="79">
        <f>EL58*'Useful Constants'!$B$3</f>
        <v>0.89330100283527014</v>
      </c>
      <c r="EU58" s="79">
        <f>EM58*'Useful Constants'!$B$3</f>
        <v>0.59579351931088143</v>
      </c>
      <c r="EV58" s="78">
        <f>EF58*'Useful Constants'!$B$4</f>
        <v>118.09939869920534</v>
      </c>
      <c r="EW58" s="78">
        <f>EG58*'Useful Constants'!$B$4</f>
        <v>86.65082304267429</v>
      </c>
      <c r="EX58" s="78">
        <f>EH58*'Useful Constants'!$B$4</f>
        <v>34.65835390200747</v>
      </c>
      <c r="EY58" s="78">
        <f>EI58*'Useful Constants'!$B$4</f>
        <v>14.432878372030833</v>
      </c>
      <c r="EZ58" s="78">
        <f>EJ58*'Useful Constants'!$B$4</f>
        <v>4.9876134593820263</v>
      </c>
      <c r="FA58" s="78">
        <f>EK58*'Useful Constants'!$B$4</f>
        <v>0.58774335501318353</v>
      </c>
      <c r="FB58" s="78">
        <f>EL58*'Useful Constants'!$B$4</f>
        <v>0.29776700094509001</v>
      </c>
      <c r="FC58" s="78">
        <f>EM58*'Useful Constants'!$B$4</f>
        <v>0.1985978397702938</v>
      </c>
      <c r="FD58" s="40">
        <f t="shared" si="76"/>
        <v>5.6266453859131454E-2</v>
      </c>
      <c r="FE58" s="40">
        <f t="shared" si="77"/>
        <v>0.12060620234758646</v>
      </c>
      <c r="FF58" s="40">
        <f t="shared" si="78"/>
        <v>0.17069972676122169</v>
      </c>
      <c r="FG58" s="40">
        <f t="shared" si="79"/>
        <v>0.23858646833176778</v>
      </c>
      <c r="FH58" s="40">
        <f t="shared" si="80"/>
        <v>0.22629362383644699</v>
      </c>
      <c r="FI58" s="40">
        <f t="shared" si="81"/>
        <v>0.19277368166401943</v>
      </c>
      <c r="FJ58" s="40">
        <f t="shared" si="82"/>
        <v>0.19479361586022004</v>
      </c>
      <c r="FK58" s="40">
        <f t="shared" si="83"/>
        <v>0.19799519742541055</v>
      </c>
      <c r="FL58" s="4">
        <f t="shared" si="84"/>
        <v>0.53932447594322686</v>
      </c>
      <c r="FM58" s="4">
        <f t="shared" si="85"/>
        <v>0.57250213150254814</v>
      </c>
      <c r="FN58" s="4">
        <f t="shared" si="86"/>
        <v>0.60020765149359667</v>
      </c>
      <c r="FO58" s="4">
        <f t="shared" si="87"/>
        <v>0.63406667136817174</v>
      </c>
      <c r="FP58" s="4">
        <f t="shared" si="88"/>
        <v>0.62924624317014421</v>
      </c>
      <c r="FQ58" s="4">
        <f t="shared" si="89"/>
        <v>0.61322882942050694</v>
      </c>
      <c r="FR58" s="4">
        <f t="shared" si="90"/>
        <v>0.61423710767644812</v>
      </c>
      <c r="FS58" s="4">
        <f t="shared" si="91"/>
        <v>0.61580095834014581</v>
      </c>
      <c r="FT58" s="38">
        <f t="shared" si="92"/>
        <v>0.30199199091705969</v>
      </c>
      <c r="FU58" s="38">
        <f t="shared" si="93"/>
        <v>0.3506987433001626</v>
      </c>
      <c r="FV58" s="38">
        <f t="shared" si="94"/>
        <v>0.39010286446775411</v>
      </c>
      <c r="FW58" s="38">
        <f t="shared" si="95"/>
        <v>0.44063863968834832</v>
      </c>
      <c r="FX58" s="38">
        <f t="shared" si="96"/>
        <v>0.43209222159425453</v>
      </c>
      <c r="FY58" s="38">
        <f t="shared" si="97"/>
        <v>0.40748572407496908</v>
      </c>
      <c r="FZ58" s="38">
        <f t="shared" si="98"/>
        <v>0.40899766961513312</v>
      </c>
      <c r="GA58" s="38">
        <f t="shared" si="99"/>
        <v>0.41137023920233984</v>
      </c>
    </row>
    <row r="59" spans="1:183" x14ac:dyDescent="0.25">
      <c r="A59" s="1" t="str">
        <f>Data!A59</f>
        <v>NH_CONCORD-MUNI-AP_726050_TY3A</v>
      </c>
      <c r="B59" s="1" t="str">
        <f>TY3A_REP_CITIES!B59</f>
        <v>Concord</v>
      </c>
      <c r="C59" s="1" t="str">
        <f>TY3A_REP_CITIES!C59</f>
        <v>Merrimack</v>
      </c>
      <c r="D59" s="2" t="str">
        <f>TY3A_REP_CITIES!A59</f>
        <v>NH</v>
      </c>
      <c r="E59" s="42">
        <f>TY3A_REP_CITIES!E59</f>
        <v>151391</v>
      </c>
      <c r="F59" s="2">
        <f>TY3A_REP_CITIES!G59</f>
        <v>6</v>
      </c>
      <c r="G59" s="2" t="str">
        <f>TY3A_REP_CITIES!H59</f>
        <v>Cold</v>
      </c>
      <c r="H59" s="2" t="str">
        <f>TY3A_REP_CITIES!I59</f>
        <v>Northeast</v>
      </c>
      <c r="I59" s="2">
        <f>Data!B59</f>
        <v>43.2</v>
      </c>
      <c r="J59" s="2">
        <f>Data!C59</f>
        <v>-71.5</v>
      </c>
      <c r="K59" s="2">
        <f>VLOOKUP(D59,Table1[],2,FALSE)</f>
        <v>0.9</v>
      </c>
      <c r="L59" s="2">
        <v>0.5</v>
      </c>
      <c r="M59" s="10">
        <f>Data!N59</f>
        <v>5183.9084700000003</v>
      </c>
      <c r="N59" s="10">
        <f>Data!Q59</f>
        <v>29308</v>
      </c>
      <c r="O59" s="10">
        <f>Data!O59</f>
        <v>61487697618.217102</v>
      </c>
      <c r="P59" s="10">
        <f>Data!P59</f>
        <v>64049685018.975922</v>
      </c>
      <c r="Q59" s="10">
        <f>Data!S59*15</f>
        <v>48326.38265925063</v>
      </c>
      <c r="R59" s="48">
        <f>SUM(Data!U59:AA59)*2+Data!AB59</f>
        <v>49.118280061290875</v>
      </c>
      <c r="S59" s="48">
        <f>SUM(Data!V59:AB59)*2+Data!AC59</f>
        <v>52.722129957491717</v>
      </c>
      <c r="T59" s="48">
        <f>SUM(Data!W59:AC59)*2+Data!AD59</f>
        <v>47.638509550365811</v>
      </c>
      <c r="U59" s="48">
        <f>SUM(Data!X59:AD59)*2+Data!AE59</f>
        <v>33.1251442796029</v>
      </c>
      <c r="V59" s="48">
        <f>SUM(Data!Y59:AE59)*2+Data!AF59</f>
        <v>30.280004654328678</v>
      </c>
      <c r="W59" s="48">
        <f>SUM(Data!Z59:AF59)*2+Data!AG59</f>
        <v>35.89503312366201</v>
      </c>
      <c r="X59" s="48">
        <f>SUM(Data!AA59:AG59)*2+Data!AH59</f>
        <v>42.60899180613275</v>
      </c>
      <c r="Y59" s="48">
        <f>SUM(Data!AB59:AH59)*2+Data!AI59</f>
        <v>43.473461073644643</v>
      </c>
      <c r="Z59" s="80">
        <f>(SUM(Data!CS59:CY59)*2+Data!CZ59)/('Useful Constants'!$B$1*1000000)*$K59/100</f>
        <v>1.1509429445270059E-2</v>
      </c>
      <c r="AA59" s="80">
        <f>(SUM(Data!CT59:CZ59)*2+Data!DA59)/('Useful Constants'!$B$1*1000000)*$K59/100</f>
        <v>1.2901761531626567E-2</v>
      </c>
      <c r="AB59" s="80">
        <f>(SUM(Data!CU59:DA59)*2+Data!DB59)/('Useful Constants'!$B$1*1000000)*$K59/100</f>
        <v>1.2790764608334636E-2</v>
      </c>
      <c r="AC59" s="80">
        <f>(SUM(Data!CV59:DB59)*2+Data!DC59)/('Useful Constants'!$B$1*1000000)*$K59/100</f>
        <v>1.3737646139569229E-2</v>
      </c>
      <c r="AD59" s="80">
        <f>(SUM(Data!CW59:DC59)*2+Data!DD59)/('Useful Constants'!$B$1*1000000)*$K59/100</f>
        <v>7.5642963219322654E-3</v>
      </c>
      <c r="AE59" s="80">
        <f>(SUM(Data!CX59:DD59)*2+Data!DE59)/('Useful Constants'!$B$1*1000000)*$K59/100</f>
        <v>6.0789309787323519E-3</v>
      </c>
      <c r="AF59" s="80">
        <f>(SUM(Data!CY59:DE59)*2+Data!DF59)/('Useful Constants'!$B$1*1000000)*$K59/100</f>
        <v>9.2757898361328205E-3</v>
      </c>
      <c r="AG59" s="80">
        <f>(SUM(Data!CZ59:DF59)*2+Data!DG59)/('Useful Constants'!$B$1*1000000)*$K59/100</f>
        <v>1.2444662202968367E-2</v>
      </c>
      <c r="AH59" s="48">
        <f>Z59*'Useful Constants'!$B$3</f>
        <v>0.96679207340268491</v>
      </c>
      <c r="AI59" s="48">
        <f>AA59*'Useful Constants'!$B$3</f>
        <v>1.0837479686566316</v>
      </c>
      <c r="AJ59" s="48">
        <f>AB59*'Useful Constants'!$B$3</f>
        <v>1.0744242271001094</v>
      </c>
      <c r="AK59" s="48">
        <f>AC59*'Useful Constants'!$B$3</f>
        <v>1.1539622757238153</v>
      </c>
      <c r="AL59" s="48">
        <f>AD59*'Useful Constants'!$B$3</f>
        <v>0.63540089104231035</v>
      </c>
      <c r="AM59" s="48">
        <f>AE59*'Useful Constants'!$B$3</f>
        <v>0.51063020221351751</v>
      </c>
      <c r="AN59" s="48">
        <f>AF59*'Useful Constants'!$B$3</f>
        <v>0.7791663462351569</v>
      </c>
      <c r="AO59" s="48">
        <f>AG59*'Useful Constants'!$B$3</f>
        <v>1.0453516250493429</v>
      </c>
      <c r="AP59" s="10">
        <f>Z59*'Useful Constants'!$B$4</f>
        <v>0.32226402446756164</v>
      </c>
      <c r="AQ59" s="10">
        <f>AA59*'Useful Constants'!$B$4</f>
        <v>0.3612493228855439</v>
      </c>
      <c r="AR59" s="10">
        <f>AB59*'Useful Constants'!$B$4</f>
        <v>0.35814140903336977</v>
      </c>
      <c r="AS59" s="10">
        <f>AC59*'Useful Constants'!$B$4</f>
        <v>0.38465409190793842</v>
      </c>
      <c r="AT59" s="10">
        <f>AD59*'Useful Constants'!$B$4</f>
        <v>0.21180029701410344</v>
      </c>
      <c r="AU59" s="10">
        <f>AE59*'Useful Constants'!$B$4</f>
        <v>0.17021006740450584</v>
      </c>
      <c r="AV59" s="10">
        <f>AF59*'Useful Constants'!$B$4</f>
        <v>0.25972211541171897</v>
      </c>
      <c r="AW59" s="10">
        <f>AG59*'Useful Constants'!$B$4</f>
        <v>0.34845054168311429</v>
      </c>
      <c r="AX59" s="48">
        <f>P59/1000000/'Useful Constants'!$B$1*K59/100*'Useful Constants'!$B$3*15</f>
        <v>14526.46856230374</v>
      </c>
      <c r="AY59" s="48">
        <f>P59/1000000/'Useful Constants'!$B$1*L59/100*'Useful Constants'!$B$3*15</f>
        <v>8070.2603123909666</v>
      </c>
      <c r="AZ59" s="48">
        <f>P59/1000000/'Useful Constants'!$B$1*K59/100*'Useful Constants'!$B$4*15</f>
        <v>4842.1561874345798</v>
      </c>
      <c r="BA59" s="48">
        <f>P59/1000000/'Useful Constants'!$B$1*L59/100*'Useful Constants'!$B$4*15</f>
        <v>2690.0867707969887</v>
      </c>
      <c r="BB59" s="7">
        <f>Data!AN59</f>
        <v>5183.9084700000003</v>
      </c>
      <c r="BC59" s="7">
        <f>Data!AQ59</f>
        <v>5183.9084700000003</v>
      </c>
      <c r="BD59" s="7">
        <f>Data!AT59</f>
        <v>9165.9371100000008</v>
      </c>
      <c r="BE59" s="6">
        <f>Data!AO59</f>
        <v>47465644516.723999</v>
      </c>
      <c r="BF59" s="6">
        <f>Data!AP59</f>
        <v>17737167788.026501</v>
      </c>
      <c r="BG59" s="6">
        <f>Data!AR59</f>
        <v>11515254724.8249</v>
      </c>
      <c r="BH59" s="6">
        <f>Data!AS59</f>
        <v>11515254724.8249</v>
      </c>
      <c r="BI59" s="8">
        <f t="shared" si="50"/>
        <v>0.80476298474756014</v>
      </c>
      <c r="BJ59" s="8">
        <f t="shared" si="51"/>
        <v>0.60634868036088529</v>
      </c>
      <c r="BK59" s="13">
        <f>BB59*'Useful Constants'!$B$5/'Useful Constants'!$B$6*'Useful Constants'!$B$7</f>
        <v>1.3265621774730001</v>
      </c>
      <c r="BL59" s="52">
        <f>1-VLOOKUP($G59,'Useful Constants'!$A$17:$X$23,10,FALSE)</f>
        <v>6.6471999999999865E-2</v>
      </c>
      <c r="BM59" s="52">
        <f>1-VLOOKUP($G59,'Useful Constants'!$A$17:$X$23,12,FALSE)</f>
        <v>4.945672000000001E-2</v>
      </c>
      <c r="BN59" s="52">
        <f>1-VLOOKUP($G59,'Useful Constants'!$A$17:$X$23,14,FALSE)</f>
        <v>3.4455679999999989E-2</v>
      </c>
      <c r="BO59" s="52">
        <f>1-VLOOKUP($G59,'Useful Constants'!$A$17:$X$23,16,FALSE)</f>
        <v>2.1468880000000024E-2</v>
      </c>
      <c r="BP59" s="52">
        <f>1-VLOOKUP($G59,'Useful Constants'!$A$17:$X$23,18,FALSE)</f>
        <v>0</v>
      </c>
      <c r="BQ59" s="52">
        <f>1-VLOOKUP($G59,'Useful Constants'!$A$17:$X$23,20, FALSE)</f>
        <v>0</v>
      </c>
      <c r="BR59" s="52">
        <f>1-VLOOKUP($G59,'Useful Constants'!$A$17:$X$23,22, FALSE)</f>
        <v>0</v>
      </c>
      <c r="BS59" s="52">
        <f>1-VLOOKUP($G59,'Useful Constants'!$A$17:$X$23,24, FALSE)</f>
        <v>0</v>
      </c>
      <c r="BT59" s="13">
        <f t="shared" si="52"/>
        <v>8.8179241060985084E-2</v>
      </c>
      <c r="BU59" s="13">
        <f t="shared" si="53"/>
        <v>6.5607414173872489E-2</v>
      </c>
      <c r="BV59" s="13">
        <f t="shared" si="54"/>
        <v>4.5707601887112884E-2</v>
      </c>
      <c r="BW59" s="13">
        <f t="shared" si="55"/>
        <v>2.8479804200706574E-2</v>
      </c>
      <c r="BX59" s="13">
        <f t="shared" si="56"/>
        <v>0</v>
      </c>
      <c r="BY59" s="13">
        <f t="shared" si="57"/>
        <v>0</v>
      </c>
      <c r="BZ59" s="13">
        <f t="shared" si="58"/>
        <v>0</v>
      </c>
      <c r="CA59" s="13">
        <f t="shared" si="59"/>
        <v>0</v>
      </c>
      <c r="CB59" s="59">
        <f>+SUM(Data!BM59:BS59)*2+Data!BT59</f>
        <v>278.71396461817483</v>
      </c>
      <c r="CC59" s="59">
        <f>+SUM(Data!BN59:BT59)*2+Data!BU59</f>
        <v>299.78276403633026</v>
      </c>
      <c r="CD59" s="59">
        <f>+SUM(Data!BO59:BU59)*2+Data!BV59</f>
        <v>270.87684604802683</v>
      </c>
      <c r="CE59" s="59">
        <f>+SUM(Data!BP59:BV59)*2+Data!BW59</f>
        <v>190.36085821054328</v>
      </c>
      <c r="CF59" s="59">
        <f>+SUM(Data!BQ59:BW59)*2+Data!BX59</f>
        <v>173.21960721108678</v>
      </c>
      <c r="CG59" s="59">
        <f>+SUM(Data!BR59:BX59)*2+Data!BY59</f>
        <v>205.61027984269526</v>
      </c>
      <c r="CH59" s="59">
        <f>+SUM(Data!BS59:BY59)*2+Data!BZ59</f>
        <v>244.05090874958347</v>
      </c>
      <c r="CI59" s="59">
        <f>+SUM(Data!BT59:BZ59)*2+Data!CA59</f>
        <v>248.95716152328782</v>
      </c>
      <c r="CJ59" s="13">
        <f>+SUM(Data!AW59:BC59)*2+Data!BD59</f>
        <v>1539.6730776663208</v>
      </c>
      <c r="CK59" s="13">
        <f>+SUM(Data!AX59:BD59)*2+Data!BE59</f>
        <v>1659.2041449292087</v>
      </c>
      <c r="CL59" s="13">
        <f>+SUM(Data!AY59:BE59)*2+Data!BF59</f>
        <v>1493.6867269743425</v>
      </c>
      <c r="CM59" s="13">
        <f>+SUM(Data!AZ59:BF59)*2+Data!BG59</f>
        <v>1050.5127126337954</v>
      </c>
      <c r="CN59" s="13">
        <f>+SUM(Data!BA59:BG59)*2+Data!BH59</f>
        <v>953.59009177936809</v>
      </c>
      <c r="CO59" s="13">
        <f>+SUM(Data!BB59:BH59)*2+Data!BI59</f>
        <v>1131.5516250433268</v>
      </c>
      <c r="CP59" s="13">
        <f>+SUM(Data!BC59:BI59)*2+Data!BJ59</f>
        <v>1343.4858352215838</v>
      </c>
      <c r="CQ59" s="13">
        <f>+SUM(Data!BD59:BJ59)*2+Data!BK59</f>
        <v>1371.4356394930064</v>
      </c>
      <c r="CR59" s="59">
        <f>+SUM(Data!CC59:CI59)*2+Data!CJ59</f>
        <v>1048.0807984143346</v>
      </c>
      <c r="CS59" s="59">
        <f>+SUM(Data!CD59:CJ59)*2+Data!CK59</f>
        <v>1119.5734729434846</v>
      </c>
      <c r="CT59" s="59">
        <f>+SUM(Data!CE59:CK59)*2+Data!CL59</f>
        <v>1006.0227348761663</v>
      </c>
      <c r="CU59" s="59">
        <f>+SUM(Data!CF59:CL59)*2+Data!CM59</f>
        <v>621.6419486511445</v>
      </c>
      <c r="CV59" s="59">
        <f>+SUM(Data!CG59:CM59)*2+Data!CN59</f>
        <v>573.73693332765288</v>
      </c>
      <c r="CW59" s="59">
        <f>+SUM(Data!CH59:CN59)*2+Data!CO59</f>
        <v>686.08597920342834</v>
      </c>
      <c r="CX59" s="59">
        <f>+SUM(Data!CI59:CO59)*2+Data!CP59</f>
        <v>819.93564203152982</v>
      </c>
      <c r="CY59" s="59">
        <f>+SUM(Data!CJ59:CP59)*2+Data!CQ59</f>
        <v>843.17101080731209</v>
      </c>
      <c r="CZ59" s="60">
        <f t="shared" si="60"/>
        <v>2866.4678406988305</v>
      </c>
      <c r="DA59" s="60">
        <f t="shared" si="61"/>
        <v>3078.5603819090238</v>
      </c>
      <c r="DB59" s="60">
        <f t="shared" si="62"/>
        <v>2770.5863078985358</v>
      </c>
      <c r="DC59" s="60">
        <f t="shared" si="63"/>
        <v>1862.5155194954832</v>
      </c>
      <c r="DD59" s="60">
        <f t="shared" si="64"/>
        <v>1700.5466323181076</v>
      </c>
      <c r="DE59" s="60">
        <f t="shared" si="65"/>
        <v>2023.2478840894505</v>
      </c>
      <c r="DF59" s="60">
        <f t="shared" si="66"/>
        <v>2407.472386002697</v>
      </c>
      <c r="DG59" s="60">
        <f t="shared" si="67"/>
        <v>2463.5638118236066</v>
      </c>
      <c r="DH59" s="13">
        <f t="shared" si="68"/>
        <v>9.0663478086581387E-2</v>
      </c>
      <c r="DI59" s="13">
        <f t="shared" si="69"/>
        <v>6.7455744523321121E-2</v>
      </c>
      <c r="DJ59" s="13">
        <f t="shared" si="70"/>
        <v>4.6995303114668818E-2</v>
      </c>
      <c r="DK59" s="13">
        <f t="shared" si="71"/>
        <v>2.9282153860624799E-2</v>
      </c>
      <c r="DL59" s="13">
        <f t="shared" si="72"/>
        <v>0</v>
      </c>
      <c r="DM59" s="13">
        <f t="shared" si="73"/>
        <v>0</v>
      </c>
      <c r="DN59" s="13">
        <f t="shared" si="74"/>
        <v>0</v>
      </c>
      <c r="DO59" s="13">
        <f t="shared" si="75"/>
        <v>0</v>
      </c>
      <c r="DP59" s="50">
        <f>DH59*'Useful Constants'!$B$8</f>
        <v>386.22641664883673</v>
      </c>
      <c r="DQ59" s="50">
        <f>DI59*'Useful Constants'!$B$8</f>
        <v>287.36147166934796</v>
      </c>
      <c r="DR59" s="50">
        <f>DJ59*'Useful Constants'!$B$10</f>
        <v>114.19858656864523</v>
      </c>
      <c r="DS59" s="50">
        <f>DK59*'Useful Constants'!$B$10</f>
        <v>71.155633881318266</v>
      </c>
      <c r="DT59" s="50">
        <f>DL59*'Useful Constants'!$B$10</f>
        <v>0</v>
      </c>
      <c r="DU59" s="50">
        <f>DM59*'Useful Constants'!$B$10</f>
        <v>0</v>
      </c>
      <c r="DV59" s="50">
        <f>DN59*'Useful Constants'!$B$10</f>
        <v>0</v>
      </c>
      <c r="DW59" s="50">
        <f>DO59*'Useful Constants'!$B$10</f>
        <v>0</v>
      </c>
      <c r="DX59" s="14">
        <f>DH59*'Useful Constants'!$B$9</f>
        <v>174.4365318385826</v>
      </c>
      <c r="DY59" s="14">
        <f>DI59*'Useful Constants'!$B$9</f>
        <v>129.78485246286985</v>
      </c>
      <c r="DZ59" s="14">
        <f>DJ59*'Useful Constants'!$B$11</f>
        <v>31.81582020863079</v>
      </c>
      <c r="EA59" s="14">
        <f>DK59*'Useful Constants'!$B$11</f>
        <v>19.82401816364299</v>
      </c>
      <c r="EB59" s="14">
        <f>DL59*'Useful Constants'!$B$11</f>
        <v>0</v>
      </c>
      <c r="EC59" s="14">
        <f>DM59*'Useful Constants'!$B$11</f>
        <v>0</v>
      </c>
      <c r="ED59" s="14">
        <f>DN59*'Useful Constants'!$B$11</f>
        <v>0</v>
      </c>
      <c r="EE59" s="14">
        <f>DO59*'Useful Constants'!$B$11</f>
        <v>0</v>
      </c>
      <c r="EF59" s="78">
        <f>(SUM(Data!DI59:DO59)*2+Data!DP59)/('Useful Constants'!$B$1*1000000)*$K59/100</f>
        <v>0.64084096101455257</v>
      </c>
      <c r="EG59" s="78">
        <f>(SUM(Data!DJ59:DP59)*2+Data!DQ59)/('Useful Constants'!$B$1*1000000)*$K59/100</f>
        <v>0.71567227193706107</v>
      </c>
      <c r="EH59" s="78">
        <f>(SUM(Data!DK59:DQ59)*2+Data!DR59)/('Useful Constants'!$B$1*1000000)*$K59/100</f>
        <v>0.70981694788256477</v>
      </c>
      <c r="EI59" s="78">
        <f>(SUM(Data!DL59:DR59)*2+Data!DS59)/('Useful Constants'!$B$1*1000000)*$K59/100</f>
        <v>0.74797274924211832</v>
      </c>
      <c r="EJ59" s="78">
        <f>(SUM(Data!DM59:DS59)*2+Data!DT59)/('Useful Constants'!$B$1*1000000)*$K59/100</f>
        <v>0.36022294227978791</v>
      </c>
      <c r="EK59" s="78">
        <f>(SUM(Data!DN59:DT59)*2+Data!DU59)/('Useful Constants'!$B$1*1000000)*$K59/100</f>
        <v>0.29198615718002147</v>
      </c>
      <c r="EL59" s="78">
        <f>(SUM(Data!DO59:DU59)*2+Data!DV59)/('Useful Constants'!$B$1*1000000)*$K59/100</f>
        <v>0.47086838780586165</v>
      </c>
      <c r="EM59" s="78">
        <f>(SUM(Data!DP59:DV59)*2+Data!DW59)/('Useful Constants'!$B$1*1000000)*$K59/100</f>
        <v>0.64497769174339903</v>
      </c>
      <c r="EN59" s="79">
        <f>EF59*'Useful Constants'!$B$3</f>
        <v>53.830640725222416</v>
      </c>
      <c r="EO59" s="79">
        <f>EG59*'Useful Constants'!$B$3</f>
        <v>60.116470842713127</v>
      </c>
      <c r="EP59" s="79">
        <f>EH59*'Useful Constants'!$B$3</f>
        <v>59.624623622135438</v>
      </c>
      <c r="EQ59" s="79">
        <f>EI59*'Useful Constants'!$B$3</f>
        <v>62.829710936337939</v>
      </c>
      <c r="ER59" s="79">
        <f>EJ59*'Useful Constants'!$B$3</f>
        <v>30.258727151502185</v>
      </c>
      <c r="ES59" s="79">
        <f>EK59*'Useful Constants'!$B$3</f>
        <v>24.526837203121804</v>
      </c>
      <c r="ET59" s="79">
        <f>EL59*'Useful Constants'!$B$3</f>
        <v>39.552944575692379</v>
      </c>
      <c r="EU59" s="79">
        <f>EM59*'Useful Constants'!$B$3</f>
        <v>54.178126106445518</v>
      </c>
      <c r="EV59" s="78">
        <f>EF59*'Useful Constants'!$B$4</f>
        <v>17.943546908407473</v>
      </c>
      <c r="EW59" s="78">
        <f>EG59*'Useful Constants'!$B$4</f>
        <v>20.03882361423771</v>
      </c>
      <c r="EX59" s="78">
        <f>EH59*'Useful Constants'!$B$4</f>
        <v>19.874874540711815</v>
      </c>
      <c r="EY59" s="78">
        <f>EI59*'Useful Constants'!$B$4</f>
        <v>20.943236978779314</v>
      </c>
      <c r="EZ59" s="78">
        <f>EJ59*'Useful Constants'!$B$4</f>
        <v>10.086242383834062</v>
      </c>
      <c r="FA59" s="78">
        <f>EK59*'Useful Constants'!$B$4</f>
        <v>8.1756124010406008</v>
      </c>
      <c r="FB59" s="78">
        <f>EL59*'Useful Constants'!$B$4</f>
        <v>13.184314858564127</v>
      </c>
      <c r="FC59" s="78">
        <f>EM59*'Useful Constants'!$B$4</f>
        <v>18.059375368815171</v>
      </c>
      <c r="FD59" s="40">
        <f t="shared" si="76"/>
        <v>0.94074546443881013</v>
      </c>
      <c r="FE59" s="40">
        <f t="shared" si="77"/>
        <v>0.93636590847799739</v>
      </c>
      <c r="FF59" s="40">
        <f t="shared" si="78"/>
        <v>0.94272573912698754</v>
      </c>
      <c r="FG59" s="40">
        <f t="shared" si="79"/>
        <v>0.96148605302059087</v>
      </c>
      <c r="FH59" s="40">
        <f t="shared" si="80"/>
        <v>0.96483325071174819</v>
      </c>
      <c r="FI59" s="40">
        <f t="shared" si="81"/>
        <v>0.95816475193829698</v>
      </c>
      <c r="FJ59" s="40">
        <f t="shared" si="82"/>
        <v>0.95022694697936516</v>
      </c>
      <c r="FK59" s="40">
        <f t="shared" si="83"/>
        <v>0.94906820054011987</v>
      </c>
      <c r="FL59" s="4">
        <f t="shared" si="84"/>
        <v>0.9534116390948969</v>
      </c>
      <c r="FM59" s="4">
        <f t="shared" si="85"/>
        <v>0.95173024626386427</v>
      </c>
      <c r="FN59" s="4">
        <f t="shared" si="86"/>
        <v>0.95851297976102612</v>
      </c>
      <c r="FO59" s="4">
        <f t="shared" si="87"/>
        <v>0.97186338383793958</v>
      </c>
      <c r="FP59" s="4">
        <f t="shared" si="88"/>
        <v>0.97560666484869651</v>
      </c>
      <c r="FQ59" s="4">
        <f t="shared" si="89"/>
        <v>0.97114164805265435</v>
      </c>
      <c r="FR59" s="4">
        <f t="shared" si="90"/>
        <v>0.96551858494930298</v>
      </c>
      <c r="FS59" s="4">
        <f t="shared" si="91"/>
        <v>0.96452267145412562</v>
      </c>
      <c r="FT59" s="38">
        <f t="shared" si="92"/>
        <v>0.94528789619361731</v>
      </c>
      <c r="FU59" s="38">
        <f t="shared" si="93"/>
        <v>0.94225924916419457</v>
      </c>
      <c r="FV59" s="38">
        <f t="shared" si="94"/>
        <v>0.94951801972409611</v>
      </c>
      <c r="FW59" s="38">
        <f t="shared" si="95"/>
        <v>0.96594721671525108</v>
      </c>
      <c r="FX59" s="38">
        <f t="shared" si="96"/>
        <v>0.96939237988368543</v>
      </c>
      <c r="FY59" s="38">
        <f t="shared" si="97"/>
        <v>0.96365623523074584</v>
      </c>
      <c r="FZ59" s="38">
        <f t="shared" si="98"/>
        <v>0.95669781765562911</v>
      </c>
      <c r="GA59" s="38">
        <f t="shared" si="99"/>
        <v>0.95560796893730415</v>
      </c>
    </row>
    <row r="60" spans="1:183" x14ac:dyDescent="0.25">
      <c r="A60" s="1" t="str">
        <f>Data!A60</f>
        <v>NH_MANCHESTER-AP_743945_TY3A</v>
      </c>
      <c r="B60" s="1" t="str">
        <f>TY3A_REP_CITIES!B60</f>
        <v>Manchester</v>
      </c>
      <c r="C60" s="1" t="str">
        <f>TY3A_REP_CITIES!C60</f>
        <v>Hillsborough</v>
      </c>
      <c r="D60" s="2" t="str">
        <f>TY3A_REP_CITIES!A60</f>
        <v>NH</v>
      </c>
      <c r="E60" s="42">
        <f>TY3A_REP_CITIES!E60</f>
        <v>417025</v>
      </c>
      <c r="F60" s="2">
        <f>TY3A_REP_CITIES!G60</f>
        <v>5</v>
      </c>
      <c r="G60" s="2" t="str">
        <f>TY3A_REP_CITIES!H60</f>
        <v>Cold</v>
      </c>
      <c r="H60" s="2" t="str">
        <f>TY3A_REP_CITIES!I60</f>
        <v>Northeast</v>
      </c>
      <c r="I60" s="2">
        <f>Data!B60</f>
        <v>42.93</v>
      </c>
      <c r="J60" s="2">
        <f>Data!C60</f>
        <v>-71.430000000000007</v>
      </c>
      <c r="K60" s="2">
        <f>VLOOKUP(D60,Table1[],2,FALSE)</f>
        <v>0.9</v>
      </c>
      <c r="L60" s="2">
        <v>0.5</v>
      </c>
      <c r="M60" s="10">
        <f>Data!N60</f>
        <v>4732.8564299999998</v>
      </c>
      <c r="N60" s="10">
        <f>Data!Q60</f>
        <v>29308</v>
      </c>
      <c r="O60" s="10">
        <f>Data!O60</f>
        <v>45093408248.5811</v>
      </c>
      <c r="P60" s="10">
        <f>Data!P60</f>
        <v>46972300258.938667</v>
      </c>
      <c r="Q60" s="10">
        <f>Data!S60*15</f>
        <v>35441.257143203125</v>
      </c>
      <c r="R60" s="48">
        <f>SUM(Data!U60:AA60)*2+Data!AB60</f>
        <v>29.591015704481009</v>
      </c>
      <c r="S60" s="48">
        <f>SUM(Data!V60:AB60)*2+Data!AC60</f>
        <v>31.634307378700978</v>
      </c>
      <c r="T60" s="48">
        <f>SUM(Data!W60:AC60)*2+Data!AD60</f>
        <v>27.425143742447617</v>
      </c>
      <c r="U60" s="48">
        <f>SUM(Data!X60:AD60)*2+Data!AE60</f>
        <v>17.363884760686936</v>
      </c>
      <c r="V60" s="48">
        <f>SUM(Data!Y60:AE60)*2+Data!AF60</f>
        <v>16.048016579083733</v>
      </c>
      <c r="W60" s="48">
        <f>SUM(Data!Z60:AF60)*2+Data!AG60</f>
        <v>19.354252780706815</v>
      </c>
      <c r="X60" s="48">
        <f>SUM(Data!AA60:AG60)*2+Data!AH60</f>
        <v>23.385531688666735</v>
      </c>
      <c r="Y60" s="48">
        <f>SUM(Data!AB60:AH60)*2+Data!AI60</f>
        <v>24.020354451964884</v>
      </c>
      <c r="Z60" s="80">
        <f>(SUM(Data!CS60:CY60)*2+Data!CZ60)/('Useful Constants'!$B$1*1000000)*$K60/100</f>
        <v>7.9584517387330262E-3</v>
      </c>
      <c r="AA60" s="80">
        <f>(SUM(Data!CT60:CZ60)*2+Data!DA60)/('Useful Constants'!$B$1*1000000)*$K60/100</f>
        <v>8.4802310636640978E-3</v>
      </c>
      <c r="AB60" s="80">
        <f>(SUM(Data!CU60:DA60)*2+Data!DB60)/('Useful Constants'!$B$1*1000000)*$K60/100</f>
        <v>8.3473860202513076E-3</v>
      </c>
      <c r="AC60" s="80">
        <f>(SUM(Data!CV60:DB60)*2+Data!DC60)/('Useful Constants'!$B$1*1000000)*$K60/100</f>
        <v>8.7240694916475153E-3</v>
      </c>
      <c r="AD60" s="80">
        <f>(SUM(Data!CW60:DC60)*2+Data!DD60)/('Useful Constants'!$B$1*1000000)*$K60/100</f>
        <v>3.8020580137084117E-3</v>
      </c>
      <c r="AE60" s="80">
        <f>(SUM(Data!CX60:DD60)*2+Data!DE60)/('Useful Constants'!$B$1*1000000)*$K60/100</f>
        <v>2.6919372365155816E-3</v>
      </c>
      <c r="AF60" s="80">
        <f>(SUM(Data!CY60:DE60)*2+Data!DF60)/('Useful Constants'!$B$1*1000000)*$K60/100</f>
        <v>4.6257519395096411E-3</v>
      </c>
      <c r="AG60" s="80">
        <f>(SUM(Data!CZ60:DF60)*2+Data!DG60)/('Useful Constants'!$B$1*1000000)*$K60/100</f>
        <v>6.4286133301126062E-3</v>
      </c>
      <c r="AH60" s="48">
        <f>Z60*'Useful Constants'!$B$3</f>
        <v>0.66850994605357417</v>
      </c>
      <c r="AI60" s="48">
        <f>AA60*'Useful Constants'!$B$3</f>
        <v>0.71233940934778417</v>
      </c>
      <c r="AJ60" s="48">
        <f>AB60*'Useful Constants'!$B$3</f>
        <v>0.70118042570110983</v>
      </c>
      <c r="AK60" s="48">
        <f>AC60*'Useful Constants'!$B$3</f>
        <v>0.73282183729839123</v>
      </c>
      <c r="AL60" s="48">
        <f>AD60*'Useful Constants'!$B$3</f>
        <v>0.31937287315150659</v>
      </c>
      <c r="AM60" s="48">
        <f>AE60*'Useful Constants'!$B$3</f>
        <v>0.22612272786730886</v>
      </c>
      <c r="AN60" s="48">
        <f>AF60*'Useful Constants'!$B$3</f>
        <v>0.38856316291880988</v>
      </c>
      <c r="AO60" s="48">
        <f>AG60*'Useful Constants'!$B$3</f>
        <v>0.54000351972945893</v>
      </c>
      <c r="AP60" s="10">
        <f>Z60*'Useful Constants'!$B$4</f>
        <v>0.22283664868452474</v>
      </c>
      <c r="AQ60" s="10">
        <f>AA60*'Useful Constants'!$B$4</f>
        <v>0.23744646978259473</v>
      </c>
      <c r="AR60" s="10">
        <f>AB60*'Useful Constants'!$B$4</f>
        <v>0.23372680856703662</v>
      </c>
      <c r="AS60" s="10">
        <f>AC60*'Useful Constants'!$B$4</f>
        <v>0.24427394576613043</v>
      </c>
      <c r="AT60" s="10">
        <f>AD60*'Useful Constants'!$B$4</f>
        <v>0.10645762438383552</v>
      </c>
      <c r="AU60" s="10">
        <f>AE60*'Useful Constants'!$B$4</f>
        <v>7.5374242622436277E-2</v>
      </c>
      <c r="AV60" s="10">
        <f>AF60*'Useful Constants'!$B$4</f>
        <v>0.12952105430626995</v>
      </c>
      <c r="AW60" s="10">
        <f>AG60*'Useful Constants'!$B$4</f>
        <v>0.18000117324315298</v>
      </c>
      <c r="AX60" s="48">
        <f>P60/1000000/'Useful Constants'!$B$1*K60/100*'Useful Constants'!$B$3*15</f>
        <v>10653.317698727291</v>
      </c>
      <c r="AY60" s="48">
        <f>P60/1000000/'Useful Constants'!$B$1*L60/100*'Useful Constants'!$B$3*15</f>
        <v>5918.5098326262723</v>
      </c>
      <c r="AZ60" s="48">
        <f>P60/1000000/'Useful Constants'!$B$1*K60/100*'Useful Constants'!$B$4*15</f>
        <v>3551.1058995757635</v>
      </c>
      <c r="BA60" s="48">
        <f>P60/1000000/'Useful Constants'!$B$1*L60/100*'Useful Constants'!$B$4*15</f>
        <v>1972.8366108754242</v>
      </c>
      <c r="BB60" s="7">
        <f>Data!AN60</f>
        <v>4732.8564299999998</v>
      </c>
      <c r="BC60" s="7">
        <f>Data!AQ60</f>
        <v>4732.8564299999998</v>
      </c>
      <c r="BD60" s="7">
        <f>Data!AT60</f>
        <v>8287.9760999999999</v>
      </c>
      <c r="BE60" s="6">
        <f>Data!AO60</f>
        <v>35728776412.372002</v>
      </c>
      <c r="BF60" s="6">
        <f>Data!AP60</f>
        <v>12329734431.080601</v>
      </c>
      <c r="BG60" s="6">
        <f>Data!AR60</f>
        <v>7595234022.0622196</v>
      </c>
      <c r="BH60" s="6">
        <f>Data!AS60</f>
        <v>7595234022.0622196</v>
      </c>
      <c r="BI60" s="8">
        <f t="shared" si="50"/>
        <v>0.82468765135312883</v>
      </c>
      <c r="BJ60" s="8">
        <f t="shared" si="51"/>
        <v>0.61880822848358374</v>
      </c>
      <c r="BK60" s="13">
        <f>BB60*'Useful Constants'!$B$5/'Useful Constants'!$B$6*'Useful Constants'!$B$7</f>
        <v>1.2111379604369998</v>
      </c>
      <c r="BL60" s="52">
        <f>1-VLOOKUP($G60,'Useful Constants'!$A$17:$X$23,10,FALSE)</f>
        <v>6.6471999999999865E-2</v>
      </c>
      <c r="BM60" s="52">
        <f>1-VLOOKUP($G60,'Useful Constants'!$A$17:$X$23,12,FALSE)</f>
        <v>4.945672000000001E-2</v>
      </c>
      <c r="BN60" s="52">
        <f>1-VLOOKUP($G60,'Useful Constants'!$A$17:$X$23,14,FALSE)</f>
        <v>3.4455679999999989E-2</v>
      </c>
      <c r="BO60" s="52">
        <f>1-VLOOKUP($G60,'Useful Constants'!$A$17:$X$23,16,FALSE)</f>
        <v>2.1468880000000024E-2</v>
      </c>
      <c r="BP60" s="52">
        <f>1-VLOOKUP($G60,'Useful Constants'!$A$17:$X$23,18,FALSE)</f>
        <v>0</v>
      </c>
      <c r="BQ60" s="52">
        <f>1-VLOOKUP($G60,'Useful Constants'!$A$17:$X$23,20, FALSE)</f>
        <v>0</v>
      </c>
      <c r="BR60" s="52">
        <f>1-VLOOKUP($G60,'Useful Constants'!$A$17:$X$23,22, FALSE)</f>
        <v>0</v>
      </c>
      <c r="BS60" s="52">
        <f>1-VLOOKUP($G60,'Useful Constants'!$A$17:$X$23,24, FALSE)</f>
        <v>0</v>
      </c>
      <c r="BT60" s="13">
        <f t="shared" si="52"/>
        <v>8.0506762506168089E-2</v>
      </c>
      <c r="BU60" s="13">
        <f t="shared" si="53"/>
        <v>5.9898910990703789E-2</v>
      </c>
      <c r="BV60" s="13">
        <f t="shared" si="54"/>
        <v>4.1730582000669911E-2</v>
      </c>
      <c r="BW60" s="13">
        <f t="shared" si="55"/>
        <v>2.6001775536066727E-2</v>
      </c>
      <c r="BX60" s="13">
        <f t="shared" si="56"/>
        <v>0</v>
      </c>
      <c r="BY60" s="13">
        <f t="shared" si="57"/>
        <v>0</v>
      </c>
      <c r="BZ60" s="13">
        <f t="shared" si="58"/>
        <v>0</v>
      </c>
      <c r="CA60" s="13">
        <f t="shared" si="59"/>
        <v>0</v>
      </c>
      <c r="CB60" s="59">
        <f>+SUM(Data!BM60:BS60)*2+Data!BT60</f>
        <v>177.26376797440236</v>
      </c>
      <c r="CC60" s="59">
        <f>+SUM(Data!BN60:BT60)*2+Data!BU60</f>
        <v>189.83462701624214</v>
      </c>
      <c r="CD60" s="59">
        <f>+SUM(Data!BO60:BU60)*2+Data!BV60</f>
        <v>165.72901129512738</v>
      </c>
      <c r="CE60" s="59">
        <f>+SUM(Data!BP60:BV60)*2+Data!BW60</f>
        <v>107.91038164134193</v>
      </c>
      <c r="CF60" s="59">
        <f>+SUM(Data!BQ60:BW60)*2+Data!BX60</f>
        <v>99.483066143788861</v>
      </c>
      <c r="CG60" s="59">
        <f>+SUM(Data!BR60:BX60)*2+Data!BY60</f>
        <v>119.766163546941</v>
      </c>
      <c r="CH60" s="59">
        <f>+SUM(Data!BS60:BY60)*2+Data!BZ60</f>
        <v>144.44441565883079</v>
      </c>
      <c r="CI60" s="59">
        <f>+SUM(Data!BT60:BZ60)*2+Data!CA60</f>
        <v>148.29608339290525</v>
      </c>
      <c r="CJ60" s="13">
        <f>+SUM(Data!AW60:BC60)*2+Data!BD60</f>
        <v>995.94857823596635</v>
      </c>
      <c r="CK60" s="13">
        <f>+SUM(Data!AX60:BD60)*2+Data!BE60</f>
        <v>1070.7787230262895</v>
      </c>
      <c r="CL60" s="13">
        <f>+SUM(Data!AY60:BE60)*2+Data!BF60</f>
        <v>934.93774820895521</v>
      </c>
      <c r="CM60" s="13">
        <f>+SUM(Data!AZ60:BF60)*2+Data!BG60</f>
        <v>604.94069137704491</v>
      </c>
      <c r="CN60" s="13">
        <f>+SUM(Data!BA60:BG60)*2+Data!BH60</f>
        <v>555.22760215083053</v>
      </c>
      <c r="CO60" s="13">
        <f>+SUM(Data!BB60:BH60)*2+Data!BI60</f>
        <v>666.33108247420307</v>
      </c>
      <c r="CP60" s="13">
        <f>+SUM(Data!BC60:BI60)*2+Data!BJ60</f>
        <v>801.34620208938338</v>
      </c>
      <c r="CQ60" s="13">
        <f>+SUM(Data!BD60:BJ60)*2+Data!BK60</f>
        <v>822.10519511691234</v>
      </c>
      <c r="CR60" s="59">
        <f>+SUM(Data!CC60:CI60)*2+Data!CJ60</f>
        <v>650.01910876849342</v>
      </c>
      <c r="CS60" s="59">
        <f>+SUM(Data!CD60:CJ60)*2+Data!CK60</f>
        <v>672.74407691587714</v>
      </c>
      <c r="CT60" s="59">
        <f>+SUM(Data!CE60:CK60)*2+Data!CL60</f>
        <v>541.14456622632167</v>
      </c>
      <c r="CU60" s="59">
        <f>+SUM(Data!CF60:CL60)*2+Data!CM60</f>
        <v>215.44022426753989</v>
      </c>
      <c r="CV60" s="59">
        <f>+SUM(Data!CG60:CM60)*2+Data!CN60</f>
        <v>208.82212609942962</v>
      </c>
      <c r="CW60" s="59">
        <f>+SUM(Data!CH60:CN60)*2+Data!CO60</f>
        <v>268.92338297536833</v>
      </c>
      <c r="CX60" s="59">
        <f>+SUM(Data!CI60:CO60)*2+Data!CP60</f>
        <v>339.37482787306658</v>
      </c>
      <c r="CY60" s="59">
        <f>+SUM(Data!CJ60:CP60)*2+Data!CQ60</f>
        <v>353.03834736318277</v>
      </c>
      <c r="CZ60" s="60">
        <f t="shared" si="60"/>
        <v>1823.2314549788621</v>
      </c>
      <c r="DA60" s="60">
        <f t="shared" si="61"/>
        <v>1933.3574269584087</v>
      </c>
      <c r="DB60" s="60">
        <f t="shared" si="62"/>
        <v>1641.8113257304044</v>
      </c>
      <c r="DC60" s="60">
        <f t="shared" si="63"/>
        <v>928.2912972859267</v>
      </c>
      <c r="DD60" s="60">
        <f t="shared" si="64"/>
        <v>863.53279439404901</v>
      </c>
      <c r="DE60" s="60">
        <f t="shared" si="65"/>
        <v>1055.0206289965124</v>
      </c>
      <c r="DF60" s="60">
        <f t="shared" si="66"/>
        <v>1285.1654456212807</v>
      </c>
      <c r="DG60" s="60">
        <f t="shared" si="67"/>
        <v>1323.4396258730003</v>
      </c>
      <c r="DH60" s="13">
        <f t="shared" si="68"/>
        <v>8.2774845989562917E-2</v>
      </c>
      <c r="DI60" s="13">
        <f t="shared" si="69"/>
        <v>6.158641805796343E-2</v>
      </c>
      <c r="DJ60" s="13">
        <f t="shared" si="70"/>
        <v>4.2906240303671739E-2</v>
      </c>
      <c r="DK60" s="13">
        <f t="shared" si="71"/>
        <v>2.6734312726688123E-2</v>
      </c>
      <c r="DL60" s="13">
        <f t="shared" si="72"/>
        <v>0</v>
      </c>
      <c r="DM60" s="13">
        <f t="shared" si="73"/>
        <v>0</v>
      </c>
      <c r="DN60" s="13">
        <f t="shared" si="74"/>
        <v>0</v>
      </c>
      <c r="DO60" s="13">
        <f t="shared" si="75"/>
        <v>0</v>
      </c>
      <c r="DP60" s="50">
        <f>DH60*'Useful Constants'!$B$8</f>
        <v>352.62084391553805</v>
      </c>
      <c r="DQ60" s="50">
        <f>DI60*'Useful Constants'!$B$8</f>
        <v>262.35814092692419</v>
      </c>
      <c r="DR60" s="50">
        <f>DJ60*'Useful Constants'!$B$10</f>
        <v>104.26216393792232</v>
      </c>
      <c r="DS60" s="50">
        <f>DK60*'Useful Constants'!$B$10</f>
        <v>64.964379925852143</v>
      </c>
      <c r="DT60" s="50">
        <f>DL60*'Useful Constants'!$B$10</f>
        <v>0</v>
      </c>
      <c r="DU60" s="50">
        <f>DM60*'Useful Constants'!$B$10</f>
        <v>0</v>
      </c>
      <c r="DV60" s="50">
        <f>DN60*'Useful Constants'!$B$10</f>
        <v>0</v>
      </c>
      <c r="DW60" s="50">
        <f>DO60*'Useful Constants'!$B$10</f>
        <v>0</v>
      </c>
      <c r="DX60" s="14">
        <f>DH60*'Useful Constants'!$B$9</f>
        <v>159.25880368391904</v>
      </c>
      <c r="DY60" s="14">
        <f>DI60*'Useful Constants'!$B$9</f>
        <v>118.49226834352164</v>
      </c>
      <c r="DZ60" s="14">
        <f>DJ60*'Useful Constants'!$B$11</f>
        <v>29.047524685585767</v>
      </c>
      <c r="EA60" s="14">
        <f>DK60*'Useful Constants'!$B$11</f>
        <v>18.099129715967859</v>
      </c>
      <c r="EB60" s="14">
        <f>DL60*'Useful Constants'!$B$11</f>
        <v>0</v>
      </c>
      <c r="EC60" s="14">
        <f>DM60*'Useful Constants'!$B$11</f>
        <v>0</v>
      </c>
      <c r="ED60" s="14">
        <f>DN60*'Useful Constants'!$B$11</f>
        <v>0</v>
      </c>
      <c r="EE60" s="14">
        <f>DO60*'Useful Constants'!$B$11</f>
        <v>0</v>
      </c>
      <c r="EF60" s="78">
        <f>(SUM(Data!DI60:DO60)*2+Data!DP60)/('Useful Constants'!$B$1*1000000)*$K60/100</f>
        <v>0.57637099155899629</v>
      </c>
      <c r="EG60" s="78">
        <f>(SUM(Data!DJ60:DP60)*2+Data!DQ60)/('Useful Constants'!$B$1*1000000)*$K60/100</f>
        <v>0.59777169242105743</v>
      </c>
      <c r="EH60" s="78">
        <f>(SUM(Data!DK60:DQ60)*2+Data!DR60)/('Useful Constants'!$B$1*1000000)*$K60/100</f>
        <v>0.59197136970770114</v>
      </c>
      <c r="EI60" s="78">
        <f>(SUM(Data!DL60:DR60)*2+Data!DS60)/('Useful Constants'!$B$1*1000000)*$K60/100</f>
        <v>0.60791167750196062</v>
      </c>
      <c r="EJ60" s="78">
        <f>(SUM(Data!DM60:DS60)*2+Data!DT60)/('Useful Constants'!$B$1*1000000)*$K60/100</f>
        <v>0.20345385747764719</v>
      </c>
      <c r="EK60" s="78">
        <f>(SUM(Data!DN60:DT60)*2+Data!DU60)/('Useful Constants'!$B$1*1000000)*$K60/100</f>
        <v>0.12063087581740967</v>
      </c>
      <c r="EL60" s="78">
        <f>(SUM(Data!DO60:DU60)*2+Data!DV60)/('Useful Constants'!$B$1*1000000)*$K60/100</f>
        <v>0.25209500698316772</v>
      </c>
      <c r="EM60" s="78">
        <f>(SUM(Data!DP60:DV60)*2+Data!DW60)/('Useful Constants'!$B$1*1000000)*$K60/100</f>
        <v>0.36755990557533119</v>
      </c>
      <c r="EN60" s="79">
        <f>EF60*'Useful Constants'!$B$3</f>
        <v>48.415163290955689</v>
      </c>
      <c r="EO60" s="79">
        <f>EG60*'Useful Constants'!$B$3</f>
        <v>50.212822163368827</v>
      </c>
      <c r="EP60" s="79">
        <f>EH60*'Useful Constants'!$B$3</f>
        <v>49.725595055446895</v>
      </c>
      <c r="EQ60" s="79">
        <f>EI60*'Useful Constants'!$B$3</f>
        <v>51.064580910164693</v>
      </c>
      <c r="ER60" s="79">
        <f>EJ60*'Useful Constants'!$B$3</f>
        <v>17.090124028122364</v>
      </c>
      <c r="ES60" s="79">
        <f>EK60*'Useful Constants'!$B$3</f>
        <v>10.132993568662412</v>
      </c>
      <c r="ET60" s="79">
        <f>EL60*'Useful Constants'!$B$3</f>
        <v>21.175980586586089</v>
      </c>
      <c r="EU60" s="79">
        <f>EM60*'Useful Constants'!$B$3</f>
        <v>30.875032068327819</v>
      </c>
      <c r="EV60" s="78">
        <f>EF60*'Useful Constants'!$B$4</f>
        <v>16.138387763651895</v>
      </c>
      <c r="EW60" s="78">
        <f>EG60*'Useful Constants'!$B$4</f>
        <v>16.737607387789609</v>
      </c>
      <c r="EX60" s="78">
        <f>EH60*'Useful Constants'!$B$4</f>
        <v>16.575198351815633</v>
      </c>
      <c r="EY60" s="78">
        <f>EI60*'Useful Constants'!$B$4</f>
        <v>17.021526970054897</v>
      </c>
      <c r="EZ60" s="78">
        <f>EJ60*'Useful Constants'!$B$4</f>
        <v>5.6967080093741211</v>
      </c>
      <c r="FA60" s="78">
        <f>EK60*'Useful Constants'!$B$4</f>
        <v>3.3776645228874704</v>
      </c>
      <c r="FB60" s="78">
        <f>EL60*'Useful Constants'!$B$4</f>
        <v>7.0586601955286961</v>
      </c>
      <c r="FC60" s="78">
        <f>EM60*'Useful Constants'!$B$4</f>
        <v>10.291677356109274</v>
      </c>
      <c r="FD60" s="40">
        <f t="shared" si="76"/>
        <v>0.94859915819292284</v>
      </c>
      <c r="FE60" s="40">
        <f t="shared" si="77"/>
        <v>0.94549760823270312</v>
      </c>
      <c r="FF60" s="40">
        <f t="shared" si="78"/>
        <v>0.95371095795304794</v>
      </c>
      <c r="FG60" s="40">
        <f t="shared" si="79"/>
        <v>0.97382043434362986</v>
      </c>
      <c r="FH60" s="40">
        <f t="shared" si="80"/>
        <v>0.97564584249979835</v>
      </c>
      <c r="FI60" s="40">
        <f t="shared" si="81"/>
        <v>0.97024809817249791</v>
      </c>
      <c r="FJ60" s="40">
        <f t="shared" si="82"/>
        <v>0.96376206416620269</v>
      </c>
      <c r="FK60" s="40">
        <f t="shared" si="83"/>
        <v>0.96268351133131547</v>
      </c>
      <c r="FL60" s="4">
        <f t="shared" si="84"/>
        <v>0.95726125028344156</v>
      </c>
      <c r="FM60" s="4">
        <f t="shared" si="85"/>
        <v>0.95684677150273512</v>
      </c>
      <c r="FN60" s="4">
        <f t="shared" si="86"/>
        <v>0.96549274987532907</v>
      </c>
      <c r="FO60" s="4">
        <f t="shared" si="87"/>
        <v>0.97992895355437404</v>
      </c>
      <c r="FP60" s="4">
        <f t="shared" si="88"/>
        <v>0.98307453022302071</v>
      </c>
      <c r="FQ60" s="4">
        <f t="shared" si="89"/>
        <v>0.97952913575462086</v>
      </c>
      <c r="FR60" s="4">
        <f t="shared" si="90"/>
        <v>0.9748958438864137</v>
      </c>
      <c r="FS60" s="4">
        <f t="shared" si="91"/>
        <v>0.9739743284482848</v>
      </c>
      <c r="FT60" s="38">
        <f t="shared" si="92"/>
        <v>0.95124703041911296</v>
      </c>
      <c r="FU60" s="38">
        <f t="shared" si="93"/>
        <v>0.94954304705991388</v>
      </c>
      <c r="FV60" s="38">
        <f t="shared" si="94"/>
        <v>0.9588359019224918</v>
      </c>
      <c r="FW60" s="38">
        <f t="shared" si="95"/>
        <v>0.97649229017243244</v>
      </c>
      <c r="FX60" s="38">
        <f t="shared" si="96"/>
        <v>0.97878963443493072</v>
      </c>
      <c r="FY60" s="38">
        <f t="shared" si="97"/>
        <v>0.97417572606864145</v>
      </c>
      <c r="FZ60" s="38">
        <f t="shared" si="98"/>
        <v>0.96847366122424117</v>
      </c>
      <c r="GA60" s="38">
        <f t="shared" si="99"/>
        <v>0.96746155584304316</v>
      </c>
    </row>
    <row r="61" spans="1:183" x14ac:dyDescent="0.25">
      <c r="A61" s="1" t="str">
        <f>Data!A61</f>
        <v>NJ_NEWARK-IAP_725020_TY3A</v>
      </c>
      <c r="B61" s="1" t="str">
        <f>TY3A_REP_CITIES!B61</f>
        <v>Newark</v>
      </c>
      <c r="C61" s="1" t="str">
        <f>TY3A_REP_CITIES!C61</f>
        <v>Essex</v>
      </c>
      <c r="D61" s="2" t="str">
        <f>TY3A_REP_CITIES!A61</f>
        <v>NJ</v>
      </c>
      <c r="E61" s="42">
        <f>TY3A_REP_CITIES!E61</f>
        <v>798975</v>
      </c>
      <c r="F61" s="2">
        <f>TY3A_REP_CITIES!G61</f>
        <v>4</v>
      </c>
      <c r="G61" s="2" t="str">
        <f>TY3A_REP_CITIES!H61</f>
        <v>Mixed-Humid</v>
      </c>
      <c r="H61" s="2" t="str">
        <f>TY3A_REP_CITIES!I61</f>
        <v>Northeast</v>
      </c>
      <c r="I61" s="2">
        <f>Data!B61</f>
        <v>40.72</v>
      </c>
      <c r="J61" s="2">
        <f>Data!C61</f>
        <v>-74.180000000000007</v>
      </c>
      <c r="K61" s="2">
        <f>VLOOKUP(D61,Table1[],2,FALSE)</f>
        <v>0.9</v>
      </c>
      <c r="L61" s="2">
        <v>0.5</v>
      </c>
      <c r="M61" s="10">
        <f>Data!N61</f>
        <v>5326.2939399999996</v>
      </c>
      <c r="N61" s="10">
        <f>Data!Q61</f>
        <v>29308</v>
      </c>
      <c r="O61" s="10">
        <f>Data!O61</f>
        <v>37150652510.204002</v>
      </c>
      <c r="P61" s="10">
        <f>Data!P61</f>
        <v>38698596364.795914</v>
      </c>
      <c r="Q61" s="10">
        <f>Data!S61*15</f>
        <v>29198.631901889003</v>
      </c>
      <c r="R61" s="48">
        <f>SUM(Data!U61:AA61)*2+Data!AB61</f>
        <v>202.40078403629158</v>
      </c>
      <c r="S61" s="48">
        <f>SUM(Data!V61:AB61)*2+Data!AC61</f>
        <v>212.53453849264196</v>
      </c>
      <c r="T61" s="48">
        <f>SUM(Data!W61:AC61)*2+Data!AD61</f>
        <v>190.79319821068185</v>
      </c>
      <c r="U61" s="48">
        <f>SUM(Data!X61:AD61)*2+Data!AE61</f>
        <v>211.32438644019049</v>
      </c>
      <c r="V61" s="48">
        <f>SUM(Data!Y61:AE61)*2+Data!AF61</f>
        <v>235.14869021417488</v>
      </c>
      <c r="W61" s="48">
        <f>SUM(Data!Z61:AF61)*2+Data!AG61</f>
        <v>233.53974745843638</v>
      </c>
      <c r="X61" s="48">
        <f>SUM(Data!AA61:AG61)*2+Data!AH61</f>
        <v>225.174098275576</v>
      </c>
      <c r="Y61" s="48">
        <f>SUM(Data!AB61:AH61)*2+Data!AI61</f>
        <v>199.63774450051534</v>
      </c>
      <c r="Z61" s="80">
        <f>(SUM(Data!CS61:CY61)*2+Data!CZ61)/('Useful Constants'!$B$1*1000000)*$K61/100</f>
        <v>0.73414023365034098</v>
      </c>
      <c r="AA61" s="80">
        <f>(SUM(Data!CT61:CZ61)*2+Data!DA61)/('Useful Constants'!$B$1*1000000)*$K61/100</f>
        <v>0.6987166345334902</v>
      </c>
      <c r="AB61" s="80">
        <f>(SUM(Data!CU61:DA61)*2+Data!DB61)/('Useful Constants'!$B$1*1000000)*$K61/100</f>
        <v>0.67583642738651084</v>
      </c>
      <c r="AC61" s="80">
        <f>(SUM(Data!CV61:DB61)*2+Data!DC61)/('Useful Constants'!$B$1*1000000)*$K61/100</f>
        <v>0.65841733853993123</v>
      </c>
      <c r="AD61" s="80">
        <f>(SUM(Data!CW61:DC61)*2+Data!DD61)/('Useful Constants'!$B$1*1000000)*$K61/100</f>
        <v>0.65731329879501144</v>
      </c>
      <c r="AE61" s="80">
        <f>(SUM(Data!CX61:DD61)*2+Data!DE61)/('Useful Constants'!$B$1*1000000)*$K61/100</f>
        <v>0.66986900680686701</v>
      </c>
      <c r="AF61" s="80">
        <f>(SUM(Data!CY61:DE61)*2+Data!DF61)/('Useful Constants'!$B$1*1000000)*$K61/100</f>
        <v>0.69127787223796178</v>
      </c>
      <c r="AG61" s="80">
        <f>(SUM(Data!CZ61:DF61)*2+Data!DG61)/('Useful Constants'!$B$1*1000000)*$K61/100</f>
        <v>0.71632874192012475</v>
      </c>
      <c r="AH61" s="48">
        <f>Z61*'Useful Constants'!$B$3</f>
        <v>61.667779626628644</v>
      </c>
      <c r="AI61" s="48">
        <f>AA61*'Useful Constants'!$B$3</f>
        <v>58.692197300813177</v>
      </c>
      <c r="AJ61" s="48">
        <f>AB61*'Useful Constants'!$B$3</f>
        <v>56.770259900466911</v>
      </c>
      <c r="AK61" s="48">
        <f>AC61*'Useful Constants'!$B$3</f>
        <v>55.30705643735422</v>
      </c>
      <c r="AL61" s="48">
        <f>AD61*'Useful Constants'!$B$3</f>
        <v>55.21431709878096</v>
      </c>
      <c r="AM61" s="48">
        <f>AE61*'Useful Constants'!$B$3</f>
        <v>56.268996571776832</v>
      </c>
      <c r="AN61" s="48">
        <f>AF61*'Useful Constants'!$B$3</f>
        <v>58.067341267988787</v>
      </c>
      <c r="AO61" s="48">
        <f>AG61*'Useful Constants'!$B$3</f>
        <v>60.171614321290477</v>
      </c>
      <c r="AP61" s="10">
        <f>Z61*'Useful Constants'!$B$4</f>
        <v>20.555926542209548</v>
      </c>
      <c r="AQ61" s="10">
        <f>AA61*'Useful Constants'!$B$4</f>
        <v>19.564065766937727</v>
      </c>
      <c r="AR61" s="10">
        <f>AB61*'Useful Constants'!$B$4</f>
        <v>18.923419966822305</v>
      </c>
      <c r="AS61" s="10">
        <f>AC61*'Useful Constants'!$B$4</f>
        <v>18.435685479118074</v>
      </c>
      <c r="AT61" s="10">
        <f>AD61*'Useful Constants'!$B$4</f>
        <v>18.404772366260321</v>
      </c>
      <c r="AU61" s="10">
        <f>AE61*'Useful Constants'!$B$4</f>
        <v>18.756332190592275</v>
      </c>
      <c r="AV61" s="10">
        <f>AF61*'Useful Constants'!$B$4</f>
        <v>19.355780422662932</v>
      </c>
      <c r="AW61" s="10">
        <f>AG61*'Useful Constants'!$B$4</f>
        <v>20.057204773763495</v>
      </c>
      <c r="AX61" s="48">
        <f>P61/1000000/'Useful Constants'!$B$1*K61/100*'Useful Constants'!$B$3*15</f>
        <v>8776.8416555357126</v>
      </c>
      <c r="AY61" s="48">
        <f>P61/1000000/'Useful Constants'!$B$1*L61/100*'Useful Constants'!$B$3*15</f>
        <v>4876.0231419642851</v>
      </c>
      <c r="AZ61" s="48">
        <f>P61/1000000/'Useful Constants'!$B$1*K61/100*'Useful Constants'!$B$4*15</f>
        <v>2925.6138851785709</v>
      </c>
      <c r="BA61" s="48">
        <f>P61/1000000/'Useful Constants'!$B$1*L61/100*'Useful Constants'!$B$4*15</f>
        <v>1625.3410473214283</v>
      </c>
      <c r="BB61" s="7">
        <f>Data!AN61</f>
        <v>5326.2939399999996</v>
      </c>
      <c r="BC61" s="7">
        <f>Data!AQ61</f>
        <v>5326.2939399999996</v>
      </c>
      <c r="BD61" s="7">
        <f>Data!AT61</f>
        <v>7259.4427299999998</v>
      </c>
      <c r="BE61" s="6">
        <f>Data!AO61</f>
        <v>32545783013.111198</v>
      </c>
      <c r="BF61" s="6">
        <f>Data!AP61</f>
        <v>11048710539.4224</v>
      </c>
      <c r="BG61" s="6">
        <f>Data!AR61</f>
        <v>3183948263.01753</v>
      </c>
      <c r="BH61" s="6">
        <f>Data!AS61</f>
        <v>3183948263.01753</v>
      </c>
      <c r="BI61" s="8">
        <f t="shared" si="50"/>
        <v>0.91088798741834509</v>
      </c>
      <c r="BJ61" s="8">
        <f t="shared" si="51"/>
        <v>0.77629279903262349</v>
      </c>
      <c r="BK61" s="13">
        <f>BB61*'Useful Constants'!$B$5/'Useful Constants'!$B$6*'Useful Constants'!$B$7</f>
        <v>1.362998619246</v>
      </c>
      <c r="BL61" s="52">
        <f>1-VLOOKUP($G61,'Useful Constants'!$A$17:$X$23,10,FALSE)</f>
        <v>0</v>
      </c>
      <c r="BM61" s="52">
        <f>1-VLOOKUP($G61,'Useful Constants'!$A$17:$X$23,12,FALSE)</f>
        <v>0</v>
      </c>
      <c r="BN61" s="52">
        <f>1-VLOOKUP($G61,'Useful Constants'!$A$17:$X$23,14,FALSE)</f>
        <v>0</v>
      </c>
      <c r="BO61" s="52">
        <f>1-VLOOKUP($G61,'Useful Constants'!$A$17:$X$23,16,FALSE)</f>
        <v>0</v>
      </c>
      <c r="BP61" s="52">
        <f>1-VLOOKUP($G61,'Useful Constants'!$A$17:$X$23,18,FALSE)</f>
        <v>0</v>
      </c>
      <c r="BQ61" s="52">
        <f>1-VLOOKUP($G61,'Useful Constants'!$A$17:$X$23,20, FALSE)</f>
        <v>0</v>
      </c>
      <c r="BR61" s="52">
        <f>1-VLOOKUP($G61,'Useful Constants'!$A$17:$X$23,22, FALSE)</f>
        <v>0</v>
      </c>
      <c r="BS61" s="52">
        <f>1-VLOOKUP($G61,'Useful Constants'!$A$17:$X$23,24, FALSE)</f>
        <v>0</v>
      </c>
      <c r="BT61" s="13">
        <f t="shared" si="52"/>
        <v>0</v>
      </c>
      <c r="BU61" s="13">
        <f t="shared" si="53"/>
        <v>0</v>
      </c>
      <c r="BV61" s="13">
        <f t="shared" si="54"/>
        <v>0</v>
      </c>
      <c r="BW61" s="13">
        <f t="shared" si="55"/>
        <v>0</v>
      </c>
      <c r="BX61" s="13">
        <f t="shared" si="56"/>
        <v>0</v>
      </c>
      <c r="BY61" s="13">
        <f t="shared" si="57"/>
        <v>0</v>
      </c>
      <c r="BZ61" s="13">
        <f t="shared" si="58"/>
        <v>0</v>
      </c>
      <c r="CA61" s="13">
        <f t="shared" si="59"/>
        <v>0</v>
      </c>
      <c r="CB61" s="59">
        <f>+SUM(Data!BM61:BS61)*2+Data!BT61</f>
        <v>1145.4226015460629</v>
      </c>
      <c r="CC61" s="59">
        <f>+SUM(Data!BN61:BT61)*2+Data!BU61</f>
        <v>1202.7347702219949</v>
      </c>
      <c r="CD61" s="59">
        <f>+SUM(Data!BO61:BU61)*2+Data!BV61</f>
        <v>1080.0176136013197</v>
      </c>
      <c r="CE61" s="59">
        <f>+SUM(Data!BP61:BV61)*2+Data!BW61</f>
        <v>1196.2579772563195</v>
      </c>
      <c r="CF61" s="59">
        <f>+SUM(Data!BQ61:BW61)*2+Data!BX61</f>
        <v>1331.0521509815553</v>
      </c>
      <c r="CG61" s="59">
        <f>+SUM(Data!BR61:BX61)*2+Data!BY61</f>
        <v>1321.983917952095</v>
      </c>
      <c r="CH61" s="59">
        <f>+SUM(Data!BS61:BY61)*2+Data!BZ61</f>
        <v>1274.7525028790492</v>
      </c>
      <c r="CI61" s="59">
        <f>+SUM(Data!BT61:BZ61)*2+Data!CA61</f>
        <v>1128.9505981841842</v>
      </c>
      <c r="CJ61" s="13">
        <f>+SUM(Data!AW61:BC61)*2+Data!BD61</f>
        <v>6794.4556109300111</v>
      </c>
      <c r="CK61" s="13">
        <f>+SUM(Data!AX61:BD61)*2+Data!BE61</f>
        <v>7129.8280741653798</v>
      </c>
      <c r="CL61" s="13">
        <f>+SUM(Data!AY61:BE61)*2+Data!BF61</f>
        <v>6383.8529787469552</v>
      </c>
      <c r="CM61" s="13">
        <f>+SUM(Data!AZ61:BF61)*2+Data!BG61</f>
        <v>7070.9176950897863</v>
      </c>
      <c r="CN61" s="13">
        <f>+SUM(Data!BA61:BG61)*2+Data!BH61</f>
        <v>7868.3155096650526</v>
      </c>
      <c r="CO61" s="13">
        <f>+SUM(Data!BB61:BH61)*2+Data!BI61</f>
        <v>7820.4976512173307</v>
      </c>
      <c r="CP61" s="13">
        <f>+SUM(Data!BC61:BI61)*2+Data!BJ61</f>
        <v>7545.3767103948967</v>
      </c>
      <c r="CQ61" s="13">
        <f>+SUM(Data!BD61:BJ61)*2+Data!BK61</f>
        <v>6697.5381463575923</v>
      </c>
      <c r="CR61" s="59">
        <f>+SUM(Data!CC61:CI61)*2+Data!CJ61</f>
        <v>1946.3215652569379</v>
      </c>
      <c r="CS61" s="59">
        <f>+SUM(Data!CD61:CJ61)*2+Data!CK61</f>
        <v>2030.0540474821032</v>
      </c>
      <c r="CT61" s="59">
        <f>+SUM(Data!CE61:CK61)*2+Data!CL61</f>
        <v>1774.3306200076674</v>
      </c>
      <c r="CU61" s="59">
        <f>+SUM(Data!CF61:CL61)*2+Data!CM61</f>
        <v>1988.7440529489186</v>
      </c>
      <c r="CV61" s="59">
        <f>+SUM(Data!CG61:CM61)*2+Data!CN61</f>
        <v>2235.9727929087658</v>
      </c>
      <c r="CW61" s="59">
        <f>+SUM(Data!CH61:CN61)*2+Data!CO61</f>
        <v>2288.6767369074278</v>
      </c>
      <c r="CX61" s="59">
        <f>+SUM(Data!CI61:CO61)*2+Data!CP61</f>
        <v>2222.7344439478661</v>
      </c>
      <c r="CY61" s="59">
        <f>+SUM(Data!CJ61:CP61)*2+Data!CQ61</f>
        <v>1999.3292512213934</v>
      </c>
      <c r="CZ61" s="60">
        <f t="shared" si="60"/>
        <v>9886.1997777330107</v>
      </c>
      <c r="DA61" s="60">
        <f t="shared" si="61"/>
        <v>10362.616891869478</v>
      </c>
      <c r="DB61" s="60">
        <f t="shared" si="62"/>
        <v>9238.2012123559416</v>
      </c>
      <c r="DC61" s="60">
        <f t="shared" si="63"/>
        <v>10255.919725295025</v>
      </c>
      <c r="DD61" s="60">
        <f t="shared" si="64"/>
        <v>11435.340453555373</v>
      </c>
      <c r="DE61" s="60">
        <f t="shared" si="65"/>
        <v>11431.158306076853</v>
      </c>
      <c r="DF61" s="60">
        <f t="shared" si="66"/>
        <v>11042.863657221811</v>
      </c>
      <c r="DG61" s="60">
        <f t="shared" si="67"/>
        <v>9825.8179957631692</v>
      </c>
      <c r="DH61" s="13">
        <f t="shared" si="68"/>
        <v>0</v>
      </c>
      <c r="DI61" s="13">
        <f t="shared" si="69"/>
        <v>0</v>
      </c>
      <c r="DJ61" s="13">
        <f t="shared" si="70"/>
        <v>0</v>
      </c>
      <c r="DK61" s="13">
        <f t="shared" si="71"/>
        <v>0</v>
      </c>
      <c r="DL61" s="13">
        <f t="shared" si="72"/>
        <v>0</v>
      </c>
      <c r="DM61" s="13">
        <f t="shared" si="73"/>
        <v>0</v>
      </c>
      <c r="DN61" s="13">
        <f t="shared" si="74"/>
        <v>0</v>
      </c>
      <c r="DO61" s="13">
        <f t="shared" si="75"/>
        <v>0</v>
      </c>
      <c r="DP61" s="50">
        <f>DH61*'Useful Constants'!$B$8</f>
        <v>0</v>
      </c>
      <c r="DQ61" s="50">
        <f>DI61*'Useful Constants'!$B$8</f>
        <v>0</v>
      </c>
      <c r="DR61" s="50">
        <f>DJ61*'Useful Constants'!$B$10</f>
        <v>0</v>
      </c>
      <c r="DS61" s="50">
        <f>DK61*'Useful Constants'!$B$10</f>
        <v>0</v>
      </c>
      <c r="DT61" s="50">
        <f>DL61*'Useful Constants'!$B$10</f>
        <v>0</v>
      </c>
      <c r="DU61" s="50">
        <f>DM61*'Useful Constants'!$B$10</f>
        <v>0</v>
      </c>
      <c r="DV61" s="50">
        <f>DN61*'Useful Constants'!$B$10</f>
        <v>0</v>
      </c>
      <c r="DW61" s="50">
        <f>DO61*'Useful Constants'!$B$10</f>
        <v>0</v>
      </c>
      <c r="DX61" s="14">
        <f>DH61*'Useful Constants'!$B$9</f>
        <v>0</v>
      </c>
      <c r="DY61" s="14">
        <f>DI61*'Useful Constants'!$B$9</f>
        <v>0</v>
      </c>
      <c r="DZ61" s="14">
        <f>DJ61*'Useful Constants'!$B$11</f>
        <v>0</v>
      </c>
      <c r="EA61" s="14">
        <f>DK61*'Useful Constants'!$B$11</f>
        <v>0</v>
      </c>
      <c r="EB61" s="14">
        <f>DL61*'Useful Constants'!$B$11</f>
        <v>0</v>
      </c>
      <c r="EC61" s="14">
        <f>DM61*'Useful Constants'!$B$11</f>
        <v>0</v>
      </c>
      <c r="ED61" s="14">
        <f>DN61*'Useful Constants'!$B$11</f>
        <v>0</v>
      </c>
      <c r="EE61" s="14">
        <f>DO61*'Useful Constants'!$B$11</f>
        <v>0</v>
      </c>
      <c r="EF61" s="78">
        <f>(SUM(Data!DI61:DO61)*2+Data!DP61)/('Useful Constants'!$B$1*1000000)*$K61/100</f>
        <v>36.134251842096006</v>
      </c>
      <c r="EG61" s="78">
        <f>(SUM(Data!DJ61:DP61)*2+Data!DQ61)/('Useful Constants'!$B$1*1000000)*$K61/100</f>
        <v>34.472950637203517</v>
      </c>
      <c r="EH61" s="78">
        <f>(SUM(Data!DK61:DQ61)*2+Data!DR61)/('Useful Constants'!$B$1*1000000)*$K61/100</f>
        <v>33.414548400078715</v>
      </c>
      <c r="EI61" s="78">
        <f>(SUM(Data!DL61:DR61)*2+Data!DS61)/('Useful Constants'!$B$1*1000000)*$K61/100</f>
        <v>32.614532358148026</v>
      </c>
      <c r="EJ61" s="78">
        <f>(SUM(Data!DM61:DS61)*2+Data!DT61)/('Useful Constants'!$B$1*1000000)*$K61/100</f>
        <v>32.613105098731644</v>
      </c>
      <c r="EK61" s="78">
        <f>(SUM(Data!DN61:DT61)*2+Data!DU61)/('Useful Constants'!$B$1*1000000)*$K61/100</f>
        <v>33.219775450564747</v>
      </c>
      <c r="EL61" s="78">
        <f>(SUM(Data!DO61:DU61)*2+Data!DV61)/('Useful Constants'!$B$1*1000000)*$K61/100</f>
        <v>34.30322758935722</v>
      </c>
      <c r="EM61" s="78">
        <f>(SUM(Data!DP61:DV61)*2+Data!DW61)/('Useful Constants'!$B$1*1000000)*$K61/100</f>
        <v>35.533259406173286</v>
      </c>
      <c r="EN61" s="79">
        <f>EF61*'Useful Constants'!$B$3</f>
        <v>3035.2771547360644</v>
      </c>
      <c r="EO61" s="79">
        <f>EG61*'Useful Constants'!$B$3</f>
        <v>2895.7278535250953</v>
      </c>
      <c r="EP61" s="79">
        <f>EH61*'Useful Constants'!$B$3</f>
        <v>2806.8220656066119</v>
      </c>
      <c r="EQ61" s="79">
        <f>EI61*'Useful Constants'!$B$3</f>
        <v>2739.620718084434</v>
      </c>
      <c r="ER61" s="79">
        <f>EJ61*'Useful Constants'!$B$3</f>
        <v>2739.5008282934582</v>
      </c>
      <c r="ES61" s="79">
        <f>EK61*'Useful Constants'!$B$3</f>
        <v>2790.4611378474387</v>
      </c>
      <c r="ET61" s="79">
        <f>EL61*'Useful Constants'!$B$3</f>
        <v>2881.4711175060065</v>
      </c>
      <c r="EU61" s="79">
        <f>EM61*'Useful Constants'!$B$3</f>
        <v>2984.793790118556</v>
      </c>
      <c r="EV61" s="78">
        <f>EF61*'Useful Constants'!$B$4</f>
        <v>1011.7590515786882</v>
      </c>
      <c r="EW61" s="78">
        <f>EG61*'Useful Constants'!$B$4</f>
        <v>965.24261784169846</v>
      </c>
      <c r="EX61" s="78">
        <f>EH61*'Useful Constants'!$B$4</f>
        <v>935.60735520220396</v>
      </c>
      <c r="EY61" s="78">
        <f>EI61*'Useful Constants'!$B$4</f>
        <v>913.20690602814466</v>
      </c>
      <c r="EZ61" s="78">
        <f>EJ61*'Useful Constants'!$B$4</f>
        <v>913.16694276448607</v>
      </c>
      <c r="FA61" s="78">
        <f>EK61*'Useful Constants'!$B$4</f>
        <v>930.15371261581288</v>
      </c>
      <c r="FB61" s="78">
        <f>EL61*'Useful Constants'!$B$4</f>
        <v>960.49037250200217</v>
      </c>
      <c r="FC61" s="78">
        <f>EM61*'Useful Constants'!$B$4</f>
        <v>994.93126337285207</v>
      </c>
      <c r="FD61" s="40">
        <f t="shared" si="76"/>
        <v>0.66374651246635696</v>
      </c>
      <c r="FE61" s="40">
        <f t="shared" si="77"/>
        <v>0.64766385879746791</v>
      </c>
      <c r="FF61" s="40">
        <f t="shared" si="78"/>
        <v>0.68566240472922324</v>
      </c>
      <c r="FG61" s="40">
        <f t="shared" si="79"/>
        <v>0.65127728770664983</v>
      </c>
      <c r="FH61" s="40">
        <f t="shared" si="80"/>
        <v>0.6114892404741451</v>
      </c>
      <c r="FI61" s="40">
        <f t="shared" si="81"/>
        <v>0.61161009652067921</v>
      </c>
      <c r="FJ61" s="40">
        <f t="shared" si="82"/>
        <v>0.62469628649808107</v>
      </c>
      <c r="FK61" s="40">
        <f t="shared" si="83"/>
        <v>0.66576883218125371</v>
      </c>
      <c r="FL61" s="4">
        <f t="shared" si="84"/>
        <v>0.70030598338131511</v>
      </c>
      <c r="FM61" s="4">
        <f t="shared" si="85"/>
        <v>0.69254389126597904</v>
      </c>
      <c r="FN61" s="4">
        <f t="shared" si="86"/>
        <v>0.72052700838613393</v>
      </c>
      <c r="FO61" s="4">
        <f t="shared" si="87"/>
        <v>0.69860610830550918</v>
      </c>
      <c r="FP61" s="4">
        <f t="shared" si="88"/>
        <v>0.67143648006331058</v>
      </c>
      <c r="FQ61" s="4">
        <f t="shared" si="89"/>
        <v>0.67034795776923672</v>
      </c>
      <c r="FR61" s="4">
        <f t="shared" si="90"/>
        <v>0.67718976918605689</v>
      </c>
      <c r="FS61" s="4">
        <f t="shared" si="91"/>
        <v>0.70284797754481709</v>
      </c>
      <c r="FT61" s="38">
        <f t="shared" si="92"/>
        <v>0.67921274970516421</v>
      </c>
      <c r="FU61" s="38">
        <f t="shared" si="93"/>
        <v>0.66664809695320182</v>
      </c>
      <c r="FV61" s="38">
        <f t="shared" si="94"/>
        <v>0.70041174190251976</v>
      </c>
      <c r="FW61" s="38">
        <f t="shared" si="95"/>
        <v>0.6712966066675754</v>
      </c>
      <c r="FX61" s="38">
        <f t="shared" si="96"/>
        <v>0.63684214785831317</v>
      </c>
      <c r="FY61" s="38">
        <f t="shared" si="97"/>
        <v>0.63645213266735967</v>
      </c>
      <c r="FZ61" s="38">
        <f t="shared" si="98"/>
        <v>0.64689907577146444</v>
      </c>
      <c r="GA61" s="38">
        <f t="shared" si="99"/>
        <v>0.68145487066670929</v>
      </c>
    </row>
    <row r="62" spans="1:183" x14ac:dyDescent="0.25">
      <c r="A62" s="1" t="str">
        <f>Data!A62</f>
        <v>NJ_TRENTON-MERCER-CO-AP_724095_TY3A</v>
      </c>
      <c r="B62" s="1" t="str">
        <f>TY3A_REP_CITIES!B62</f>
        <v>Trenton</v>
      </c>
      <c r="C62" s="1" t="str">
        <f>TY3A_REP_CITIES!C62</f>
        <v>Mercer</v>
      </c>
      <c r="D62" s="2" t="str">
        <f>TY3A_REP_CITIES!A62</f>
        <v>NJ</v>
      </c>
      <c r="E62" s="42">
        <f>TY3A_REP_CITIES!E62</f>
        <v>367430</v>
      </c>
      <c r="F62" s="2">
        <f>TY3A_REP_CITIES!G62</f>
        <v>5</v>
      </c>
      <c r="G62" s="2" t="str">
        <f>TY3A_REP_CITIES!H62</f>
        <v>Cold</v>
      </c>
      <c r="H62" s="2" t="str">
        <f>TY3A_REP_CITIES!I62</f>
        <v>Northeast</v>
      </c>
      <c r="I62" s="2">
        <f>Data!B62</f>
        <v>40.28</v>
      </c>
      <c r="J62" s="2">
        <f>Data!C62</f>
        <v>-74.819999999999993</v>
      </c>
      <c r="K62" s="2">
        <f>VLOOKUP(D62,Table1[],2,FALSE)</f>
        <v>0.9</v>
      </c>
      <c r="L62" s="2">
        <v>0.5</v>
      </c>
      <c r="M62" s="10">
        <f>Data!N62</f>
        <v>4745.1713200000004</v>
      </c>
      <c r="N62" s="10">
        <f>Data!Q62</f>
        <v>29308</v>
      </c>
      <c r="O62" s="10">
        <f>Data!O62</f>
        <v>33411179201.186401</v>
      </c>
      <c r="P62" s="10">
        <f>Data!P62</f>
        <v>34803311667.902504</v>
      </c>
      <c r="Q62" s="10">
        <f>Data!S62*15</f>
        <v>26259.585148216131</v>
      </c>
      <c r="R62" s="48">
        <f>SUM(Data!U62:AA62)*2+Data!AB62</f>
        <v>163.92458541720245</v>
      </c>
      <c r="S62" s="48">
        <f>SUM(Data!V62:AB62)*2+Data!AC62</f>
        <v>171.54539410515864</v>
      </c>
      <c r="T62" s="48">
        <f>SUM(Data!W62:AC62)*2+Data!AD62</f>
        <v>153.26344224083672</v>
      </c>
      <c r="U62" s="48">
        <f>SUM(Data!X62:AD62)*2+Data!AE62</f>
        <v>169.51874158826209</v>
      </c>
      <c r="V62" s="48">
        <f>SUM(Data!Y62:AE62)*2+Data!AF62</f>
        <v>188.75024566984897</v>
      </c>
      <c r="W62" s="48">
        <f>SUM(Data!Z62:AF62)*2+Data!AG62</f>
        <v>188.70394467070338</v>
      </c>
      <c r="X62" s="48">
        <f>SUM(Data!AA62:AG62)*2+Data!AH62</f>
        <v>182.64566287893524</v>
      </c>
      <c r="Y62" s="48">
        <f>SUM(Data!AB62:AH62)*2+Data!AI62</f>
        <v>160.29669060904376</v>
      </c>
      <c r="Z62" s="80">
        <f>(SUM(Data!CS62:CY62)*2+Data!CZ62)/('Useful Constants'!$B$1*1000000)*$K62/100</f>
        <v>0.59379485507713525</v>
      </c>
      <c r="AA62" s="80">
        <f>(SUM(Data!CT62:CZ62)*2+Data!DA62)/('Useful Constants'!$B$1*1000000)*$K62/100</f>
        <v>0.56580282464996368</v>
      </c>
      <c r="AB62" s="80">
        <f>(SUM(Data!CU62:DA62)*2+Data!DB62)/('Useful Constants'!$B$1*1000000)*$K62/100</f>
        <v>0.54840219391422196</v>
      </c>
      <c r="AC62" s="80">
        <f>(SUM(Data!CV62:DB62)*2+Data!DC62)/('Useful Constants'!$B$1*1000000)*$K62/100</f>
        <v>0.53557755510521243</v>
      </c>
      <c r="AD62" s="80">
        <f>(SUM(Data!CW62:DC62)*2+Data!DD62)/('Useful Constants'!$B$1*1000000)*$K62/100</f>
        <v>0.53633681635766439</v>
      </c>
      <c r="AE62" s="80">
        <f>(SUM(Data!CX62:DD62)*2+Data!DE62)/('Useful Constants'!$B$1*1000000)*$K62/100</f>
        <v>0.54798921016818258</v>
      </c>
      <c r="AF62" s="80">
        <f>(SUM(Data!CY62:DE62)*2+Data!DF62)/('Useful Constants'!$B$1*1000000)*$K62/100</f>
        <v>0.56526159289360001</v>
      </c>
      <c r="AG62" s="80">
        <f>(SUM(Data!CZ62:DF62)*2+Data!DG62)/('Useful Constants'!$B$1*1000000)*$K62/100</f>
        <v>0.58645482281409866</v>
      </c>
      <c r="AH62" s="48">
        <f>Z62*'Useful Constants'!$B$3</f>
        <v>49.878767826479361</v>
      </c>
      <c r="AI62" s="48">
        <f>AA62*'Useful Constants'!$B$3</f>
        <v>47.527437270596948</v>
      </c>
      <c r="AJ62" s="48">
        <f>AB62*'Useful Constants'!$B$3</f>
        <v>46.065784288794646</v>
      </c>
      <c r="AK62" s="48">
        <f>AC62*'Useful Constants'!$B$3</f>
        <v>44.988514628837848</v>
      </c>
      <c r="AL62" s="48">
        <f>AD62*'Useful Constants'!$B$3</f>
        <v>45.052292574043811</v>
      </c>
      <c r="AM62" s="48">
        <f>AE62*'Useful Constants'!$B$3</f>
        <v>46.031093654127339</v>
      </c>
      <c r="AN62" s="48">
        <f>AF62*'Useful Constants'!$B$3</f>
        <v>47.481973803062402</v>
      </c>
      <c r="AO62" s="48">
        <f>AG62*'Useful Constants'!$B$3</f>
        <v>49.262205116384287</v>
      </c>
      <c r="AP62" s="10">
        <f>Z62*'Useful Constants'!$B$4</f>
        <v>16.626255942159787</v>
      </c>
      <c r="AQ62" s="10">
        <f>AA62*'Useful Constants'!$B$4</f>
        <v>15.842479090198983</v>
      </c>
      <c r="AR62" s="10">
        <f>AB62*'Useful Constants'!$B$4</f>
        <v>15.355261429598215</v>
      </c>
      <c r="AS62" s="10">
        <f>AC62*'Useful Constants'!$B$4</f>
        <v>14.996171542945948</v>
      </c>
      <c r="AT62" s="10">
        <f>AD62*'Useful Constants'!$B$4</f>
        <v>15.017430858014603</v>
      </c>
      <c r="AU62" s="10">
        <f>AE62*'Useful Constants'!$B$4</f>
        <v>15.343697884709112</v>
      </c>
      <c r="AV62" s="10">
        <f>AF62*'Useful Constants'!$B$4</f>
        <v>15.8273246010208</v>
      </c>
      <c r="AW62" s="10">
        <f>AG62*'Useful Constants'!$B$4</f>
        <v>16.420735038794763</v>
      </c>
      <c r="AX62" s="48">
        <f>P62/1000000/'Useful Constants'!$B$1*K62/100*'Useful Constants'!$B$3*15</f>
        <v>7893.3910862802877</v>
      </c>
      <c r="AY62" s="48">
        <f>P62/1000000/'Useful Constants'!$B$1*L62/100*'Useful Constants'!$B$3*15</f>
        <v>4385.2172701557156</v>
      </c>
      <c r="AZ62" s="48">
        <f>P62/1000000/'Useful Constants'!$B$1*K62/100*'Useful Constants'!$B$4*15</f>
        <v>2631.1303620934295</v>
      </c>
      <c r="BA62" s="48">
        <f>P62/1000000/'Useful Constants'!$B$1*L62/100*'Useful Constants'!$B$4*15</f>
        <v>1461.7390900519054</v>
      </c>
      <c r="BB62" s="7">
        <f>Data!AN62</f>
        <v>4745.1713200000004</v>
      </c>
      <c r="BC62" s="7">
        <f>Data!AQ62</f>
        <v>4745.1713200000004</v>
      </c>
      <c r="BD62" s="7">
        <f>Data!AT62</f>
        <v>6751.8944600000004</v>
      </c>
      <c r="BE62" s="6">
        <f>Data!AO62</f>
        <v>28036830374.195702</v>
      </c>
      <c r="BF62" s="6">
        <f>Data!AP62</f>
        <v>9501242086.4577007</v>
      </c>
      <c r="BG62" s="6">
        <f>Data!AR62</f>
        <v>4077466024.8131399</v>
      </c>
      <c r="BH62" s="6">
        <f>Data!AS62</f>
        <v>4077466024.8131399</v>
      </c>
      <c r="BI62" s="8">
        <f t="shared" si="50"/>
        <v>0.87303268381931654</v>
      </c>
      <c r="BJ62" s="8">
        <f t="shared" si="51"/>
        <v>0.69971620338250817</v>
      </c>
      <c r="BK62" s="13">
        <f>BB62*'Useful Constants'!$B$5/'Useful Constants'!$B$6*'Useful Constants'!$B$7</f>
        <v>1.214289340788</v>
      </c>
      <c r="BL62" s="52">
        <f>1-VLOOKUP($G62,'Useful Constants'!$A$17:$X$23,10,FALSE)</f>
        <v>6.6471999999999865E-2</v>
      </c>
      <c r="BM62" s="52">
        <f>1-VLOOKUP($G62,'Useful Constants'!$A$17:$X$23,12,FALSE)</f>
        <v>4.945672000000001E-2</v>
      </c>
      <c r="BN62" s="52">
        <f>1-VLOOKUP($G62,'Useful Constants'!$A$17:$X$23,14,FALSE)</f>
        <v>3.4455679999999989E-2</v>
      </c>
      <c r="BO62" s="52">
        <f>1-VLOOKUP($G62,'Useful Constants'!$A$17:$X$23,16,FALSE)</f>
        <v>2.1468880000000024E-2</v>
      </c>
      <c r="BP62" s="52">
        <f>1-VLOOKUP($G62,'Useful Constants'!$A$17:$X$23,18,FALSE)</f>
        <v>0</v>
      </c>
      <c r="BQ62" s="52">
        <f>1-VLOOKUP($G62,'Useful Constants'!$A$17:$X$23,20, FALSE)</f>
        <v>0</v>
      </c>
      <c r="BR62" s="52">
        <f>1-VLOOKUP($G62,'Useful Constants'!$A$17:$X$23,22, FALSE)</f>
        <v>0</v>
      </c>
      <c r="BS62" s="52">
        <f>1-VLOOKUP($G62,'Useful Constants'!$A$17:$X$23,24, FALSE)</f>
        <v>0</v>
      </c>
      <c r="BT62" s="13">
        <f t="shared" si="52"/>
        <v>8.071624106085977E-2</v>
      </c>
      <c r="BU62" s="13">
        <f t="shared" si="53"/>
        <v>6.0054767926336704E-2</v>
      </c>
      <c r="BV62" s="13">
        <f t="shared" si="54"/>
        <v>4.1839164953602265E-2</v>
      </c>
      <c r="BW62" s="13">
        <f t="shared" si="55"/>
        <v>2.6069432142656706E-2</v>
      </c>
      <c r="BX62" s="13">
        <f t="shared" si="56"/>
        <v>0</v>
      </c>
      <c r="BY62" s="13">
        <f t="shared" si="57"/>
        <v>0</v>
      </c>
      <c r="BZ62" s="13">
        <f t="shared" si="58"/>
        <v>0</v>
      </c>
      <c r="CA62" s="13">
        <f t="shared" si="59"/>
        <v>0</v>
      </c>
      <c r="CB62" s="59">
        <f>+SUM(Data!BM62:BS62)*2+Data!BT62</f>
        <v>1019.2430159789681</v>
      </c>
      <c r="CC62" s="59">
        <f>+SUM(Data!BN62:BT62)*2+Data!BU62</f>
        <v>1066.7383187447299</v>
      </c>
      <c r="CD62" s="59">
        <f>+SUM(Data!BO62:BU62)*2+Data!BV62</f>
        <v>953.65636748156908</v>
      </c>
      <c r="CE62" s="59">
        <f>+SUM(Data!BP62:BV62)*2+Data!BW62</f>
        <v>1054.4324027233324</v>
      </c>
      <c r="CF62" s="59">
        <f>+SUM(Data!BQ62:BW62)*2+Data!BX62</f>
        <v>1173.5161178408966</v>
      </c>
      <c r="CG62" s="59">
        <f>+SUM(Data!BR62:BX62)*2+Data!BY62</f>
        <v>1172.5663063192717</v>
      </c>
      <c r="CH62" s="59">
        <f>+SUM(Data!BS62:BY62)*2+Data!BZ62</f>
        <v>1134.5452895047929</v>
      </c>
      <c r="CI62" s="59">
        <f>+SUM(Data!BT62:BZ62)*2+Data!CA62</f>
        <v>995.61732635139811</v>
      </c>
      <c r="CJ62" s="13">
        <f>+SUM(Data!AW62:BC62)*2+Data!BD62</f>
        <v>5846.5553562215937</v>
      </c>
      <c r="CK62" s="13">
        <f>+SUM(Data!AX62:BD62)*2+Data!BE62</f>
        <v>6114.2645436126604</v>
      </c>
      <c r="CL62" s="13">
        <f>+SUM(Data!AY62:BE62)*2+Data!BF62</f>
        <v>5432.266127256019</v>
      </c>
      <c r="CM62" s="13">
        <f>+SUM(Data!AZ62:BF62)*2+Data!BG62</f>
        <v>6006.9480255302133</v>
      </c>
      <c r="CN62" s="13">
        <f>+SUM(Data!BA62:BG62)*2+Data!BH62</f>
        <v>6684.407641745529</v>
      </c>
      <c r="CO62" s="13">
        <f>+SUM(Data!BB62:BH62)*2+Data!BI62</f>
        <v>6691.753394165421</v>
      </c>
      <c r="CP62" s="13">
        <f>+SUM(Data!BC62:BI62)*2+Data!BJ62</f>
        <v>6481.2471276706701</v>
      </c>
      <c r="CQ62" s="13">
        <f>+SUM(Data!BD62:BJ62)*2+Data!BK62</f>
        <v>5698.307913203389</v>
      </c>
      <c r="CR62" s="59">
        <f>+SUM(Data!CC62:CI62)*2+Data!CJ62</f>
        <v>2469.9147075606461</v>
      </c>
      <c r="CS62" s="59">
        <f>+SUM(Data!CD62:CJ62)*2+Data!CK62</f>
        <v>2558.9821953176929</v>
      </c>
      <c r="CT62" s="59">
        <f>+SUM(Data!CE62:CK62)*2+Data!CL62</f>
        <v>2224.3627551105496</v>
      </c>
      <c r="CU62" s="59">
        <f>+SUM(Data!CF62:CL62)*2+Data!CM62</f>
        <v>2471.678396356207</v>
      </c>
      <c r="CV62" s="59">
        <f>+SUM(Data!CG62:CM62)*2+Data!CN62</f>
        <v>2781.3282977327012</v>
      </c>
      <c r="CW62" s="59">
        <f>+SUM(Data!CH62:CN62)*2+Data!CO62</f>
        <v>2845.6362438569963</v>
      </c>
      <c r="CX62" s="59">
        <f>+SUM(Data!CI62:CO62)*2+Data!CP62</f>
        <v>2793.2277247399743</v>
      </c>
      <c r="CY62" s="59">
        <f>+SUM(Data!CJ62:CP62)*2+Data!CQ62</f>
        <v>2441.947245635798</v>
      </c>
      <c r="CZ62" s="60">
        <f t="shared" si="60"/>
        <v>9335.7130797612081</v>
      </c>
      <c r="DA62" s="60">
        <f t="shared" si="61"/>
        <v>9739.9850576750832</v>
      </c>
      <c r="DB62" s="60">
        <f t="shared" si="62"/>
        <v>8610.285249848137</v>
      </c>
      <c r="DC62" s="60">
        <f t="shared" si="63"/>
        <v>9533.0588246097523</v>
      </c>
      <c r="DD62" s="60">
        <f t="shared" si="64"/>
        <v>10639.252057319127</v>
      </c>
      <c r="DE62" s="60">
        <f t="shared" si="65"/>
        <v>10709.955944341689</v>
      </c>
      <c r="DF62" s="60">
        <f t="shared" si="66"/>
        <v>10409.020141915436</v>
      </c>
      <c r="DG62" s="60">
        <f t="shared" si="67"/>
        <v>9135.8724851905863</v>
      </c>
      <c r="DH62" s="13">
        <f t="shared" si="68"/>
        <v>8.2990226096313471E-2</v>
      </c>
      <c r="DI62" s="13">
        <f t="shared" si="69"/>
        <v>6.1746665886118629E-2</v>
      </c>
      <c r="DJ62" s="13">
        <f t="shared" si="70"/>
        <v>4.3017882318904667E-2</v>
      </c>
      <c r="DK62" s="13">
        <f t="shared" si="71"/>
        <v>2.6803875394671859E-2</v>
      </c>
      <c r="DL62" s="13">
        <f t="shared" si="72"/>
        <v>0</v>
      </c>
      <c r="DM62" s="13">
        <f t="shared" si="73"/>
        <v>0</v>
      </c>
      <c r="DN62" s="13">
        <f t="shared" si="74"/>
        <v>0</v>
      </c>
      <c r="DO62" s="13">
        <f t="shared" si="75"/>
        <v>0</v>
      </c>
      <c r="DP62" s="50">
        <f>DH62*'Useful Constants'!$B$8</f>
        <v>353.53836317029538</v>
      </c>
      <c r="DQ62" s="50">
        <f>DI62*'Useful Constants'!$B$8</f>
        <v>263.04079667486536</v>
      </c>
      <c r="DR62" s="50">
        <f>DJ62*'Useful Constants'!$B$10</f>
        <v>104.53345403493834</v>
      </c>
      <c r="DS62" s="50">
        <f>DK62*'Useful Constants'!$B$10</f>
        <v>65.133417209052624</v>
      </c>
      <c r="DT62" s="50">
        <f>DL62*'Useful Constants'!$B$10</f>
        <v>0</v>
      </c>
      <c r="DU62" s="50">
        <f>DM62*'Useful Constants'!$B$10</f>
        <v>0</v>
      </c>
      <c r="DV62" s="50">
        <f>DN62*'Useful Constants'!$B$10</f>
        <v>0</v>
      </c>
      <c r="DW62" s="50">
        <f>DO62*'Useful Constants'!$B$10</f>
        <v>0</v>
      </c>
      <c r="DX62" s="14">
        <f>DH62*'Useful Constants'!$B$9</f>
        <v>159.67319500930711</v>
      </c>
      <c r="DY62" s="14">
        <f>DI62*'Useful Constants'!$B$9</f>
        <v>118.80058516489224</v>
      </c>
      <c r="DZ62" s="14">
        <f>DJ62*'Useful Constants'!$B$11</f>
        <v>29.123106329898459</v>
      </c>
      <c r="EA62" s="14">
        <f>DK62*'Useful Constants'!$B$11</f>
        <v>18.146223642192847</v>
      </c>
      <c r="EB62" s="14">
        <f>DL62*'Useful Constants'!$B$11</f>
        <v>0</v>
      </c>
      <c r="EC62" s="14">
        <f>DM62*'Useful Constants'!$B$11</f>
        <v>0</v>
      </c>
      <c r="ED62" s="14">
        <f>DN62*'Useful Constants'!$B$11</f>
        <v>0</v>
      </c>
      <c r="EE62" s="14">
        <f>DO62*'Useful Constants'!$B$11</f>
        <v>0</v>
      </c>
      <c r="EF62" s="78">
        <f>(SUM(Data!DI62:DO62)*2+Data!DP62)/('Useful Constants'!$B$1*1000000)*$K62/100</f>
        <v>33.920639813111272</v>
      </c>
      <c r="EG62" s="78">
        <f>(SUM(Data!DJ62:DP62)*2+Data!DQ62)/('Useful Constants'!$B$1*1000000)*$K62/100</f>
        <v>32.379039919015305</v>
      </c>
      <c r="EH62" s="78">
        <f>(SUM(Data!DK62:DQ62)*2+Data!DR62)/('Useful Constants'!$B$1*1000000)*$K62/100</f>
        <v>31.449866214593108</v>
      </c>
      <c r="EI62" s="78">
        <f>(SUM(Data!DL62:DR62)*2+Data!DS62)/('Useful Constants'!$B$1*1000000)*$K62/100</f>
        <v>30.796707479062988</v>
      </c>
      <c r="EJ62" s="78">
        <f>(SUM(Data!DM62:DS62)*2+Data!DT62)/('Useful Constants'!$B$1*1000000)*$K62/100</f>
        <v>30.87852133978167</v>
      </c>
      <c r="EK62" s="78">
        <f>(SUM(Data!DN62:DT62)*2+Data!DU62)/('Useful Constants'!$B$1*1000000)*$K62/100</f>
        <v>31.568947142131616</v>
      </c>
      <c r="EL62" s="78">
        <f>(SUM(Data!DO62:DU62)*2+Data!DV62)/('Useful Constants'!$B$1*1000000)*$K62/100</f>
        <v>32.569049801018252</v>
      </c>
      <c r="EM62" s="78">
        <f>(SUM(Data!DP62:DV62)*2+Data!DW62)/('Useful Constants'!$B$1*1000000)*$K62/100</f>
        <v>33.803585903917515</v>
      </c>
      <c r="EN62" s="79">
        <f>EF62*'Useful Constants'!$B$3</f>
        <v>2849.333744301347</v>
      </c>
      <c r="EO62" s="79">
        <f>EG62*'Useful Constants'!$B$3</f>
        <v>2719.8393531972856</v>
      </c>
      <c r="EP62" s="79">
        <f>EH62*'Useful Constants'!$B$3</f>
        <v>2641.7887620258211</v>
      </c>
      <c r="EQ62" s="79">
        <f>EI62*'Useful Constants'!$B$3</f>
        <v>2586.9234282412908</v>
      </c>
      <c r="ER62" s="79">
        <f>EJ62*'Useful Constants'!$B$3</f>
        <v>2593.7957925416604</v>
      </c>
      <c r="ES62" s="79">
        <f>EK62*'Useful Constants'!$B$3</f>
        <v>2651.7915599390558</v>
      </c>
      <c r="ET62" s="79">
        <f>EL62*'Useful Constants'!$B$3</f>
        <v>2735.8001832855334</v>
      </c>
      <c r="EU62" s="79">
        <f>EM62*'Useful Constants'!$B$3</f>
        <v>2839.5012159290713</v>
      </c>
      <c r="EV62" s="78">
        <f>EF62*'Useful Constants'!$B$4</f>
        <v>949.77791476711559</v>
      </c>
      <c r="EW62" s="78">
        <f>EG62*'Useful Constants'!$B$4</f>
        <v>906.61311773242858</v>
      </c>
      <c r="EX62" s="78">
        <f>EH62*'Useful Constants'!$B$4</f>
        <v>880.59625400860705</v>
      </c>
      <c r="EY62" s="78">
        <f>EI62*'Useful Constants'!$B$4</f>
        <v>862.30780941376361</v>
      </c>
      <c r="EZ62" s="78">
        <f>EJ62*'Useful Constants'!$B$4</f>
        <v>864.59859751388672</v>
      </c>
      <c r="FA62" s="78">
        <f>EK62*'Useful Constants'!$B$4</f>
        <v>883.9305199796853</v>
      </c>
      <c r="FB62" s="78">
        <f>EL62*'Useful Constants'!$B$4</f>
        <v>911.93339442851106</v>
      </c>
      <c r="FC62" s="78">
        <f>EM62*'Useful Constants'!$B$4</f>
        <v>946.50040530969045</v>
      </c>
      <c r="FD62" s="40">
        <f t="shared" si="76"/>
        <v>0.64668913502137126</v>
      </c>
      <c r="FE62" s="40">
        <f t="shared" si="77"/>
        <v>0.63149570760586626</v>
      </c>
      <c r="FF62" s="40">
        <f t="shared" si="78"/>
        <v>0.67401148647938502</v>
      </c>
      <c r="FG62" s="40">
        <f t="shared" si="79"/>
        <v>0.63929693324610448</v>
      </c>
      <c r="FH62" s="40">
        <f t="shared" si="80"/>
        <v>0.59773453040153957</v>
      </c>
      <c r="FI62" s="40">
        <f t="shared" si="81"/>
        <v>0.5950605384443528</v>
      </c>
      <c r="FJ62" s="40">
        <f t="shared" si="82"/>
        <v>0.60634863917957149</v>
      </c>
      <c r="FK62" s="40">
        <f t="shared" si="83"/>
        <v>0.65420464251414545</v>
      </c>
      <c r="FL62" s="4">
        <f t="shared" si="84"/>
        <v>0.67644028169149473</v>
      </c>
      <c r="FM62" s="4">
        <f t="shared" si="85"/>
        <v>0.67172955137652879</v>
      </c>
      <c r="FN62" s="4">
        <f t="shared" si="86"/>
        <v>0.70683186055241998</v>
      </c>
      <c r="FO62" s="4">
        <f t="shared" si="87"/>
        <v>0.68556731709486196</v>
      </c>
      <c r="FP62" s="4">
        <f t="shared" si="88"/>
        <v>0.65869572886523065</v>
      </c>
      <c r="FQ62" s="4">
        <f t="shared" si="89"/>
        <v>0.65538461998117514</v>
      </c>
      <c r="FR62" s="4">
        <f t="shared" si="90"/>
        <v>0.66093913952889272</v>
      </c>
      <c r="FS62" s="4">
        <f t="shared" si="91"/>
        <v>0.69094017177102207</v>
      </c>
      <c r="FT62" s="38">
        <f t="shared" si="92"/>
        <v>0.65790579609090249</v>
      </c>
      <c r="FU62" s="38">
        <f t="shared" si="93"/>
        <v>0.64749658516104946</v>
      </c>
      <c r="FV62" s="38">
        <f t="shared" si="94"/>
        <v>0.68808421265679964</v>
      </c>
      <c r="FW62" s="38">
        <f t="shared" si="95"/>
        <v>0.65898669633656581</v>
      </c>
      <c r="FX62" s="38">
        <f t="shared" si="96"/>
        <v>0.62351855701960401</v>
      </c>
      <c r="FY62" s="38">
        <f t="shared" si="97"/>
        <v>0.62057547123185919</v>
      </c>
      <c r="FZ62" s="38">
        <f t="shared" si="98"/>
        <v>0.62943994077451748</v>
      </c>
      <c r="GA62" s="38">
        <f t="shared" si="99"/>
        <v>0.66974627147075561</v>
      </c>
    </row>
    <row r="63" spans="1:183" x14ac:dyDescent="0.25">
      <c r="A63" s="1" t="str">
        <f>Data!A63</f>
        <v>NM_ALBUQUERQUE-IAP_723650_TY3A</v>
      </c>
      <c r="B63" s="1" t="str">
        <f>TY3A_REP_CITIES!B63</f>
        <v>Albuquerque</v>
      </c>
      <c r="C63" s="1" t="str">
        <f>TY3A_REP_CITIES!C63</f>
        <v>Bernalillo</v>
      </c>
      <c r="D63" s="2" t="str">
        <f>TY3A_REP_CITIES!A63</f>
        <v>NM</v>
      </c>
      <c r="E63" s="42">
        <f>TY3A_REP_CITIES!E63</f>
        <v>679121</v>
      </c>
      <c r="F63" s="2">
        <f>TY3A_REP_CITIES!G63</f>
        <v>4</v>
      </c>
      <c r="G63" s="2" t="str">
        <f>TY3A_REP_CITIES!H63</f>
        <v>Mixed-Dry</v>
      </c>
      <c r="H63" s="2" t="str">
        <f>TY3A_REP_CITIES!I63</f>
        <v>Southwest</v>
      </c>
      <c r="I63" s="2">
        <f>Data!B63</f>
        <v>35.04</v>
      </c>
      <c r="J63" s="2">
        <f>Data!C63</f>
        <v>-106.62</v>
      </c>
      <c r="K63" s="2">
        <f>VLOOKUP(D63,Table1[],2,FALSE)</f>
        <v>3.3</v>
      </c>
      <c r="L63" s="2">
        <v>0.5</v>
      </c>
      <c r="M63" s="10">
        <f>Data!N63</f>
        <v>4959.6785600000003</v>
      </c>
      <c r="N63" s="10">
        <f>Data!Q63</f>
        <v>29308</v>
      </c>
      <c r="O63" s="10">
        <f>Data!O63</f>
        <v>20408175275.825001</v>
      </c>
      <c r="P63" s="10">
        <f>Data!P63</f>
        <v>21258515912.317921</v>
      </c>
      <c r="Q63" s="10">
        <f>Data!S63*15</f>
        <v>16039.847415987626</v>
      </c>
      <c r="R63" s="48">
        <f>SUM(Data!U63:AA63)*2+Data!AB63</f>
        <v>359.39121087355892</v>
      </c>
      <c r="S63" s="48">
        <f>SUM(Data!V63:AB63)*2+Data!AC63</f>
        <v>280.16048048283568</v>
      </c>
      <c r="T63" s="48">
        <f>SUM(Data!W63:AC63)*2+Data!AD63</f>
        <v>240.53768899284921</v>
      </c>
      <c r="U63" s="48">
        <f>SUM(Data!X63:AD63)*2+Data!AE63</f>
        <v>214.84573362233726</v>
      </c>
      <c r="V63" s="48">
        <f>SUM(Data!Y63:AE63)*2+Data!AF63</f>
        <v>208.2298136882504</v>
      </c>
      <c r="W63" s="48">
        <f>SUM(Data!Z63:AF63)*2+Data!AG63</f>
        <v>200.6261169726576</v>
      </c>
      <c r="X63" s="48">
        <f>SUM(Data!AA63:AG63)*2+Data!AH63</f>
        <v>185.52420471229885</v>
      </c>
      <c r="Y63" s="48">
        <f>SUM(Data!AB63:AH63)*2+Data!AI63</f>
        <v>185.29555925959346</v>
      </c>
      <c r="Z63" s="80">
        <f>(SUM(Data!CS63:CY63)*2+Data!CZ63)/('Useful Constants'!$B$1*1000000)*$K63/100</f>
        <v>0.16999399488804681</v>
      </c>
      <c r="AA63" s="80">
        <f>(SUM(Data!CT63:CZ63)*2+Data!DA63)/('Useful Constants'!$B$1*1000000)*$K63/100</f>
        <v>9.8385805243540514E-2</v>
      </c>
      <c r="AB63" s="80">
        <f>(SUM(Data!CU63:DA63)*2+Data!DB63)/('Useful Constants'!$B$1*1000000)*$K63/100</f>
        <v>7.1868336627279761E-2</v>
      </c>
      <c r="AC63" s="80">
        <f>(SUM(Data!CV63:DB63)*2+Data!DC63)/('Useful Constants'!$B$1*1000000)*$K63/100</f>
        <v>5.2704355310936098E-2</v>
      </c>
      <c r="AD63" s="80">
        <f>(SUM(Data!CW63:DC63)*2+Data!DD63)/('Useful Constants'!$B$1*1000000)*$K63/100</f>
        <v>4.3221614864447658E-2</v>
      </c>
      <c r="AE63" s="80">
        <f>(SUM(Data!CX63:DD63)*2+Data!DE63)/('Useful Constants'!$B$1*1000000)*$K63/100</f>
        <v>4.3955654530415937E-2</v>
      </c>
      <c r="AF63" s="80">
        <f>(SUM(Data!CY63:DE63)*2+Data!DF63)/('Useful Constants'!$B$1*1000000)*$K63/100</f>
        <v>5.3972468407501195E-2</v>
      </c>
      <c r="AG63" s="80">
        <f>(SUM(Data!CZ63:DF63)*2+Data!DG63)/('Useful Constants'!$B$1*1000000)*$K63/100</f>
        <v>6.6124602167027757E-2</v>
      </c>
      <c r="AH63" s="48">
        <f>Z63*'Useful Constants'!$B$3</f>
        <v>14.279495570595932</v>
      </c>
      <c r="AI63" s="48">
        <f>AA63*'Useful Constants'!$B$3</f>
        <v>8.2644076404574029</v>
      </c>
      <c r="AJ63" s="48">
        <f>AB63*'Useful Constants'!$B$3</f>
        <v>6.0369402766914995</v>
      </c>
      <c r="AK63" s="48">
        <f>AC63*'Useful Constants'!$B$3</f>
        <v>4.4271658461186325</v>
      </c>
      <c r="AL63" s="48">
        <f>AD63*'Useful Constants'!$B$3</f>
        <v>3.6306156486136034</v>
      </c>
      <c r="AM63" s="48">
        <f>AE63*'Useful Constants'!$B$3</f>
        <v>3.6922749805549389</v>
      </c>
      <c r="AN63" s="48">
        <f>AF63*'Useful Constants'!$B$3</f>
        <v>4.5336873462301002</v>
      </c>
      <c r="AO63" s="48">
        <f>AG63*'Useful Constants'!$B$3</f>
        <v>5.5544665820303312</v>
      </c>
      <c r="AP63" s="10">
        <f>Z63*'Useful Constants'!$B$4</f>
        <v>4.7598318568653104</v>
      </c>
      <c r="AQ63" s="10">
        <f>AA63*'Useful Constants'!$B$4</f>
        <v>2.7548025468191346</v>
      </c>
      <c r="AR63" s="10">
        <f>AB63*'Useful Constants'!$B$4</f>
        <v>2.0123134255638333</v>
      </c>
      <c r="AS63" s="10">
        <f>AC63*'Useful Constants'!$B$4</f>
        <v>1.4757219487062108</v>
      </c>
      <c r="AT63" s="10">
        <f>AD63*'Useful Constants'!$B$4</f>
        <v>1.2102052162045345</v>
      </c>
      <c r="AU63" s="10">
        <f>AE63*'Useful Constants'!$B$4</f>
        <v>1.2307583268516462</v>
      </c>
      <c r="AV63" s="10">
        <f>AF63*'Useful Constants'!$B$4</f>
        <v>1.5112291154100335</v>
      </c>
      <c r="AW63" s="10">
        <f>AG63*'Useful Constants'!$B$4</f>
        <v>1.8514888606767772</v>
      </c>
      <c r="AX63" s="48">
        <f>P63/1000000/'Useful Constants'!$B$1*K63/100*'Useful Constants'!$B$3*15</f>
        <v>17678.581832683583</v>
      </c>
      <c r="AY63" s="48">
        <f>P63/1000000/'Useful Constants'!$B$1*L63/100*'Useful Constants'!$B$3*15</f>
        <v>2678.573004952058</v>
      </c>
      <c r="AZ63" s="48">
        <f>P63/1000000/'Useful Constants'!$B$1*K63/100*'Useful Constants'!$B$4*15</f>
        <v>5892.8606108945278</v>
      </c>
      <c r="BA63" s="48">
        <f>P63/1000000/'Useful Constants'!$B$1*L63/100*'Useful Constants'!$B$4*15</f>
        <v>892.85766831735259</v>
      </c>
      <c r="BB63" s="7">
        <f>Data!AN63</f>
        <v>4959.6785600000003</v>
      </c>
      <c r="BC63" s="7">
        <f>Data!AQ63</f>
        <v>4959.6785600000003</v>
      </c>
      <c r="BD63" s="7">
        <f>Data!AT63</f>
        <v>5497.1692000000003</v>
      </c>
      <c r="BE63" s="6">
        <f>Data!AO63</f>
        <v>19039356529.473701</v>
      </c>
      <c r="BF63" s="6">
        <f>Data!AP63</f>
        <v>6023695784.3362398</v>
      </c>
      <c r="BG63" s="6">
        <f>Data!AR63</f>
        <v>405059424.44284701</v>
      </c>
      <c r="BH63" s="6">
        <f>Data!AS63</f>
        <v>405059424.44284701</v>
      </c>
      <c r="BI63" s="8">
        <f t="shared" si="50"/>
        <v>0.97916834193411395</v>
      </c>
      <c r="BJ63" s="8">
        <f t="shared" si="51"/>
        <v>0.93699255745658205</v>
      </c>
      <c r="BK63" s="13">
        <f>BB63*'Useful Constants'!$B$5/'Useful Constants'!$B$6*'Useful Constants'!$B$7</f>
        <v>1.269181743504</v>
      </c>
      <c r="BL63" s="52">
        <f>1-VLOOKUP($G63,'Useful Constants'!$A$17:$X$23,10,FALSE)</f>
        <v>0.10654528000000008</v>
      </c>
      <c r="BM63" s="52">
        <f>1-VLOOKUP($G63,'Useful Constants'!$A$17:$X$23,12,FALSE)</f>
        <v>8.5501519999999998E-2</v>
      </c>
      <c r="BN63" s="52">
        <f>1-VLOOKUP($G63,'Useful Constants'!$A$17:$X$23,14,FALSE)</f>
        <v>6.6471999999999865E-2</v>
      </c>
      <c r="BO63" s="52">
        <f>1-VLOOKUP($G63,'Useful Constants'!$A$17:$X$23,16,FALSE)</f>
        <v>4.945672000000001E-2</v>
      </c>
      <c r="BP63" s="52">
        <f>1-VLOOKUP($G63,'Useful Constants'!$A$17:$X$23,18,FALSE)</f>
        <v>3.4455679999999989E-2</v>
      </c>
      <c r="BQ63" s="52">
        <f>1-VLOOKUP($G63,'Useful Constants'!$A$17:$X$23,20, FALSE)</f>
        <v>2.1468880000000024E-2</v>
      </c>
      <c r="BR63" s="52">
        <f>1-VLOOKUP($G63,'Useful Constants'!$A$17:$X$23,22, FALSE)</f>
        <v>0</v>
      </c>
      <c r="BS63" s="52">
        <f>1-VLOOKUP($G63,'Useful Constants'!$A$17:$X$23,24, FALSE)</f>
        <v>0</v>
      </c>
      <c r="BT63" s="13">
        <f t="shared" si="52"/>
        <v>0.13522532423252195</v>
      </c>
      <c r="BU63" s="13">
        <f t="shared" si="53"/>
        <v>0.10851696822584213</v>
      </c>
      <c r="BV63" s="13">
        <f t="shared" si="54"/>
        <v>8.4365048854197724E-2</v>
      </c>
      <c r="BW63" s="13">
        <f t="shared" si="55"/>
        <v>6.2769566117589159E-2</v>
      </c>
      <c r="BX63" s="13">
        <f t="shared" si="56"/>
        <v>4.3730520016015892E-2</v>
      </c>
      <c r="BY63" s="13">
        <f t="shared" si="57"/>
        <v>2.7247910549478185E-2</v>
      </c>
      <c r="BZ63" s="13">
        <f t="shared" si="58"/>
        <v>0</v>
      </c>
      <c r="CA63" s="13">
        <f t="shared" si="59"/>
        <v>0</v>
      </c>
      <c r="CB63" s="59">
        <f>+SUM(Data!BM63:BS63)*2+Data!BT63</f>
        <v>2096.5578462095291</v>
      </c>
      <c r="CC63" s="59">
        <f>+SUM(Data!BN63:BT63)*2+Data!BU63</f>
        <v>1632.7493794521024</v>
      </c>
      <c r="CD63" s="59">
        <f>+SUM(Data!BO63:BU63)*2+Data!BV63</f>
        <v>1401.8233090524795</v>
      </c>
      <c r="CE63" s="59">
        <f>+SUM(Data!BP63:BV63)*2+Data!BW63</f>
        <v>1253.1391764377315</v>
      </c>
      <c r="CF63" s="59">
        <f>+SUM(Data!BQ63:BW63)*2+Data!BX63</f>
        <v>1214.3255365921311</v>
      </c>
      <c r="CG63" s="59">
        <f>+SUM(Data!BR63:BX63)*2+Data!BY63</f>
        <v>1169.3284410249855</v>
      </c>
      <c r="CH63" s="59">
        <f>+SUM(Data!BS63:BY63)*2+Data!BZ63</f>
        <v>1080.4806939995938</v>
      </c>
      <c r="CI63" s="59">
        <f>+SUM(Data!BT63:BZ63)*2+Data!CA63</f>
        <v>1078.5112139163084</v>
      </c>
      <c r="CJ63" s="13">
        <f>+SUM(Data!AW63:BC63)*2+Data!BD63</f>
        <v>9907.1707037979631</v>
      </c>
      <c r="CK63" s="13">
        <f>+SUM(Data!AX63:BD63)*2+Data!BE63</f>
        <v>7740.5806408511598</v>
      </c>
      <c r="CL63" s="13">
        <f>+SUM(Data!AY63:BE63)*2+Data!BF63</f>
        <v>6647.8307569680001</v>
      </c>
      <c r="CM63" s="13">
        <f>+SUM(Data!AZ63:BF63)*2+Data!BG63</f>
        <v>5918.5581430841494</v>
      </c>
      <c r="CN63" s="13">
        <f>+SUM(Data!BA63:BG63)*2+Data!BH63</f>
        <v>5737.6428068819732</v>
      </c>
      <c r="CO63" s="13">
        <f>+SUM(Data!BB63:BH63)*2+Data!BI63</f>
        <v>5534.8018461054953</v>
      </c>
      <c r="CP63" s="13">
        <f>+SUM(Data!BC63:BI63)*2+Data!BJ63</f>
        <v>5123.7880511207068</v>
      </c>
      <c r="CQ63" s="13">
        <f>+SUM(Data!BD63:BJ63)*2+Data!BK63</f>
        <v>5119.3337019941418</v>
      </c>
      <c r="CR63" s="59">
        <f>+SUM(Data!CC63:CI63)*2+Data!CJ63</f>
        <v>601.78294594212036</v>
      </c>
      <c r="CS63" s="59">
        <f>+SUM(Data!CD63:CJ63)*2+Data!CK63</f>
        <v>464.01502265250639</v>
      </c>
      <c r="CT63" s="59">
        <f>+SUM(Data!CE63:CK63)*2+Data!CL63</f>
        <v>393.78895729758102</v>
      </c>
      <c r="CU63" s="59">
        <f>+SUM(Data!CF63:CL63)*2+Data!CM63</f>
        <v>339.20614204103606</v>
      </c>
      <c r="CV63" s="59">
        <f>+SUM(Data!CG63:CM63)*2+Data!CN63</f>
        <v>322.1484650153493</v>
      </c>
      <c r="CW63" s="59">
        <f>+SUM(Data!CH63:CN63)*2+Data!CO63</f>
        <v>309.74125276923218</v>
      </c>
      <c r="CX63" s="59">
        <f>+SUM(Data!CI63:CO63)*2+Data!CP63</f>
        <v>286.50026158860794</v>
      </c>
      <c r="CY63" s="59">
        <f>+SUM(Data!CJ63:CP63)*2+Data!CQ63</f>
        <v>281.17245283065705</v>
      </c>
      <c r="CZ63" s="60">
        <f t="shared" si="60"/>
        <v>12605.511495949613</v>
      </c>
      <c r="DA63" s="60">
        <f t="shared" si="61"/>
        <v>9837.3450429557688</v>
      </c>
      <c r="DB63" s="60">
        <f t="shared" si="62"/>
        <v>8443.443023318061</v>
      </c>
      <c r="DC63" s="60">
        <f t="shared" si="63"/>
        <v>7510.9034615629171</v>
      </c>
      <c r="DD63" s="60">
        <f t="shared" si="64"/>
        <v>7274.1168084894543</v>
      </c>
      <c r="DE63" s="60">
        <f t="shared" si="65"/>
        <v>7013.8715398997128</v>
      </c>
      <c r="DF63" s="60">
        <f t="shared" si="66"/>
        <v>6490.7690067089079</v>
      </c>
      <c r="DG63" s="60">
        <f t="shared" si="67"/>
        <v>6479.017368741107</v>
      </c>
      <c r="DH63" s="13">
        <f t="shared" si="68"/>
        <v>0.1390349709613293</v>
      </c>
      <c r="DI63" s="13">
        <f t="shared" si="69"/>
        <v>0.11157417156676963</v>
      </c>
      <c r="DJ63" s="13">
        <f t="shared" si="70"/>
        <v>8.6741830231629763E-2</v>
      </c>
      <c r="DK63" s="13">
        <f t="shared" si="71"/>
        <v>6.4537946955910114E-2</v>
      </c>
      <c r="DL63" s="13">
        <f t="shared" si="72"/>
        <v>4.4962521739610149E-2</v>
      </c>
      <c r="DM63" s="13">
        <f t="shared" si="73"/>
        <v>2.801555458273013E-2</v>
      </c>
      <c r="DN63" s="13">
        <f t="shared" si="74"/>
        <v>0</v>
      </c>
      <c r="DO63" s="13">
        <f t="shared" si="75"/>
        <v>0</v>
      </c>
      <c r="DP63" s="50">
        <f>DH63*'Useful Constants'!$B$8</f>
        <v>592.28897629526284</v>
      </c>
      <c r="DQ63" s="50">
        <f>DI63*'Useful Constants'!$B$8</f>
        <v>475.30597087443863</v>
      </c>
      <c r="DR63" s="50">
        <f>DJ63*'Useful Constants'!$B$10</f>
        <v>210.78264746286033</v>
      </c>
      <c r="DS63" s="50">
        <f>DK63*'Useful Constants'!$B$10</f>
        <v>156.82721110286158</v>
      </c>
      <c r="DT63" s="50">
        <f>DL63*'Useful Constants'!$B$10</f>
        <v>109.25892782725266</v>
      </c>
      <c r="DU63" s="50">
        <f>DM63*'Useful Constants'!$B$10</f>
        <v>68.077797636034219</v>
      </c>
      <c r="DV63" s="50">
        <f>DN63*'Useful Constants'!$B$10</f>
        <v>0</v>
      </c>
      <c r="DW63" s="50">
        <f>DO63*'Useful Constants'!$B$10</f>
        <v>0</v>
      </c>
      <c r="DX63" s="14">
        <f>DH63*'Useful Constants'!$B$9</f>
        <v>267.5032841295976</v>
      </c>
      <c r="DY63" s="14">
        <f>DI63*'Useful Constants'!$B$9</f>
        <v>214.66870609446477</v>
      </c>
      <c r="DZ63" s="14">
        <f>DJ63*'Useful Constants'!$B$11</f>
        <v>58.724219066813347</v>
      </c>
      <c r="EA63" s="14">
        <f>DK63*'Useful Constants'!$B$11</f>
        <v>43.692190089151147</v>
      </c>
      <c r="EB63" s="14">
        <f>DL63*'Useful Constants'!$B$11</f>
        <v>30.439627217716072</v>
      </c>
      <c r="EC63" s="14">
        <f>DM63*'Useful Constants'!$B$11</f>
        <v>18.966530452508298</v>
      </c>
      <c r="ED63" s="14">
        <f>DN63*'Useful Constants'!$B$11</f>
        <v>0</v>
      </c>
      <c r="EE63" s="14">
        <f>DO63*'Useful Constants'!$B$11</f>
        <v>0</v>
      </c>
      <c r="EF63" s="78">
        <f>(SUM(Data!DI63:DO63)*2+Data!DP63)/('Useful Constants'!$B$1*1000000)*$K63/100</f>
        <v>5.9424125555967553</v>
      </c>
      <c r="EG63" s="78">
        <f>(SUM(Data!DJ63:DP63)*2+Data!DQ63)/('Useful Constants'!$B$1*1000000)*$K63/100</f>
        <v>3.4293962105357032</v>
      </c>
      <c r="EH63" s="78">
        <f>(SUM(Data!DK63:DQ63)*2+Data!DR63)/('Useful Constants'!$B$1*1000000)*$K63/100</f>
        <v>2.4930742006327682</v>
      </c>
      <c r="EI63" s="78">
        <f>(SUM(Data!DL63:DR63)*2+Data!DS63)/('Useful Constants'!$B$1*1000000)*$K63/100</f>
        <v>1.8161975815302238</v>
      </c>
      <c r="EJ63" s="78">
        <f>(SUM(Data!DM63:DS63)*2+Data!DT63)/('Useful Constants'!$B$1*1000000)*$K63/100</f>
        <v>1.4902033140773205</v>
      </c>
      <c r="EK63" s="78">
        <f>(SUM(Data!DN63:DT63)*2+Data!DU63)/('Useful Constants'!$B$1*1000000)*$K63/100</f>
        <v>1.5181382763045528</v>
      </c>
      <c r="EL63" s="78">
        <f>(SUM(Data!DO63:DU63)*2+Data!DV63)/('Useful Constants'!$B$1*1000000)*$K63/100</f>
        <v>1.8668580798417893</v>
      </c>
      <c r="EM63" s="78">
        <f>(SUM(Data!DP63:DV63)*2+Data!DW63)/('Useful Constants'!$B$1*1000000)*$K63/100</f>
        <v>2.2878483855018867</v>
      </c>
      <c r="EN63" s="79">
        <f>EF63*'Useful Constants'!$B$3</f>
        <v>499.16265467012744</v>
      </c>
      <c r="EO63" s="79">
        <f>EG63*'Useful Constants'!$B$3</f>
        <v>288.06928168499905</v>
      </c>
      <c r="EP63" s="79">
        <f>EH63*'Useful Constants'!$B$3</f>
        <v>209.41823285315252</v>
      </c>
      <c r="EQ63" s="79">
        <f>EI63*'Useful Constants'!$B$3</f>
        <v>152.56059684853881</v>
      </c>
      <c r="ER63" s="79">
        <f>EJ63*'Useful Constants'!$B$3</f>
        <v>125.17707838249493</v>
      </c>
      <c r="ES63" s="79">
        <f>EK63*'Useful Constants'!$B$3</f>
        <v>127.52361520958243</v>
      </c>
      <c r="ET63" s="79">
        <f>EL63*'Useful Constants'!$B$3</f>
        <v>156.8160787067103</v>
      </c>
      <c r="EU63" s="79">
        <f>EM63*'Useful Constants'!$B$3</f>
        <v>192.17926438215849</v>
      </c>
      <c r="EV63" s="78">
        <f>EF63*'Useful Constants'!$B$4</f>
        <v>166.38755155670916</v>
      </c>
      <c r="EW63" s="78">
        <f>EG63*'Useful Constants'!$B$4</f>
        <v>96.02309389499969</v>
      </c>
      <c r="EX63" s="78">
        <f>EH63*'Useful Constants'!$B$4</f>
        <v>69.806077617717506</v>
      </c>
      <c r="EY63" s="78">
        <f>EI63*'Useful Constants'!$B$4</f>
        <v>50.853532282846267</v>
      </c>
      <c r="EZ63" s="78">
        <f>EJ63*'Useful Constants'!$B$4</f>
        <v>41.725692794164978</v>
      </c>
      <c r="FA63" s="78">
        <f>EK63*'Useful Constants'!$B$4</f>
        <v>42.507871736527477</v>
      </c>
      <c r="FB63" s="78">
        <f>EL63*'Useful Constants'!$B$4</f>
        <v>52.272026235570102</v>
      </c>
      <c r="FC63" s="78">
        <f>EM63*'Useful Constants'!$B$4</f>
        <v>64.059754794052822</v>
      </c>
      <c r="FD63" s="40">
        <f t="shared" si="76"/>
        <v>0.23133556485345752</v>
      </c>
      <c r="FE63" s="40">
        <f t="shared" si="77"/>
        <v>0.39722179637650185</v>
      </c>
      <c r="FF63" s="40">
        <f t="shared" si="78"/>
        <v>0.48137326181952206</v>
      </c>
      <c r="FG63" s="40">
        <f t="shared" si="79"/>
        <v>0.53792400801222484</v>
      </c>
      <c r="FH63" s="40">
        <f t="shared" si="80"/>
        <v>0.55230906982619254</v>
      </c>
      <c r="FI63" s="40">
        <f t="shared" si="81"/>
        <v>0.5681239512096149</v>
      </c>
      <c r="FJ63" s="40">
        <f t="shared" si="82"/>
        <v>0.59996176614974128</v>
      </c>
      <c r="FK63" s="40">
        <f t="shared" si="83"/>
        <v>0.60068041442683273</v>
      </c>
      <c r="FL63" s="4">
        <f t="shared" si="84"/>
        <v>0.62750306088251995</v>
      </c>
      <c r="FM63" s="4">
        <f t="shared" si="85"/>
        <v>0.71103729405805371</v>
      </c>
      <c r="FN63" s="4">
        <f t="shared" si="86"/>
        <v>0.75811193508862662</v>
      </c>
      <c r="FO63" s="4">
        <f t="shared" si="87"/>
        <v>0.78642581101387632</v>
      </c>
      <c r="FP63" s="4">
        <f t="shared" si="88"/>
        <v>0.79489794917354506</v>
      </c>
      <c r="FQ63" s="4">
        <f t="shared" si="89"/>
        <v>0.80302697209870633</v>
      </c>
      <c r="FR63" s="4">
        <f t="shared" si="90"/>
        <v>0.81830775528434474</v>
      </c>
      <c r="FS63" s="4">
        <f t="shared" si="91"/>
        <v>0.8176663505097973</v>
      </c>
      <c r="FT63" s="38">
        <f t="shared" si="92"/>
        <v>0.43770756327056787</v>
      </c>
      <c r="FU63" s="38">
        <f t="shared" si="93"/>
        <v>0.56085227529642279</v>
      </c>
      <c r="FV63" s="38">
        <f t="shared" si="94"/>
        <v>0.62840600279771619</v>
      </c>
      <c r="FW63" s="38">
        <f t="shared" si="95"/>
        <v>0.66992941445420717</v>
      </c>
      <c r="FX63" s="38">
        <f t="shared" si="96"/>
        <v>0.68108181870329099</v>
      </c>
      <c r="FY63" s="38">
        <f t="shared" si="97"/>
        <v>0.692742601981294</v>
      </c>
      <c r="FZ63" s="38">
        <f t="shared" si="98"/>
        <v>0.71567572929896495</v>
      </c>
      <c r="GA63" s="38">
        <f t="shared" si="99"/>
        <v>0.7156755400149637</v>
      </c>
    </row>
    <row r="64" spans="1:183" x14ac:dyDescent="0.25">
      <c r="A64" s="1" t="str">
        <f>Data!A64</f>
        <v>NM_LAS-CRUCES-IAP_722695_TY3A</v>
      </c>
      <c r="B64" s="1" t="str">
        <f>TY3A_REP_CITIES!B64</f>
        <v>Las-Cruces</v>
      </c>
      <c r="C64" s="1" t="str">
        <f>TY3A_REP_CITIES!C64</f>
        <v>Doña Ana</v>
      </c>
      <c r="D64" s="2" t="str">
        <f>TY3A_REP_CITIES!A64</f>
        <v>NM</v>
      </c>
      <c r="E64" s="42">
        <f>TY3A_REP_CITIES!E64</f>
        <v>218195</v>
      </c>
      <c r="F64" s="2">
        <f>TY3A_REP_CITIES!G64</f>
        <v>3</v>
      </c>
      <c r="G64" s="2" t="str">
        <f>TY3A_REP_CITIES!H64</f>
        <v>Hot-Dry</v>
      </c>
      <c r="H64" s="2" t="str">
        <f>TY3A_REP_CITIES!I64</f>
        <v>Southwest</v>
      </c>
      <c r="I64" s="2">
        <f>Data!B64</f>
        <v>32.28</v>
      </c>
      <c r="J64" s="2">
        <f>Data!C64</f>
        <v>-106.92</v>
      </c>
      <c r="K64" s="2">
        <f>VLOOKUP(D64,Table1[],2,FALSE)</f>
        <v>3.3</v>
      </c>
      <c r="L64" s="2">
        <v>0.5</v>
      </c>
      <c r="M64" s="10">
        <f>Data!N64</f>
        <v>5020.8597799999998</v>
      </c>
      <c r="N64" s="10">
        <f>Data!Q64</f>
        <v>29308</v>
      </c>
      <c r="O64" s="10">
        <f>Data!O64</f>
        <v>10570397026.3598</v>
      </c>
      <c r="P64" s="10">
        <f>Data!P64</f>
        <v>11010830235.7915</v>
      </c>
      <c r="Q64" s="10">
        <f>Data!S64*15</f>
        <v>8307.8253267484633</v>
      </c>
      <c r="R64" s="48">
        <f>SUM(Data!U64:AA64)*2+Data!AB64</f>
        <v>186.32925095892139</v>
      </c>
      <c r="S64" s="48">
        <f>SUM(Data!V64:AB64)*2+Data!AC64</f>
        <v>145.00102190770559</v>
      </c>
      <c r="T64" s="48">
        <f>SUM(Data!W64:AC64)*2+Data!AD64</f>
        <v>123.57237565720217</v>
      </c>
      <c r="U64" s="48">
        <f>SUM(Data!X64:AD64)*2+Data!AE64</f>
        <v>109.34818130761195</v>
      </c>
      <c r="V64" s="48">
        <f>SUM(Data!Y64:AE64)*2+Data!AF64</f>
        <v>105.25920496212886</v>
      </c>
      <c r="W64" s="48">
        <f>SUM(Data!Z64:AF64)*2+Data!AG64</f>
        <v>100.93085069145837</v>
      </c>
      <c r="X64" s="48">
        <f>SUM(Data!AA64:AG64)*2+Data!AH64</f>
        <v>92.812431481958384</v>
      </c>
      <c r="Y64" s="48">
        <f>SUM(Data!AB64:AH64)*2+Data!AI64</f>
        <v>91.767767614793826</v>
      </c>
      <c r="Z64" s="80">
        <f>(SUM(Data!CS64:CY64)*2+Data!CZ64)/('Useful Constants'!$B$1*1000000)*$K64/100</f>
        <v>9.5006881163403972E-2</v>
      </c>
      <c r="AA64" s="80">
        <f>(SUM(Data!CT64:CZ64)*2+Data!DA64)/('Useful Constants'!$B$1*1000000)*$K64/100</f>
        <v>5.3260767477773772E-2</v>
      </c>
      <c r="AB64" s="80">
        <f>(SUM(Data!CU64:DA64)*2+Data!DB64)/('Useful Constants'!$B$1*1000000)*$K64/100</f>
        <v>3.9882331618973074E-2</v>
      </c>
      <c r="AC64" s="80">
        <f>(SUM(Data!CV64:DB64)*2+Data!DC64)/('Useful Constants'!$B$1*1000000)*$K64/100</f>
        <v>2.9438966042274809E-2</v>
      </c>
      <c r="AD64" s="80">
        <f>(SUM(Data!CW64:DC64)*2+Data!DD64)/('Useful Constants'!$B$1*1000000)*$K64/100</f>
        <v>2.3688811851877909E-2</v>
      </c>
      <c r="AE64" s="80">
        <f>(SUM(Data!CX64:DD64)*2+Data!DE64)/('Useful Constants'!$B$1*1000000)*$K64/100</f>
        <v>2.3663924696192672E-2</v>
      </c>
      <c r="AF64" s="80">
        <f>(SUM(Data!CY64:DE64)*2+Data!DF64)/('Useful Constants'!$B$1*1000000)*$K64/100</f>
        <v>2.9164448315483198E-2</v>
      </c>
      <c r="AG64" s="80">
        <f>(SUM(Data!CZ64:DF64)*2+Data!DG64)/('Useful Constants'!$B$1*1000000)*$K64/100</f>
        <v>3.5133392962192894E-2</v>
      </c>
      <c r="AH64" s="48">
        <f>Z64*'Useful Constants'!$B$3</f>
        <v>7.980578017725934</v>
      </c>
      <c r="AI64" s="48">
        <f>AA64*'Useful Constants'!$B$3</f>
        <v>4.4739044681329965</v>
      </c>
      <c r="AJ64" s="48">
        <f>AB64*'Useful Constants'!$B$3</f>
        <v>3.3501158559937383</v>
      </c>
      <c r="AK64" s="48">
        <f>AC64*'Useful Constants'!$B$3</f>
        <v>2.4728731475510841</v>
      </c>
      <c r="AL64" s="48">
        <f>AD64*'Useful Constants'!$B$3</f>
        <v>1.9898601955577444</v>
      </c>
      <c r="AM64" s="48">
        <f>AE64*'Useful Constants'!$B$3</f>
        <v>1.9877696744801845</v>
      </c>
      <c r="AN64" s="48">
        <f>AF64*'Useful Constants'!$B$3</f>
        <v>2.4498136585005885</v>
      </c>
      <c r="AO64" s="48">
        <f>AG64*'Useful Constants'!$B$3</f>
        <v>2.951205008824203</v>
      </c>
      <c r="AP64" s="10">
        <f>Z64*'Useful Constants'!$B$4</f>
        <v>2.6601926725753113</v>
      </c>
      <c r="AQ64" s="10">
        <f>AA64*'Useful Constants'!$B$4</f>
        <v>1.4913014893776657</v>
      </c>
      <c r="AR64" s="10">
        <f>AB64*'Useful Constants'!$B$4</f>
        <v>1.116705285331246</v>
      </c>
      <c r="AS64" s="10">
        <f>AC64*'Useful Constants'!$B$4</f>
        <v>0.82429104918369467</v>
      </c>
      <c r="AT64" s="10">
        <f>AD64*'Useful Constants'!$B$4</f>
        <v>0.66328673185258147</v>
      </c>
      <c r="AU64" s="10">
        <f>AE64*'Useful Constants'!$B$4</f>
        <v>0.66258989149339487</v>
      </c>
      <c r="AV64" s="10">
        <f>AF64*'Useful Constants'!$B$4</f>
        <v>0.81660455283352951</v>
      </c>
      <c r="AW64" s="10">
        <f>AG64*'Useful Constants'!$B$4</f>
        <v>0.98373500294140104</v>
      </c>
      <c r="AX64" s="48">
        <f>P64/1000000/'Useful Constants'!$B$1*K64/100*'Useful Constants'!$B$3*15</f>
        <v>9156.6064240842097</v>
      </c>
      <c r="AY64" s="48">
        <f>P64/1000000/'Useful Constants'!$B$1*L64/100*'Useful Constants'!$B$3*15</f>
        <v>1387.3646097097292</v>
      </c>
      <c r="AZ64" s="48">
        <f>P64/1000000/'Useful Constants'!$B$1*K64/100*'Useful Constants'!$B$4*15</f>
        <v>3052.2021413614029</v>
      </c>
      <c r="BA64" s="48">
        <f>P64/1000000/'Useful Constants'!$B$1*L64/100*'Useful Constants'!$B$4*15</f>
        <v>462.45486990324298</v>
      </c>
      <c r="BB64" s="7">
        <f>Data!AN64</f>
        <v>5020.8597799999998</v>
      </c>
      <c r="BC64" s="7">
        <f>Data!AQ64</f>
        <v>5020.8597799999998</v>
      </c>
      <c r="BD64" s="7">
        <f>Data!AT64</f>
        <v>4759.9527900000003</v>
      </c>
      <c r="BE64" s="6">
        <f>Data!AO64</f>
        <v>9735669256.3948307</v>
      </c>
      <c r="BF64" s="6">
        <f>Data!AP64</f>
        <v>2972673398.80474</v>
      </c>
      <c r="BG64" s="6">
        <f>Data!AR64</f>
        <v>317237379.23474002</v>
      </c>
      <c r="BH64" s="6">
        <f>Data!AS64</f>
        <v>317237379.23474002</v>
      </c>
      <c r="BI64" s="8">
        <f t="shared" si="50"/>
        <v>0.96844321839114822</v>
      </c>
      <c r="BJ64" s="8">
        <f t="shared" si="51"/>
        <v>0.90357264964377304</v>
      </c>
      <c r="BK64" s="13">
        <f>BB64*'Useful Constants'!$B$5/'Useful Constants'!$B$6*'Useful Constants'!$B$7</f>
        <v>1.2848380177019998</v>
      </c>
      <c r="BL64" s="52">
        <f>1-VLOOKUP($G64,'Useful Constants'!$A$17:$X$23,10,FALSE)</f>
        <v>0.10654528000000008</v>
      </c>
      <c r="BM64" s="52">
        <f>1-VLOOKUP($G64,'Useful Constants'!$A$17:$X$23,12,FALSE)</f>
        <v>8.5501519999999998E-2</v>
      </c>
      <c r="BN64" s="52">
        <f>1-VLOOKUP($G64,'Useful Constants'!$A$17:$X$23,14,FALSE)</f>
        <v>6.6471999999999865E-2</v>
      </c>
      <c r="BO64" s="52">
        <f>1-VLOOKUP($G64,'Useful Constants'!$A$17:$X$23,16,FALSE)</f>
        <v>4.945672000000001E-2</v>
      </c>
      <c r="BP64" s="52">
        <f>1-VLOOKUP($G64,'Useful Constants'!$A$17:$X$23,18,FALSE)</f>
        <v>3.4455679999999989E-2</v>
      </c>
      <c r="BQ64" s="52">
        <f>1-VLOOKUP($G64,'Useful Constants'!$A$17:$X$23,20, FALSE)</f>
        <v>2.1468880000000024E-2</v>
      </c>
      <c r="BR64" s="52">
        <f>1-VLOOKUP($G64,'Useful Constants'!$A$17:$X$23,22, FALSE)</f>
        <v>0</v>
      </c>
      <c r="BS64" s="52">
        <f>1-VLOOKUP($G64,'Useful Constants'!$A$17:$X$23,24, FALSE)</f>
        <v>0</v>
      </c>
      <c r="BT64" s="13">
        <f t="shared" si="52"/>
        <v>0.13689342635070462</v>
      </c>
      <c r="BU64" s="13">
        <f t="shared" si="53"/>
        <v>0.10985560346730788</v>
      </c>
      <c r="BV64" s="13">
        <f t="shared" si="54"/>
        <v>8.5405752712687161E-2</v>
      </c>
      <c r="BW64" s="13">
        <f t="shared" si="55"/>
        <v>6.3543874086842853E-2</v>
      </c>
      <c r="BX64" s="13">
        <f t="shared" si="56"/>
        <v>4.4269967589774424E-2</v>
      </c>
      <c r="BY64" s="13">
        <f t="shared" si="57"/>
        <v>2.7584033221482139E-2</v>
      </c>
      <c r="BZ64" s="13">
        <f t="shared" si="58"/>
        <v>0</v>
      </c>
      <c r="CA64" s="13">
        <f t="shared" si="59"/>
        <v>0</v>
      </c>
      <c r="CB64" s="59">
        <f>+SUM(Data!BM64:BS64)*2+Data!BT64</f>
        <v>1101.0065016041815</v>
      </c>
      <c r="CC64" s="59">
        <f>+SUM(Data!BN64:BT64)*2+Data!BU64</f>
        <v>856.91941921488888</v>
      </c>
      <c r="CD64" s="59">
        <f>+SUM(Data!BO64:BU64)*2+Data!BV64</f>
        <v>730.51773189305231</v>
      </c>
      <c r="CE64" s="59">
        <f>+SUM(Data!BP64:BV64)*2+Data!BW64</f>
        <v>646.73606646810072</v>
      </c>
      <c r="CF64" s="59">
        <f>+SUM(Data!BQ64:BW64)*2+Data!BX64</f>
        <v>622.5457625243514</v>
      </c>
      <c r="CG64" s="59">
        <f>+SUM(Data!BR64:BX64)*2+Data!BY64</f>
        <v>596.60142272354267</v>
      </c>
      <c r="CH64" s="59">
        <f>+SUM(Data!BS64:BY64)*2+Data!BZ64</f>
        <v>547.93993047793333</v>
      </c>
      <c r="CI64" s="59">
        <f>+SUM(Data!BT64:BZ64)*2+Data!CA64</f>
        <v>541.50904574702349</v>
      </c>
      <c r="CJ64" s="13">
        <f>+SUM(Data!AW64:BC64)*2+Data!BD64</f>
        <v>4860.6273970029024</v>
      </c>
      <c r="CK64" s="13">
        <f>+SUM(Data!AX64:BD64)*2+Data!BE64</f>
        <v>3794.9112604985576</v>
      </c>
      <c r="CL64" s="13">
        <f>+SUM(Data!AY64:BE64)*2+Data!BF64</f>
        <v>3232.6345211206035</v>
      </c>
      <c r="CM64" s="13">
        <f>+SUM(Data!AZ64:BF64)*2+Data!BG64</f>
        <v>2851.3663071826381</v>
      </c>
      <c r="CN64" s="13">
        <f>+SUM(Data!BA64:BG64)*2+Data!BH64</f>
        <v>2744.8158395787946</v>
      </c>
      <c r="CO64" s="13">
        <f>+SUM(Data!BB64:BH64)*2+Data!BI64</f>
        <v>2638.3855872417103</v>
      </c>
      <c r="CP64" s="13">
        <f>+SUM(Data!BC64:BI64)*2+Data!BJ64</f>
        <v>2435.3805045518334</v>
      </c>
      <c r="CQ64" s="13">
        <f>+SUM(Data!BD64:BJ64)*2+Data!BK64</f>
        <v>2409.3165782556816</v>
      </c>
      <c r="CR64" s="59">
        <f>+SUM(Data!CC64:CI64)*2+Data!CJ64</f>
        <v>493.61794662104563</v>
      </c>
      <c r="CS64" s="59">
        <f>+SUM(Data!CD64:CJ64)*2+Data!CK64</f>
        <v>386.21155580652322</v>
      </c>
      <c r="CT64" s="59">
        <f>+SUM(Data!CE64:CK64)*2+Data!CL64</f>
        <v>324.98003983528679</v>
      </c>
      <c r="CU64" s="59">
        <f>+SUM(Data!CF64:CL64)*2+Data!CM64</f>
        <v>282.71625899752837</v>
      </c>
      <c r="CV64" s="59">
        <f>+SUM(Data!CG64:CM64)*2+Data!CN64</f>
        <v>269.63022772059094</v>
      </c>
      <c r="CW64" s="59">
        <f>+SUM(Data!CH64:CN64)*2+Data!CO64</f>
        <v>259.53039513855606</v>
      </c>
      <c r="CX64" s="59">
        <f>+SUM(Data!CI64:CO64)*2+Data!CP64</f>
        <v>239.67373893787283</v>
      </c>
      <c r="CY64" s="59">
        <f>+SUM(Data!CJ64:CP64)*2+Data!CQ64</f>
        <v>235.60189818220286</v>
      </c>
      <c r="CZ64" s="60">
        <f t="shared" si="60"/>
        <v>6455.2518452281302</v>
      </c>
      <c r="DA64" s="60">
        <f t="shared" si="61"/>
        <v>5038.0422355199698</v>
      </c>
      <c r="DB64" s="60">
        <f t="shared" si="62"/>
        <v>4288.1322928489426</v>
      </c>
      <c r="DC64" s="60">
        <f t="shared" si="63"/>
        <v>3780.8186326482669</v>
      </c>
      <c r="DD64" s="60">
        <f t="shared" si="64"/>
        <v>3636.9918298237367</v>
      </c>
      <c r="DE64" s="60">
        <f t="shared" si="65"/>
        <v>3494.5174051038093</v>
      </c>
      <c r="DF64" s="60">
        <f t="shared" si="66"/>
        <v>3222.9941739676392</v>
      </c>
      <c r="DG64" s="60">
        <f t="shared" si="67"/>
        <v>3186.427522184908</v>
      </c>
      <c r="DH64" s="13">
        <f t="shared" si="68"/>
        <v>0.14075006782560645</v>
      </c>
      <c r="DI64" s="13">
        <f t="shared" si="69"/>
        <v>0.11295051962125809</v>
      </c>
      <c r="DJ64" s="13">
        <f t="shared" si="70"/>
        <v>8.7811853406398535E-2</v>
      </c>
      <c r="DK64" s="13">
        <f t="shared" si="71"/>
        <v>6.5334069181028215E-2</v>
      </c>
      <c r="DL64" s="13">
        <f t="shared" si="72"/>
        <v>4.5517166945146577E-2</v>
      </c>
      <c r="DM64" s="13">
        <f t="shared" si="73"/>
        <v>2.8361146698753871E-2</v>
      </c>
      <c r="DN64" s="13">
        <f t="shared" si="74"/>
        <v>0</v>
      </c>
      <c r="DO64" s="13">
        <f t="shared" si="75"/>
        <v>0</v>
      </c>
      <c r="DP64" s="50">
        <f>DH64*'Useful Constants'!$B$8</f>
        <v>599.59528893708352</v>
      </c>
      <c r="DQ64" s="50">
        <f>DI64*'Useful Constants'!$B$8</f>
        <v>481.16921358655947</v>
      </c>
      <c r="DR64" s="50">
        <f>DJ64*'Useful Constants'!$B$10</f>
        <v>213.38280377754845</v>
      </c>
      <c r="DS64" s="50">
        <f>DK64*'Useful Constants'!$B$10</f>
        <v>158.76178810989856</v>
      </c>
      <c r="DT64" s="50">
        <f>DL64*'Useful Constants'!$B$10</f>
        <v>110.60671567670619</v>
      </c>
      <c r="DU64" s="50">
        <f>DM64*'Useful Constants'!$B$10</f>
        <v>68.917586477971909</v>
      </c>
      <c r="DV64" s="50">
        <f>DN64*'Useful Constants'!$B$10</f>
        <v>0</v>
      </c>
      <c r="DW64" s="50">
        <f>DO64*'Useful Constants'!$B$10</f>
        <v>0</v>
      </c>
      <c r="DX64" s="14">
        <f>DH64*'Useful Constants'!$B$9</f>
        <v>270.80313049646679</v>
      </c>
      <c r="DY64" s="14">
        <f>DI64*'Useful Constants'!$B$9</f>
        <v>217.31679975130055</v>
      </c>
      <c r="DZ64" s="14">
        <f>DJ64*'Useful Constants'!$B$11</f>
        <v>59.448624756131807</v>
      </c>
      <c r="EA64" s="14">
        <f>DK64*'Useful Constants'!$B$11</f>
        <v>44.2311648355561</v>
      </c>
      <c r="EB64" s="14">
        <f>DL64*'Useful Constants'!$B$11</f>
        <v>30.815122021864234</v>
      </c>
      <c r="EC64" s="14">
        <f>DM64*'Useful Constants'!$B$11</f>
        <v>19.20049631505637</v>
      </c>
      <c r="ED64" s="14">
        <f>DN64*'Useful Constants'!$B$11</f>
        <v>0</v>
      </c>
      <c r="EE64" s="14">
        <f>DO64*'Useful Constants'!$B$11</f>
        <v>0</v>
      </c>
      <c r="EF64" s="78">
        <f>(SUM(Data!DI64:DO64)*2+Data!DP64)/('Useful Constants'!$B$1*1000000)*$K64/100</f>
        <v>3.3751069986937381</v>
      </c>
      <c r="EG64" s="78">
        <f>(SUM(Data!DJ64:DP64)*2+Data!DQ64)/('Useful Constants'!$B$1*1000000)*$K64/100</f>
        <v>1.8902771686045821</v>
      </c>
      <c r="EH64" s="78">
        <f>(SUM(Data!DK64:DQ64)*2+Data!DR64)/('Useful Constants'!$B$1*1000000)*$K64/100</f>
        <v>1.4240328110737439</v>
      </c>
      <c r="EI64" s="78">
        <f>(SUM(Data!DL64:DR64)*2+Data!DS64)/('Useful Constants'!$B$1*1000000)*$K64/100</f>
        <v>1.0477420641981781</v>
      </c>
      <c r="EJ64" s="78">
        <f>(SUM(Data!DM64:DS64)*2+Data!DT64)/('Useful Constants'!$B$1*1000000)*$K64/100</f>
        <v>0.8395288750020623</v>
      </c>
      <c r="EK64" s="78">
        <f>(SUM(Data!DN64:DT64)*2+Data!DU64)/('Useful Constants'!$B$1*1000000)*$K64/100</f>
        <v>0.83420782132610316</v>
      </c>
      <c r="EL64" s="78">
        <f>(SUM(Data!DO64:DU64)*2+Data!DV64)/('Useful Constants'!$B$1*1000000)*$K64/100</f>
        <v>1.0259280877921055</v>
      </c>
      <c r="EM64" s="78">
        <f>(SUM(Data!DP64:DV64)*2+Data!DW64)/('Useful Constants'!$B$1*1000000)*$K64/100</f>
        <v>1.2313514082220678</v>
      </c>
      <c r="EN64" s="79">
        <f>EF64*'Useful Constants'!$B$3</f>
        <v>283.508987890274</v>
      </c>
      <c r="EO64" s="79">
        <f>EG64*'Useful Constants'!$B$3</f>
        <v>158.7832821627849</v>
      </c>
      <c r="EP64" s="79">
        <f>EH64*'Useful Constants'!$B$3</f>
        <v>119.61875613019448</v>
      </c>
      <c r="EQ64" s="79">
        <f>EI64*'Useful Constants'!$B$3</f>
        <v>88.010333392646956</v>
      </c>
      <c r="ER64" s="79">
        <f>EJ64*'Useful Constants'!$B$3</f>
        <v>70.520425500173232</v>
      </c>
      <c r="ES64" s="79">
        <f>EK64*'Useful Constants'!$B$3</f>
        <v>70.073456991392661</v>
      </c>
      <c r="ET64" s="79">
        <f>EL64*'Useful Constants'!$B$3</f>
        <v>86.177959374536869</v>
      </c>
      <c r="EU64" s="79">
        <f>EM64*'Useful Constants'!$B$3</f>
        <v>103.43351829065369</v>
      </c>
      <c r="EV64" s="78">
        <f>EF64*'Useful Constants'!$B$4</f>
        <v>94.502995963424667</v>
      </c>
      <c r="EW64" s="78">
        <f>EG64*'Useful Constants'!$B$4</f>
        <v>52.927760720928298</v>
      </c>
      <c r="EX64" s="78">
        <f>EH64*'Useful Constants'!$B$4</f>
        <v>39.87291871006483</v>
      </c>
      <c r="EY64" s="78">
        <f>EI64*'Useful Constants'!$B$4</f>
        <v>29.336777797548987</v>
      </c>
      <c r="EZ64" s="78">
        <f>EJ64*'Useful Constants'!$B$4</f>
        <v>23.506808500057744</v>
      </c>
      <c r="FA64" s="78">
        <f>EK64*'Useful Constants'!$B$4</f>
        <v>23.357818997130888</v>
      </c>
      <c r="FB64" s="78">
        <f>EL64*'Useful Constants'!$B$4</f>
        <v>28.725986458178955</v>
      </c>
      <c r="FC64" s="78">
        <f>EM64*'Useful Constants'!$B$4</f>
        <v>34.477839430217898</v>
      </c>
      <c r="FD64" s="40">
        <f t="shared" si="76"/>
        <v>0.24003598166558965</v>
      </c>
      <c r="FE64" s="40">
        <f t="shared" si="77"/>
        <v>0.40398133976561357</v>
      </c>
      <c r="FF64" s="40">
        <f t="shared" si="78"/>
        <v>0.49140908255040056</v>
      </c>
      <c r="FG64" s="40">
        <f t="shared" si="79"/>
        <v>0.55082087484241049</v>
      </c>
      <c r="FH64" s="40">
        <f t="shared" si="80"/>
        <v>0.56769817109109144</v>
      </c>
      <c r="FI64" s="40">
        <f t="shared" si="81"/>
        <v>0.58441922546412461</v>
      </c>
      <c r="FJ64" s="40">
        <f t="shared" si="82"/>
        <v>0.61633934628237586</v>
      </c>
      <c r="FK64" s="40">
        <f t="shared" si="83"/>
        <v>0.62064501382534421</v>
      </c>
      <c r="FL64" s="4">
        <f t="shared" si="84"/>
        <v>0.61470570157307336</v>
      </c>
      <c r="FM64" s="4">
        <f t="shared" si="85"/>
        <v>0.70117816615889117</v>
      </c>
      <c r="FN64" s="4">
        <f t="shared" si="86"/>
        <v>0.7565097049606081</v>
      </c>
      <c r="FO64" s="4">
        <f t="shared" si="87"/>
        <v>0.78761484868569687</v>
      </c>
      <c r="FP64" s="4">
        <f t="shared" si="88"/>
        <v>0.79861227792487199</v>
      </c>
      <c r="FQ64" s="4">
        <f t="shared" si="89"/>
        <v>0.80830582510826821</v>
      </c>
      <c r="FR64" s="4">
        <f t="shared" si="90"/>
        <v>0.82534639269286669</v>
      </c>
      <c r="FS64" s="4">
        <f t="shared" si="91"/>
        <v>0.82636062713249248</v>
      </c>
      <c r="FT64" s="38">
        <f t="shared" si="92"/>
        <v>0.43216301085509817</v>
      </c>
      <c r="FU64" s="38">
        <f t="shared" si="93"/>
        <v>0.55649611214342953</v>
      </c>
      <c r="FV64" s="38">
        <f t="shared" si="94"/>
        <v>0.63276212565646206</v>
      </c>
      <c r="FW64" s="38">
        <f t="shared" si="95"/>
        <v>0.6769883452983344</v>
      </c>
      <c r="FX64" s="38">
        <f t="shared" si="96"/>
        <v>0.69054422506246371</v>
      </c>
      <c r="FY64" s="38">
        <f t="shared" si="97"/>
        <v>0.70336688678504422</v>
      </c>
      <c r="FZ64" s="38">
        <f t="shared" si="98"/>
        <v>0.72711566228662983</v>
      </c>
      <c r="GA64" s="38">
        <f t="shared" si="99"/>
        <v>0.72968173309097251</v>
      </c>
    </row>
    <row r="65" spans="1:183" x14ac:dyDescent="0.25">
      <c r="A65" s="1" t="str">
        <f>Data!A65</f>
        <v>NM_SANTA-FE-CO-MUNI-AP_723656_TY3A</v>
      </c>
      <c r="B65" s="1" t="str">
        <f>TY3A_REP_CITIES!B65</f>
        <v>Santa-Fe</v>
      </c>
      <c r="C65" s="1" t="str">
        <f>TY3A_REP_CITIES!C65</f>
        <v>Santa Fe</v>
      </c>
      <c r="D65" s="2" t="str">
        <f>TY3A_REP_CITIES!A65</f>
        <v>NM</v>
      </c>
      <c r="E65" s="42">
        <f>TY3A_REP_CITIES!E65</f>
        <v>150358</v>
      </c>
      <c r="F65" s="2">
        <f>TY3A_REP_CITIES!G65</f>
        <v>5</v>
      </c>
      <c r="G65" s="2" t="str">
        <f>TY3A_REP_CITIES!H65</f>
        <v>Cold</v>
      </c>
      <c r="H65" s="2" t="str">
        <f>TY3A_REP_CITIES!I65</f>
        <v>Southwest</v>
      </c>
      <c r="I65" s="2">
        <f>Data!B65</f>
        <v>35.619999999999997</v>
      </c>
      <c r="J65" s="2">
        <f>Data!C65</f>
        <v>-106.08</v>
      </c>
      <c r="K65" s="2">
        <f>VLOOKUP(D65,Table1[],2,FALSE)</f>
        <v>3.3</v>
      </c>
      <c r="L65" s="2">
        <v>0.5</v>
      </c>
      <c r="M65" s="10">
        <f>Data!N65</f>
        <v>4235.5151900000001</v>
      </c>
      <c r="N65" s="10">
        <f>Data!Q65</f>
        <v>29308</v>
      </c>
      <c r="O65" s="10">
        <f>Data!O65</f>
        <v>29708942408.856499</v>
      </c>
      <c r="P65" s="10">
        <f>Data!P65</f>
        <v>30946815009.225586</v>
      </c>
      <c r="Q65" s="10">
        <f>Data!S65*15</f>
        <v>23349.804511572376</v>
      </c>
      <c r="R65" s="48">
        <f>SUM(Data!U65:AA65)*2+Data!AB65</f>
        <v>446.00972755560019</v>
      </c>
      <c r="S65" s="48">
        <f>SUM(Data!V65:AB65)*2+Data!AC65</f>
        <v>348.50203682671065</v>
      </c>
      <c r="T65" s="48">
        <f>SUM(Data!W65:AC65)*2+Data!AD65</f>
        <v>299.93842226894998</v>
      </c>
      <c r="U65" s="48">
        <f>SUM(Data!X65:AD65)*2+Data!AE65</f>
        <v>268.13579036378212</v>
      </c>
      <c r="V65" s="48">
        <f>SUM(Data!Y65:AE65)*2+Data!AF65</f>
        <v>259.53978412788678</v>
      </c>
      <c r="W65" s="48">
        <f>SUM(Data!Z65:AF65)*2+Data!AG65</f>
        <v>250.12730627799965</v>
      </c>
      <c r="X65" s="48">
        <f>SUM(Data!AA65:AG65)*2+Data!AH65</f>
        <v>231.27522879942245</v>
      </c>
      <c r="Y65" s="48">
        <f>SUM(Data!AB65:AH65)*2+Data!AI65</f>
        <v>231.15656662586576</v>
      </c>
      <c r="Z65" s="80">
        <f>(SUM(Data!CS65:CY65)*2+Data!CZ65)/('Useful Constants'!$B$1*1000000)*$K65/100</f>
        <v>0.20671586023821928</v>
      </c>
      <c r="AA65" s="80">
        <f>(SUM(Data!CT65:CZ65)*2+Data!DA65)/('Useful Constants'!$B$1*1000000)*$K65/100</f>
        <v>0.11822783665370577</v>
      </c>
      <c r="AB65" s="80">
        <f>(SUM(Data!CU65:DA65)*2+Data!DB65)/('Useful Constants'!$B$1*1000000)*$K65/100</f>
        <v>8.5046536266477693E-2</v>
      </c>
      <c r="AC65" s="80">
        <f>(SUM(Data!CV65:DB65)*2+Data!DC65)/('Useful Constants'!$B$1*1000000)*$K65/100</f>
        <v>6.0577064521168532E-2</v>
      </c>
      <c r="AD65" s="80">
        <f>(SUM(Data!CW65:DC65)*2+Data!DD65)/('Useful Constants'!$B$1*1000000)*$K65/100</f>
        <v>4.9476530074463961E-2</v>
      </c>
      <c r="AE65" s="80">
        <f>(SUM(Data!CX65:DD65)*2+Data!DE65)/('Useful Constants'!$B$1*1000000)*$K65/100</f>
        <v>5.0436239112131534E-2</v>
      </c>
      <c r="AF65" s="80">
        <f>(SUM(Data!CY65:DE65)*2+Data!DF65)/('Useful Constants'!$B$1*1000000)*$K65/100</f>
        <v>6.326071236516588E-2</v>
      </c>
      <c r="AG65" s="80">
        <f>(SUM(Data!CZ65:DF65)*2+Data!DG65)/('Useful Constants'!$B$1*1000000)*$K65/100</f>
        <v>7.9560804992432108E-2</v>
      </c>
      <c r="AH65" s="48">
        <f>Z65*'Useful Constants'!$B$3</f>
        <v>17.364132260010418</v>
      </c>
      <c r="AI65" s="48">
        <f>AA65*'Useful Constants'!$B$3</f>
        <v>9.9311382789112841</v>
      </c>
      <c r="AJ65" s="48">
        <f>AB65*'Useful Constants'!$B$3</f>
        <v>7.1439090463841266</v>
      </c>
      <c r="AK65" s="48">
        <f>AC65*'Useful Constants'!$B$3</f>
        <v>5.0884734197781567</v>
      </c>
      <c r="AL65" s="48">
        <f>AD65*'Useful Constants'!$B$3</f>
        <v>4.156028526254973</v>
      </c>
      <c r="AM65" s="48">
        <f>AE65*'Useful Constants'!$B$3</f>
        <v>4.2366440854190488</v>
      </c>
      <c r="AN65" s="48">
        <f>AF65*'Useful Constants'!$B$3</f>
        <v>5.313899838673934</v>
      </c>
      <c r="AO65" s="48">
        <f>AG65*'Useful Constants'!$B$3</f>
        <v>6.6831076193642973</v>
      </c>
      <c r="AP65" s="10">
        <f>Z65*'Useful Constants'!$B$4</f>
        <v>5.7880440866701397</v>
      </c>
      <c r="AQ65" s="10">
        <f>AA65*'Useful Constants'!$B$4</f>
        <v>3.3103794263037618</v>
      </c>
      <c r="AR65" s="10">
        <f>AB65*'Useful Constants'!$B$4</f>
        <v>2.3813030154613752</v>
      </c>
      <c r="AS65" s="10">
        <f>AC65*'Useful Constants'!$B$4</f>
        <v>1.696157806592719</v>
      </c>
      <c r="AT65" s="10">
        <f>AD65*'Useful Constants'!$B$4</f>
        <v>1.3853428420849909</v>
      </c>
      <c r="AU65" s="10">
        <f>AE65*'Useful Constants'!$B$4</f>
        <v>1.412214695139683</v>
      </c>
      <c r="AV65" s="10">
        <f>AF65*'Useful Constants'!$B$4</f>
        <v>1.7712999462246446</v>
      </c>
      <c r="AW65" s="10">
        <f>AG65*'Useful Constants'!$B$4</f>
        <v>2.227702539788099</v>
      </c>
      <c r="AX65" s="48">
        <f>P65/1000000/'Useful Constants'!$B$1*K65/100*'Useful Constants'!$B$3*15</f>
        <v>25735.371361671998</v>
      </c>
      <c r="AY65" s="48">
        <f>P65/1000000/'Useful Constants'!$B$1*L65/100*'Useful Constants'!$B$3*15</f>
        <v>3899.2986911624243</v>
      </c>
      <c r="AZ65" s="48">
        <f>P65/1000000/'Useful Constants'!$B$1*K65/100*'Useful Constants'!$B$4*15</f>
        <v>8578.457120557332</v>
      </c>
      <c r="BA65" s="48">
        <f>P65/1000000/'Useful Constants'!$B$1*L65/100*'Useful Constants'!$B$4*15</f>
        <v>1299.7662303874749</v>
      </c>
      <c r="BB65" s="7">
        <f>Data!AN65</f>
        <v>4235.5151900000001</v>
      </c>
      <c r="BC65" s="7">
        <f>Data!AQ65</f>
        <v>4235.5151900000001</v>
      </c>
      <c r="BD65" s="7">
        <f>Data!AT65</f>
        <v>6390.52045</v>
      </c>
      <c r="BE65" s="6">
        <f>Data!AO65</f>
        <v>26058276863.151901</v>
      </c>
      <c r="BF65" s="6">
        <f>Data!AP65</f>
        <v>8978846653.0856609</v>
      </c>
      <c r="BG65" s="6">
        <f>Data!AR65</f>
        <v>2126266885.16587</v>
      </c>
      <c r="BH65" s="6">
        <f>Data!AS65</f>
        <v>2126266885.16587</v>
      </c>
      <c r="BI65" s="8">
        <f t="shared" si="50"/>
        <v>0.92455911636700594</v>
      </c>
      <c r="BJ65" s="8">
        <f t="shared" si="51"/>
        <v>0.80853262977979012</v>
      </c>
      <c r="BK65" s="13">
        <f>BB65*'Useful Constants'!$B$5/'Useful Constants'!$B$6*'Useful Constants'!$B$7</f>
        <v>1.0838683371210001</v>
      </c>
      <c r="BL65" s="52">
        <f>1-VLOOKUP($G65,'Useful Constants'!$A$17:$X$23,10,FALSE)</f>
        <v>6.6471999999999865E-2</v>
      </c>
      <c r="BM65" s="52">
        <f>1-VLOOKUP($G65,'Useful Constants'!$A$17:$X$23,12,FALSE)</f>
        <v>4.945672000000001E-2</v>
      </c>
      <c r="BN65" s="52">
        <f>1-VLOOKUP($G65,'Useful Constants'!$A$17:$X$23,14,FALSE)</f>
        <v>3.4455679999999989E-2</v>
      </c>
      <c r="BO65" s="52">
        <f>1-VLOOKUP($G65,'Useful Constants'!$A$17:$X$23,16,FALSE)</f>
        <v>2.1468880000000024E-2</v>
      </c>
      <c r="BP65" s="52">
        <f>1-VLOOKUP($G65,'Useful Constants'!$A$17:$X$23,18,FALSE)</f>
        <v>0</v>
      </c>
      <c r="BQ65" s="52">
        <f>1-VLOOKUP($G65,'Useful Constants'!$A$17:$X$23,20, FALSE)</f>
        <v>0</v>
      </c>
      <c r="BR65" s="52">
        <f>1-VLOOKUP($G65,'Useful Constants'!$A$17:$X$23,22, FALSE)</f>
        <v>0</v>
      </c>
      <c r="BS65" s="52">
        <f>1-VLOOKUP($G65,'Useful Constants'!$A$17:$X$23,24, FALSE)</f>
        <v>0</v>
      </c>
      <c r="BT65" s="13">
        <f t="shared" si="52"/>
        <v>7.2046896105106964E-2</v>
      </c>
      <c r="BU65" s="13">
        <f t="shared" si="53"/>
        <v>5.3604572865858915E-2</v>
      </c>
      <c r="BV65" s="13">
        <f t="shared" si="54"/>
        <v>3.7345420585973288E-2</v>
      </c>
      <c r="BW65" s="13">
        <f t="shared" si="55"/>
        <v>2.3269439265450321E-2</v>
      </c>
      <c r="BX65" s="13">
        <f t="shared" si="56"/>
        <v>0</v>
      </c>
      <c r="BY65" s="13">
        <f t="shared" si="57"/>
        <v>0</v>
      </c>
      <c r="BZ65" s="13">
        <f t="shared" si="58"/>
        <v>0</v>
      </c>
      <c r="CA65" s="13">
        <f t="shared" si="59"/>
        <v>0</v>
      </c>
      <c r="CB65" s="59">
        <f>+SUM(Data!BM65:BS65)*2+Data!BT65</f>
        <v>3125.2867286170131</v>
      </c>
      <c r="CC65" s="59">
        <f>+SUM(Data!BN65:BT65)*2+Data!BU65</f>
        <v>2441.7953983528873</v>
      </c>
      <c r="CD65" s="59">
        <f>+SUM(Data!BO65:BU65)*2+Data!BV65</f>
        <v>2101.3705033240944</v>
      </c>
      <c r="CE65" s="59">
        <f>+SUM(Data!BP65:BV65)*2+Data!BW65</f>
        <v>1880.5495420728519</v>
      </c>
      <c r="CF65" s="59">
        <f>+SUM(Data!BQ65:BW65)*2+Data!BX65</f>
        <v>1820.9065433366222</v>
      </c>
      <c r="CG65" s="59">
        <f>+SUM(Data!BR65:BX65)*2+Data!BY65</f>
        <v>1754.5231108379021</v>
      </c>
      <c r="CH65" s="59">
        <f>+SUM(Data!BS65:BY65)*2+Data!BZ65</f>
        <v>1621.4569217545618</v>
      </c>
      <c r="CI65" s="59">
        <f>+SUM(Data!BT65:BZ65)*2+Data!CA65</f>
        <v>1621.1208475923568</v>
      </c>
      <c r="CJ65" s="13">
        <f>+SUM(Data!AW65:BC65)*2+Data!BD65</f>
        <v>14815.688011999122</v>
      </c>
      <c r="CK65" s="13">
        <f>+SUM(Data!AX65:BD65)*2+Data!BE65</f>
        <v>11611.921893378645</v>
      </c>
      <c r="CL65" s="13">
        <f>+SUM(Data!AY65:BE65)*2+Data!BF65</f>
        <v>9999.3123274494574</v>
      </c>
      <c r="CM65" s="13">
        <f>+SUM(Data!AZ65:BF65)*2+Data!BG65</f>
        <v>8917.9272147674437</v>
      </c>
      <c r="CN65" s="13">
        <f>+SUM(Data!BA65:BG65)*2+Data!BH65</f>
        <v>8639.0891504749306</v>
      </c>
      <c r="CO65" s="13">
        <f>+SUM(Data!BB65:BH65)*2+Data!BI65</f>
        <v>8338.1303974915591</v>
      </c>
      <c r="CP65" s="13">
        <f>+SUM(Data!BC65:BI65)*2+Data!BJ65</f>
        <v>7721.0275158512359</v>
      </c>
      <c r="CQ65" s="13">
        <f>+SUM(Data!BD65:BJ65)*2+Data!BK65</f>
        <v>7724.2138809024636</v>
      </c>
      <c r="CR65" s="59">
        <f>+SUM(Data!CC65:CI65)*2+Data!CJ65</f>
        <v>3407.7670846116775</v>
      </c>
      <c r="CS65" s="59">
        <f>+SUM(Data!CD65:CJ65)*2+Data!CK65</f>
        <v>2645.5550708530345</v>
      </c>
      <c r="CT65" s="59">
        <f>+SUM(Data!CE65:CK65)*2+Data!CL65</f>
        <v>2258.6646458535347</v>
      </c>
      <c r="CU65" s="59">
        <f>+SUM(Data!CF65:CL65)*2+Data!CM65</f>
        <v>1990.4037616963124</v>
      </c>
      <c r="CV65" s="59">
        <f>+SUM(Data!CG65:CM65)*2+Data!CN65</f>
        <v>1923.7346247957403</v>
      </c>
      <c r="CW65" s="59">
        <f>+SUM(Data!CH65:CN65)*2+Data!CO65</f>
        <v>1864.2080673338342</v>
      </c>
      <c r="CX65" s="59">
        <f>+SUM(Data!CI65:CO65)*2+Data!CP65</f>
        <v>1734.3503302333747</v>
      </c>
      <c r="CY65" s="59">
        <f>+SUM(Data!CJ65:CP65)*2+Data!CQ65</f>
        <v>1736.7184158233381</v>
      </c>
      <c r="CZ65" s="60">
        <f t="shared" si="60"/>
        <v>21348.741825227811</v>
      </c>
      <c r="DA65" s="60">
        <f t="shared" si="61"/>
        <v>16699.272362584568</v>
      </c>
      <c r="DB65" s="60">
        <f t="shared" si="62"/>
        <v>14359.347476627087</v>
      </c>
      <c r="DC65" s="60">
        <f t="shared" si="63"/>
        <v>12788.880518536607</v>
      </c>
      <c r="DD65" s="60">
        <f t="shared" si="64"/>
        <v>12383.730318607293</v>
      </c>
      <c r="DE65" s="60">
        <f t="shared" si="65"/>
        <v>11956.861575663297</v>
      </c>
      <c r="DF65" s="60">
        <f t="shared" si="66"/>
        <v>11076.834767839173</v>
      </c>
      <c r="DG65" s="60">
        <f t="shared" si="67"/>
        <v>11082.053144318159</v>
      </c>
      <c r="DH65" s="13">
        <f t="shared" si="68"/>
        <v>7.407664329651012E-2</v>
      </c>
      <c r="DI65" s="13">
        <f t="shared" si="69"/>
        <v>5.5114752167158901E-2</v>
      </c>
      <c r="DJ65" s="13">
        <f t="shared" si="70"/>
        <v>3.8397537563164982E-2</v>
      </c>
      <c r="DK65" s="13">
        <f t="shared" si="71"/>
        <v>2.3924999484528604E-2</v>
      </c>
      <c r="DL65" s="13">
        <f t="shared" si="72"/>
        <v>0</v>
      </c>
      <c r="DM65" s="13">
        <f t="shared" si="73"/>
        <v>0</v>
      </c>
      <c r="DN65" s="13">
        <f t="shared" si="74"/>
        <v>0</v>
      </c>
      <c r="DO65" s="13">
        <f t="shared" si="75"/>
        <v>0</v>
      </c>
      <c r="DP65" s="50">
        <f>DH65*'Useful Constants'!$B$8</f>
        <v>315.56650044313312</v>
      </c>
      <c r="DQ65" s="50">
        <f>DI65*'Useful Constants'!$B$8</f>
        <v>234.78884423209692</v>
      </c>
      <c r="DR65" s="50">
        <f>DJ65*'Useful Constants'!$B$10</f>
        <v>93.306016278490901</v>
      </c>
      <c r="DS65" s="50">
        <f>DK65*'Useful Constants'!$B$10</f>
        <v>58.137748747404508</v>
      </c>
      <c r="DT65" s="50">
        <f>DL65*'Useful Constants'!$B$10</f>
        <v>0</v>
      </c>
      <c r="DU65" s="50">
        <f>DM65*'Useful Constants'!$B$10</f>
        <v>0</v>
      </c>
      <c r="DV65" s="50">
        <f>DN65*'Useful Constants'!$B$10</f>
        <v>0</v>
      </c>
      <c r="DW65" s="50">
        <f>DO65*'Useful Constants'!$B$10</f>
        <v>0</v>
      </c>
      <c r="DX65" s="14">
        <f>DH65*'Useful Constants'!$B$9</f>
        <v>142.52346170248546</v>
      </c>
      <c r="DY65" s="14">
        <f>DI65*'Useful Constants'!$B$9</f>
        <v>106.04078316961373</v>
      </c>
      <c r="DZ65" s="14">
        <f>DJ65*'Useful Constants'!$B$11</f>
        <v>25.995132930262692</v>
      </c>
      <c r="EA65" s="14">
        <f>DK65*'Useful Constants'!$B$11</f>
        <v>16.197224651025866</v>
      </c>
      <c r="EB65" s="14">
        <f>DL65*'Useful Constants'!$B$11</f>
        <v>0</v>
      </c>
      <c r="EC65" s="14">
        <f>DM65*'Useful Constants'!$B$11</f>
        <v>0</v>
      </c>
      <c r="ED65" s="14">
        <f>DN65*'Useful Constants'!$B$11</f>
        <v>0</v>
      </c>
      <c r="EE65" s="14">
        <f>DO65*'Useful Constants'!$B$11</f>
        <v>0</v>
      </c>
      <c r="EF65" s="78">
        <f>(SUM(Data!DI65:DO65)*2+Data!DP65)/('Useful Constants'!$B$1*1000000)*$K65/100</f>
        <v>10.024702461819496</v>
      </c>
      <c r="EG65" s="78">
        <f>(SUM(Data!DJ65:DP65)*2+Data!DQ65)/('Useful Constants'!$B$1*1000000)*$K65/100</f>
        <v>5.7261274357609331</v>
      </c>
      <c r="EH65" s="78">
        <f>(SUM(Data!DK65:DQ65)*2+Data!DR65)/('Useful Constants'!$B$1*1000000)*$K65/100</f>
        <v>4.0928178315038251</v>
      </c>
      <c r="EI65" s="78">
        <f>(SUM(Data!DL65:DR65)*2+Data!DS65)/('Useful Constants'!$B$1*1000000)*$K65/100</f>
        <v>2.9004093526174728</v>
      </c>
      <c r="EJ65" s="78">
        <f>(SUM(Data!DM65:DS65)*2+Data!DT65)/('Useful Constants'!$B$1*1000000)*$K65/100</f>
        <v>2.3958002004472805</v>
      </c>
      <c r="EK65" s="78">
        <f>(SUM(Data!DN65:DT65)*2+Data!DU65)/('Useful Constants'!$B$1*1000000)*$K65/100</f>
        <v>2.4437865228087499</v>
      </c>
      <c r="EL65" s="78">
        <f>(SUM(Data!DO65:DU65)*2+Data!DV65)/('Useful Constants'!$B$1*1000000)*$K65/100</f>
        <v>3.0702311563220475</v>
      </c>
      <c r="EM65" s="78">
        <f>(SUM(Data!DP65:DV65)*2+Data!DW65)/('Useful Constants'!$B$1*1000000)*$K65/100</f>
        <v>3.8585791749605551</v>
      </c>
      <c r="EN65" s="79">
        <f>EF65*'Useful Constants'!$B$3</f>
        <v>842.07500679283771</v>
      </c>
      <c r="EO65" s="79">
        <f>EG65*'Useful Constants'!$B$3</f>
        <v>480.99470460391836</v>
      </c>
      <c r="EP65" s="79">
        <f>EH65*'Useful Constants'!$B$3</f>
        <v>343.79669784632131</v>
      </c>
      <c r="EQ65" s="79">
        <f>EI65*'Useful Constants'!$B$3</f>
        <v>243.63438561986771</v>
      </c>
      <c r="ER65" s="79">
        <f>EJ65*'Useful Constants'!$B$3</f>
        <v>201.24721683757156</v>
      </c>
      <c r="ES65" s="79">
        <f>EK65*'Useful Constants'!$B$3</f>
        <v>205.278067915935</v>
      </c>
      <c r="ET65" s="79">
        <f>EL65*'Useful Constants'!$B$3</f>
        <v>257.89941713105196</v>
      </c>
      <c r="EU65" s="79">
        <f>EM65*'Useful Constants'!$B$3</f>
        <v>324.12065069668665</v>
      </c>
      <c r="EV65" s="78">
        <f>EF65*'Useful Constants'!$B$4</f>
        <v>280.69166893094587</v>
      </c>
      <c r="EW65" s="78">
        <f>EG65*'Useful Constants'!$B$4</f>
        <v>160.33156820130614</v>
      </c>
      <c r="EX65" s="78">
        <f>EH65*'Useful Constants'!$B$4</f>
        <v>114.5988992821071</v>
      </c>
      <c r="EY65" s="78">
        <f>EI65*'Useful Constants'!$B$4</f>
        <v>81.211461873289238</v>
      </c>
      <c r="EZ65" s="78">
        <f>EJ65*'Useful Constants'!$B$4</f>
        <v>67.082405612523857</v>
      </c>
      <c r="FA65" s="78">
        <f>EK65*'Useful Constants'!$B$4</f>
        <v>68.426022638644994</v>
      </c>
      <c r="FB65" s="78">
        <f>EL65*'Useful Constants'!$B$4</f>
        <v>85.966472377017325</v>
      </c>
      <c r="FC65" s="78">
        <f>EM65*'Useful Constants'!$B$4</f>
        <v>108.04021689889555</v>
      </c>
      <c r="FD65" s="40">
        <f t="shared" si="76"/>
        <v>0.10283625470047544</v>
      </c>
      <c r="FE65" s="40">
        <f t="shared" si="77"/>
        <v>0.29533900118645107</v>
      </c>
      <c r="FF65" s="40">
        <f t="shared" si="78"/>
        <v>0.39283283049644724</v>
      </c>
      <c r="FG65" s="40">
        <f t="shared" si="79"/>
        <v>0.45850991428375337</v>
      </c>
      <c r="FH65" s="40">
        <f t="shared" si="80"/>
        <v>0.47547334803099045</v>
      </c>
      <c r="FI65" s="40">
        <f t="shared" si="81"/>
        <v>0.49335185932107489</v>
      </c>
      <c r="FJ65" s="40">
        <f t="shared" si="82"/>
        <v>0.53026600606098773</v>
      </c>
      <c r="FK65" s="40">
        <f t="shared" si="83"/>
        <v>0.53004234612964685</v>
      </c>
      <c r="FL65" s="4">
        <f t="shared" si="84"/>
        <v>0.57890946041779379</v>
      </c>
      <c r="FM65" s="4">
        <f t="shared" si="85"/>
        <v>0.67352631025547161</v>
      </c>
      <c r="FN65" s="4">
        <f t="shared" si="86"/>
        <v>0.72234907267384307</v>
      </c>
      <c r="FO65" s="4">
        <f t="shared" si="87"/>
        <v>0.75420168462151549</v>
      </c>
      <c r="FP65" s="4">
        <f t="shared" si="88"/>
        <v>0.76365427307026468</v>
      </c>
      <c r="FQ65" s="4">
        <f t="shared" si="89"/>
        <v>0.77155512811938876</v>
      </c>
      <c r="FR65" s="4">
        <f t="shared" si="90"/>
        <v>0.78702541064673437</v>
      </c>
      <c r="FS65" s="4">
        <f t="shared" si="91"/>
        <v>0.78568812803086907</v>
      </c>
      <c r="FT65" s="38">
        <f t="shared" si="92"/>
        <v>0.35356087669945541</v>
      </c>
      <c r="FU65" s="38">
        <f t="shared" si="93"/>
        <v>0.49476696216802774</v>
      </c>
      <c r="FV65" s="38">
        <f t="shared" si="94"/>
        <v>0.5675576738096636</v>
      </c>
      <c r="FW65" s="38">
        <f t="shared" si="95"/>
        <v>0.61531007419914252</v>
      </c>
      <c r="FX65" s="38">
        <f t="shared" si="96"/>
        <v>0.62821134694391989</v>
      </c>
      <c r="FY65" s="38">
        <f t="shared" si="97"/>
        <v>0.64081711509116046</v>
      </c>
      <c r="FZ65" s="38">
        <f t="shared" si="98"/>
        <v>0.66639441669778066</v>
      </c>
      <c r="GA65" s="38">
        <f t="shared" si="99"/>
        <v>0.66558215423844136</v>
      </c>
    </row>
    <row r="66" spans="1:183" x14ac:dyDescent="0.25">
      <c r="A66" s="1" t="str">
        <f>Data!A66</f>
        <v>NV_LAS-VEGAS-MCCARRAN-IAP_723860_TY3A</v>
      </c>
      <c r="B66" s="1" t="str">
        <f>TY3A_REP_CITIES!B66</f>
        <v>Las-Vegas</v>
      </c>
      <c r="C66" s="1" t="str">
        <f>TY3A_REP_CITIES!C66</f>
        <v>Clark</v>
      </c>
      <c r="D66" s="2" t="str">
        <f>TY3A_REP_CITIES!A66</f>
        <v>NV</v>
      </c>
      <c r="E66" s="42">
        <f>TY3A_REP_CITIES!E66</f>
        <v>2266715</v>
      </c>
      <c r="F66" s="2">
        <f>TY3A_REP_CITIES!G66</f>
        <v>3</v>
      </c>
      <c r="G66" s="2" t="str">
        <f>TY3A_REP_CITIES!H66</f>
        <v>Hot-Dry</v>
      </c>
      <c r="H66" s="2" t="str">
        <f>TY3A_REP_CITIES!I66</f>
        <v>Rocky Mountains</v>
      </c>
      <c r="I66" s="2">
        <f>Data!B66</f>
        <v>36.08</v>
      </c>
      <c r="J66" s="2">
        <f>Data!C66</f>
        <v>-115.15</v>
      </c>
      <c r="K66" s="2">
        <f>VLOOKUP(D66,Table1[],2,FALSE)</f>
        <v>1.9</v>
      </c>
      <c r="L66" s="2">
        <v>0.5</v>
      </c>
      <c r="M66" s="10">
        <f>Data!N66</f>
        <v>6806.2685099999999</v>
      </c>
      <c r="N66" s="10">
        <f>Data!Q66</f>
        <v>29308</v>
      </c>
      <c r="O66" s="10">
        <f>Data!O66</f>
        <v>9902100185.3472691</v>
      </c>
      <c r="P66" s="10">
        <f>Data!P66</f>
        <v>10314687693.07</v>
      </c>
      <c r="Q66" s="10">
        <f>Data!S66*15</f>
        <v>7782.5760473027376</v>
      </c>
      <c r="R66" s="48">
        <f>SUM(Data!U66:AA66)*2+Data!AB66</f>
        <v>114.83215465480072</v>
      </c>
      <c r="S66" s="48">
        <f>SUM(Data!V66:AB66)*2+Data!AC66</f>
        <v>107.78371862135322</v>
      </c>
      <c r="T66" s="48">
        <f>SUM(Data!W66:AC66)*2+Data!AD66</f>
        <v>99.357085521134479</v>
      </c>
      <c r="U66" s="48">
        <f>SUM(Data!X66:AD66)*2+Data!AE66</f>
        <v>100.45693313296248</v>
      </c>
      <c r="V66" s="48">
        <f>SUM(Data!Y66:AE66)*2+Data!AF66</f>
        <v>93.613591624645309</v>
      </c>
      <c r="W66" s="48">
        <f>SUM(Data!Z66:AF66)*2+Data!AG66</f>
        <v>89.989539929479548</v>
      </c>
      <c r="X66" s="48">
        <f>SUM(Data!AA66:AG66)*2+Data!AH66</f>
        <v>83.043158686447597</v>
      </c>
      <c r="Y66" s="48">
        <f>SUM(Data!AB66:AH66)*2+Data!AI66</f>
        <v>74.260553689368422</v>
      </c>
      <c r="Z66" s="80">
        <f>(SUM(Data!CS66:CY66)*2+Data!CZ66)/('Useful Constants'!$B$1*1000000)*$K66/100</f>
        <v>0.73364056815930223</v>
      </c>
      <c r="AA66" s="80">
        <f>(SUM(Data!CT66:CZ66)*2+Data!DA66)/('Useful Constants'!$B$1*1000000)*$K66/100</f>
        <v>0.70452011296501871</v>
      </c>
      <c r="AB66" s="80">
        <f>(SUM(Data!CU66:DA66)*2+Data!DB66)/('Useful Constants'!$B$1*1000000)*$K66/100</f>
        <v>0.66500774324733247</v>
      </c>
      <c r="AC66" s="80">
        <f>(SUM(Data!CV66:DB66)*2+Data!DC66)/('Useful Constants'!$B$1*1000000)*$K66/100</f>
        <v>0.62147087961157899</v>
      </c>
      <c r="AD66" s="80">
        <f>(SUM(Data!CW66:DC66)*2+Data!DD66)/('Useful Constants'!$B$1*1000000)*$K66/100</f>
        <v>0.57680880784582711</v>
      </c>
      <c r="AE66" s="80">
        <f>(SUM(Data!CX66:DD66)*2+Data!DE66)/('Useful Constants'!$B$1*1000000)*$K66/100</f>
        <v>0.52605990100870403</v>
      </c>
      <c r="AF66" s="80">
        <f>(SUM(Data!CY66:DE66)*2+Data!DF66)/('Useful Constants'!$B$1*1000000)*$K66/100</f>
        <v>0.47798421606738301</v>
      </c>
      <c r="AG66" s="80">
        <f>(SUM(Data!CZ66:DF66)*2+Data!DG66)/('Useful Constants'!$B$1*1000000)*$K66/100</f>
        <v>0.42336709093633706</v>
      </c>
      <c r="AH66" s="48">
        <f>Z66*'Useful Constants'!$B$3</f>
        <v>61.625807725381385</v>
      </c>
      <c r="AI66" s="48">
        <f>AA66*'Useful Constants'!$B$3</f>
        <v>59.179689489061573</v>
      </c>
      <c r="AJ66" s="48">
        <f>AB66*'Useful Constants'!$B$3</f>
        <v>55.860650432775927</v>
      </c>
      <c r="AK66" s="48">
        <f>AC66*'Useful Constants'!$B$3</f>
        <v>52.203553887372635</v>
      </c>
      <c r="AL66" s="48">
        <f>AD66*'Useful Constants'!$B$3</f>
        <v>48.451939859049475</v>
      </c>
      <c r="AM66" s="48">
        <f>AE66*'Useful Constants'!$B$3</f>
        <v>44.189031684731141</v>
      </c>
      <c r="AN66" s="48">
        <f>AF66*'Useful Constants'!$B$3</f>
        <v>40.150674149660169</v>
      </c>
      <c r="AO66" s="48">
        <f>AG66*'Useful Constants'!$B$3</f>
        <v>35.562835638652317</v>
      </c>
      <c r="AP66" s="10">
        <f>Z66*'Useful Constants'!$B$4</f>
        <v>20.541935908460463</v>
      </c>
      <c r="AQ66" s="10">
        <f>AA66*'Useful Constants'!$B$4</f>
        <v>19.726563163020522</v>
      </c>
      <c r="AR66" s="10">
        <f>AB66*'Useful Constants'!$B$4</f>
        <v>18.62021681092531</v>
      </c>
      <c r="AS66" s="10">
        <f>AC66*'Useful Constants'!$B$4</f>
        <v>17.401184629124213</v>
      </c>
      <c r="AT66" s="10">
        <f>AD66*'Useful Constants'!$B$4</f>
        <v>16.150646619683158</v>
      </c>
      <c r="AU66" s="10">
        <f>AE66*'Useful Constants'!$B$4</f>
        <v>14.729677228243713</v>
      </c>
      <c r="AV66" s="10">
        <f>AF66*'Useful Constants'!$B$4</f>
        <v>13.383558049886725</v>
      </c>
      <c r="AW66" s="10">
        <f>AG66*'Useful Constants'!$B$4</f>
        <v>11.854278546217438</v>
      </c>
      <c r="AX66" s="48">
        <f>P66/1000000/'Useful Constants'!$B$1*K66/100*'Useful Constants'!$B$3*15</f>
        <v>4938.6724674419165</v>
      </c>
      <c r="AY66" s="48">
        <f>P66/1000000/'Useful Constants'!$B$1*L66/100*'Useful Constants'!$B$3*15</f>
        <v>1299.6506493268198</v>
      </c>
      <c r="AZ66" s="48">
        <f>P66/1000000/'Useful Constants'!$B$1*K66/100*'Useful Constants'!$B$4*15</f>
        <v>1646.2241558139722</v>
      </c>
      <c r="BA66" s="48">
        <f>P66/1000000/'Useful Constants'!$B$1*L66/100*'Useful Constants'!$B$4*15</f>
        <v>433.21688310894001</v>
      </c>
      <c r="BB66" s="7">
        <f>Data!AN66</f>
        <v>6806.2685099999999</v>
      </c>
      <c r="BC66" s="7">
        <f>Data!AQ66</f>
        <v>6806.2685099999999</v>
      </c>
      <c r="BD66" s="7">
        <f>Data!AT66</f>
        <v>3431.51638</v>
      </c>
      <c r="BE66" s="6">
        <f>Data!AO66</f>
        <v>9395375561.1914005</v>
      </c>
      <c r="BF66" s="6">
        <f>Data!AP66</f>
        <v>2437591496.3789201</v>
      </c>
      <c r="BG66" s="6">
        <f>Data!AR66</f>
        <v>85797292.783369094</v>
      </c>
      <c r="BH66" s="6">
        <f>Data!AS66</f>
        <v>85797292.783369094</v>
      </c>
      <c r="BI66" s="8">
        <f t="shared" ref="BI66:BI100" si="100">BE66/(BE66+BG66)</f>
        <v>0.99095077221934624</v>
      </c>
      <c r="BJ66" s="8">
        <f t="shared" ref="BJ66:BJ100" si="101">BF66/(BF66+BH66)</f>
        <v>0.96599917810847846</v>
      </c>
      <c r="BK66" s="13">
        <f>BB66*'Useful Constants'!$B$5/'Useful Constants'!$B$6*'Useful Constants'!$B$7</f>
        <v>1.7417241117089999</v>
      </c>
      <c r="BL66" s="52">
        <f>1-VLOOKUP($G66,'Useful Constants'!$A$17:$X$23,10,FALSE)</f>
        <v>0.10654528000000008</v>
      </c>
      <c r="BM66" s="52">
        <f>1-VLOOKUP($G66,'Useful Constants'!$A$17:$X$23,12,FALSE)</f>
        <v>8.5501519999999998E-2</v>
      </c>
      <c r="BN66" s="52">
        <f>1-VLOOKUP($G66,'Useful Constants'!$A$17:$X$23,14,FALSE)</f>
        <v>6.6471999999999865E-2</v>
      </c>
      <c r="BO66" s="52">
        <f>1-VLOOKUP($G66,'Useful Constants'!$A$17:$X$23,16,FALSE)</f>
        <v>4.945672000000001E-2</v>
      </c>
      <c r="BP66" s="52">
        <f>1-VLOOKUP($G66,'Useful Constants'!$A$17:$X$23,18,FALSE)</f>
        <v>3.4455679999999989E-2</v>
      </c>
      <c r="BQ66" s="52">
        <f>1-VLOOKUP($G66,'Useful Constants'!$A$17:$X$23,20, FALSE)</f>
        <v>2.1468880000000024E-2</v>
      </c>
      <c r="BR66" s="52">
        <f>1-VLOOKUP($G66,'Useful Constants'!$A$17:$X$23,22, FALSE)</f>
        <v>0</v>
      </c>
      <c r="BS66" s="52">
        <f>1-VLOOKUP($G66,'Useful Constants'!$A$17:$X$23,24, FALSE)</f>
        <v>0</v>
      </c>
      <c r="BT66" s="13">
        <f t="shared" ref="BT66:BT100" si="102">$BK66*BL66</f>
        <v>0.18557248316478681</v>
      </c>
      <c r="BU66" s="13">
        <f t="shared" ref="BU66:BU100" si="103">$BK66*BM66</f>
        <v>0.14892005897176927</v>
      </c>
      <c r="BV66" s="13">
        <f t="shared" ref="BV66:BV100" si="104">$BK66*BN66</f>
        <v>0.1157758851535204</v>
      </c>
      <c r="BW66" s="13">
        <f t="shared" ref="BW66:BW100" si="105">$BK66*BO66</f>
        <v>8.6139961710040749E-2</v>
      </c>
      <c r="BX66" s="13">
        <f t="shared" ref="BX66:BX100" si="106">$BK66*BP66</f>
        <v>6.0012288641329535E-2</v>
      </c>
      <c r="BY66" s="13">
        <f t="shared" ref="BY66:BY100" si="107">$BK66*BQ66</f>
        <v>3.7392865947387152E-2</v>
      </c>
      <c r="BZ66" s="13">
        <f t="shared" ref="BZ66:BZ100" si="108">$BK66*BR66</f>
        <v>0</v>
      </c>
      <c r="CA66" s="13">
        <f t="shared" ref="CA66:CA100" si="109">$BK66*BS66</f>
        <v>0</v>
      </c>
      <c r="CB66" s="59">
        <f>+SUM(Data!BM66:BS66)*2+Data!BT66</f>
        <v>515.58631473964624</v>
      </c>
      <c r="CC66" s="59">
        <f>+SUM(Data!BN66:BT66)*2+Data!BU66</f>
        <v>483.96252979407916</v>
      </c>
      <c r="CD66" s="59">
        <f>+SUM(Data!BO66:BU66)*2+Data!BV66</f>
        <v>445.98797446218981</v>
      </c>
      <c r="CE66" s="59">
        <f>+SUM(Data!BP66:BV66)*2+Data!BW66</f>
        <v>450.49146526379741</v>
      </c>
      <c r="CF66" s="59">
        <f>+SUM(Data!BQ66:BW66)*2+Data!BX66</f>
        <v>419.5089536452449</v>
      </c>
      <c r="CG66" s="59">
        <f>+SUM(Data!BR66:BX66)*2+Data!BY66</f>
        <v>403.06693321558305</v>
      </c>
      <c r="CH66" s="59">
        <f>+SUM(Data!BS66:BY66)*2+Data!BZ66</f>
        <v>371.75406925129334</v>
      </c>
      <c r="CI66" s="59">
        <f>+SUM(Data!BT66:BZ66)*2+Data!CA66</f>
        <v>332.09308118930829</v>
      </c>
      <c r="CJ66" s="13">
        <f>+SUM(Data!AW66:BC66)*2+Data!BD66</f>
        <v>2154.1084103800999</v>
      </c>
      <c r="CK66" s="13">
        <f>+SUM(Data!AX66:BD66)*2+Data!BE66</f>
        <v>2022.9499817708147</v>
      </c>
      <c r="CL66" s="13">
        <f>+SUM(Data!AY66:BE66)*2+Data!BF66</f>
        <v>1863.8234798664867</v>
      </c>
      <c r="CM66" s="13">
        <f>+SUM(Data!AZ66:BF66)*2+Data!BG66</f>
        <v>1879.9005415155773</v>
      </c>
      <c r="CN66" s="13">
        <f>+SUM(Data!BA66:BG66)*2+Data!BH66</f>
        <v>1750.5083096037001</v>
      </c>
      <c r="CO66" s="13">
        <f>+SUM(Data!BB66:BH66)*2+Data!BI66</f>
        <v>1676.4333120302565</v>
      </c>
      <c r="CP66" s="13">
        <f>+SUM(Data!BC66:BI66)*2+Data!BJ66</f>
        <v>1547.5830727735367</v>
      </c>
      <c r="CQ66" s="13">
        <f>+SUM(Data!BD66:BJ66)*2+Data!BK66</f>
        <v>1381.7728935016219</v>
      </c>
      <c r="CR66" s="59">
        <f>+SUM(Data!CC66:CI66)*2+Data!CJ66</f>
        <v>68.122873989355512</v>
      </c>
      <c r="CS66" s="59">
        <f>+SUM(Data!CD66:CJ66)*2+Data!CK66</f>
        <v>64.839651826271222</v>
      </c>
      <c r="CT66" s="59">
        <f>+SUM(Data!CE66:CK66)*2+Data!CL66</f>
        <v>59.784000939367075</v>
      </c>
      <c r="CU66" s="59">
        <f>+SUM(Data!CF66:CL66)*2+Data!CM66</f>
        <v>61.402206779864059</v>
      </c>
      <c r="CV66" s="59">
        <f>+SUM(Data!CG66:CM66)*2+Data!CN66</f>
        <v>57.745659505478606</v>
      </c>
      <c r="CW66" s="59">
        <f>+SUM(Data!CH66:CN66)*2+Data!CO66</f>
        <v>56.737694513152114</v>
      </c>
      <c r="CX66" s="59">
        <f>+SUM(Data!CI66:CO66)*2+Data!CP66</f>
        <v>52.223662632026603</v>
      </c>
      <c r="CY66" s="59">
        <f>+SUM(Data!CJ66:CP66)*2+Data!CQ66</f>
        <v>47.878011633825508</v>
      </c>
      <c r="CZ66" s="60">
        <f t="shared" ref="CZ66:CZ100" si="110">CB66+CJ66+CR66</f>
        <v>2737.8175991091016</v>
      </c>
      <c r="DA66" s="60">
        <f t="shared" ref="DA66:DA100" si="111">CC66+CK66+CS66</f>
        <v>2571.7521633911651</v>
      </c>
      <c r="DB66" s="60">
        <f t="shared" ref="DB66:DB100" si="112">CD66+CL66+CT66</f>
        <v>2369.5954552680437</v>
      </c>
      <c r="DC66" s="60">
        <f t="shared" ref="DC66:DC100" si="113">CE66+CM66+CU66</f>
        <v>2391.7942135592389</v>
      </c>
      <c r="DD66" s="60">
        <f t="shared" ref="DD66:DD100" si="114">CF66+CN66+CV66</f>
        <v>2227.7629227544235</v>
      </c>
      <c r="DE66" s="60">
        <f t="shared" ref="DE66:DE100" si="115">CG66+CO66+CW66</f>
        <v>2136.2379397589916</v>
      </c>
      <c r="DF66" s="60">
        <f t="shared" ref="DF66:DF100" si="116">CH66+CP66+CX66</f>
        <v>1971.5608046568566</v>
      </c>
      <c r="DG66" s="60">
        <f t="shared" ref="DG66:DG100" si="117">CI66+CQ66+CY66</f>
        <v>1761.7439863247557</v>
      </c>
      <c r="DH66" s="13">
        <f t="shared" ref="DH66:DH100" si="118">7.5*EXP(-0.045*(2022-2020))/100*BT66*15</f>
        <v>0.19080053942908348</v>
      </c>
      <c r="DI66" s="13">
        <f t="shared" ref="DI66:DI100" si="119">7.5*EXP(-0.045*(2022-2020))/100*BU66*15</f>
        <v>0.15311552175757159</v>
      </c>
      <c r="DJ66" s="13">
        <f t="shared" ref="DJ66:DJ100" si="120">7.5*EXP(-0.045*(2022-2020))/100*BV66*15</f>
        <v>0.11903759093720531</v>
      </c>
      <c r="DK66" s="13">
        <f t="shared" ref="DK66:DK100" si="121">7.5*EXP(-0.045*(2022-2020))/100*BW66*15</f>
        <v>8.8566746967985222E-2</v>
      </c>
      <c r="DL66" s="13">
        <f t="shared" ref="DL66:DL100" si="122">7.5*EXP(-0.045*(2022-2020))/100*BX66*15</f>
        <v>6.1702989849910544E-2</v>
      </c>
      <c r="DM66" s="13">
        <f t="shared" ref="DM66:DM100" si="123">7.5*EXP(-0.045*(2022-2020))/100*BY66*15</f>
        <v>3.8446319582981649E-2</v>
      </c>
      <c r="DN66" s="13">
        <f t="shared" ref="DN66:DN100" si="124">7.5*EXP(-0.045*(2022-2020))/100*BZ66*15</f>
        <v>0</v>
      </c>
      <c r="DO66" s="13">
        <f t="shared" ref="DO66:DO100" si="125">7.5*EXP(-0.045*(2022-2020))/100*CA66*15</f>
        <v>0</v>
      </c>
      <c r="DP66" s="50">
        <f>DH66*'Useful Constants'!$B$8</f>
        <v>812.81029796789562</v>
      </c>
      <c r="DQ66" s="50">
        <f>DI66*'Useful Constants'!$B$8</f>
        <v>652.27212268725498</v>
      </c>
      <c r="DR66" s="50">
        <f>DJ66*'Useful Constants'!$B$10</f>
        <v>289.26134597740889</v>
      </c>
      <c r="DS66" s="50">
        <f>DK66*'Useful Constants'!$B$10</f>
        <v>215.2171951322041</v>
      </c>
      <c r="DT66" s="50">
        <f>DL66*'Useful Constants'!$B$10</f>
        <v>149.93826533528264</v>
      </c>
      <c r="DU66" s="50">
        <f>DM66*'Useful Constants'!$B$10</f>
        <v>93.424556586645409</v>
      </c>
      <c r="DV66" s="50">
        <f>DN66*'Useful Constants'!$B$10</f>
        <v>0</v>
      </c>
      <c r="DW66" s="50">
        <f>DO66*'Useful Constants'!$B$10</f>
        <v>0</v>
      </c>
      <c r="DX66" s="14">
        <f>DH66*'Useful Constants'!$B$9</f>
        <v>367.10023786155659</v>
      </c>
      <c r="DY66" s="14">
        <f>DI66*'Useful Constants'!$B$9</f>
        <v>294.59426386156775</v>
      </c>
      <c r="DZ66" s="14">
        <f>DJ66*'Useful Constants'!$B$11</f>
        <v>80.588449064488003</v>
      </c>
      <c r="EA66" s="14">
        <f>DK66*'Useful Constants'!$B$11</f>
        <v>59.959687697325997</v>
      </c>
      <c r="EB66" s="14">
        <f>DL66*'Useful Constants'!$B$11</f>
        <v>41.772924128389441</v>
      </c>
      <c r="EC66" s="14">
        <f>DM66*'Useful Constants'!$B$11</f>
        <v>26.028158357678578</v>
      </c>
      <c r="ED66" s="14">
        <f>DN66*'Useful Constants'!$B$11</f>
        <v>0</v>
      </c>
      <c r="EE66" s="14">
        <f>DO66*'Useful Constants'!$B$11</f>
        <v>0</v>
      </c>
      <c r="EF66" s="78">
        <f>(SUM(Data!DI66:DO66)*2+Data!DP66)/('Useful Constants'!$B$1*1000000)*$K66/100</f>
        <v>17.605349660089317</v>
      </c>
      <c r="EG66" s="78">
        <f>(SUM(Data!DJ66:DP66)*2+Data!DQ66)/('Useful Constants'!$B$1*1000000)*$K66/100</f>
        <v>16.931948244306962</v>
      </c>
      <c r="EH66" s="78">
        <f>(SUM(Data!DK66:DQ66)*2+Data!DR66)/('Useful Constants'!$B$1*1000000)*$K66/100</f>
        <v>16.005965866679404</v>
      </c>
      <c r="EI66" s="78">
        <f>(SUM(Data!DL66:DR66)*2+Data!DS66)/('Useful Constants'!$B$1*1000000)*$K66/100</f>
        <v>14.985428622098947</v>
      </c>
      <c r="EJ66" s="78">
        <f>(SUM(Data!DM66:DS66)*2+Data!DT66)/('Useful Constants'!$B$1*1000000)*$K66/100</f>
        <v>13.929381370951655</v>
      </c>
      <c r="EK66" s="78">
        <f>(SUM(Data!DN66:DT66)*2+Data!DU66)/('Useful Constants'!$B$1*1000000)*$K66/100</f>
        <v>12.72082945649184</v>
      </c>
      <c r="EL66" s="78">
        <f>(SUM(Data!DO66:DU66)*2+Data!DV66)/('Useful Constants'!$B$1*1000000)*$K66/100</f>
        <v>11.567427167664041</v>
      </c>
      <c r="EM66" s="78">
        <f>(SUM(Data!DP66:DV66)*2+Data!DW66)/('Useful Constants'!$B$1*1000000)*$K66/100</f>
        <v>10.260942894771832</v>
      </c>
      <c r="EN66" s="79">
        <f>EF66*'Useful Constants'!$B$3</f>
        <v>1478.8493714475026</v>
      </c>
      <c r="EO66" s="79">
        <f>EG66*'Useful Constants'!$B$3</f>
        <v>1422.2836525217849</v>
      </c>
      <c r="EP66" s="79">
        <f>EH66*'Useful Constants'!$B$3</f>
        <v>1344.5011328010698</v>
      </c>
      <c r="EQ66" s="79">
        <f>EI66*'Useful Constants'!$B$3</f>
        <v>1258.7760042563116</v>
      </c>
      <c r="ER66" s="79">
        <f>EJ66*'Useful Constants'!$B$3</f>
        <v>1170.068035159939</v>
      </c>
      <c r="ES66" s="79">
        <f>EK66*'Useful Constants'!$B$3</f>
        <v>1068.5496743453145</v>
      </c>
      <c r="ET66" s="79">
        <f>EL66*'Useful Constants'!$B$3</f>
        <v>971.66388208377941</v>
      </c>
      <c r="EU66" s="79">
        <f>EM66*'Useful Constants'!$B$3</f>
        <v>861.91920316083383</v>
      </c>
      <c r="EV66" s="78">
        <f>EF66*'Useful Constants'!$B$4</f>
        <v>492.94979048250087</v>
      </c>
      <c r="EW66" s="78">
        <f>EG66*'Useful Constants'!$B$4</f>
        <v>474.09455084059493</v>
      </c>
      <c r="EX66" s="78">
        <f>EH66*'Useful Constants'!$B$4</f>
        <v>448.1670442670233</v>
      </c>
      <c r="EY66" s="78">
        <f>EI66*'Useful Constants'!$B$4</f>
        <v>419.59200141877051</v>
      </c>
      <c r="EZ66" s="78">
        <f>EJ66*'Useful Constants'!$B$4</f>
        <v>390.02267838664631</v>
      </c>
      <c r="FA66" s="78">
        <f>EK66*'Useful Constants'!$B$4</f>
        <v>356.18322478177151</v>
      </c>
      <c r="FB66" s="78">
        <f>EL66*'Useful Constants'!$B$4</f>
        <v>323.88796069459318</v>
      </c>
      <c r="FC66" s="78">
        <f>EM66*'Useful Constants'!$B$4</f>
        <v>287.3064010536113</v>
      </c>
      <c r="FD66" s="40">
        <f t="shared" ref="FD66:FD100" si="126">(R66+$Q66-CZ66)/(R66+$Q66)</f>
        <v>0.65332707527635769</v>
      </c>
      <c r="FE66" s="40">
        <f t="shared" ref="FE66:FE100" si="127">(S66+$Q66-DA66)/(S66+$Q66)</f>
        <v>0.6740640173978214</v>
      </c>
      <c r="FF66" s="40">
        <f t="shared" ref="FF66:FF100" si="128">(T66+$Q66-DB66)/(T66+$Q66)</f>
        <v>0.69936366937699646</v>
      </c>
      <c r="FG66" s="40">
        <f t="shared" ref="FG66:FG100" si="129">(U66+$Q66-DC66)/(U66+$Q66)</f>
        <v>0.69658959698694001</v>
      </c>
      <c r="FH66" s="40">
        <f t="shared" ref="FH66:FH100" si="130">(V66+$Q66-DD66)/(V66+$Q66)</f>
        <v>0.71715219860325619</v>
      </c>
      <c r="FI66" s="40">
        <f t="shared" ref="FI66:FI100" si="131">(W66+$Q66-DE66)/(W66+$Q66)</f>
        <v>0.72864780660277284</v>
      </c>
      <c r="FJ66" s="40">
        <f t="shared" ref="FJ66:FJ100" si="132">(X66+$Q66-DF66)/(X66+$Q66)</f>
        <v>0.74934448858703528</v>
      </c>
      <c r="FK66" s="40">
        <f t="shared" ref="FK66:FK100" si="133">(Y66+$Q66-DG66)/(Y66+$Q66)</f>
        <v>0.7757692980273645</v>
      </c>
      <c r="FL66" s="4">
        <f t="shared" ref="FL66:FL100" si="134">(R66+$Q66+$AX66+$AY66+AH66-(CZ66+DP66+EN66))/(R66+$Q66+$AX66+$AY66+AH66)</f>
        <v>0.64574552688021891</v>
      </c>
      <c r="FM66" s="4">
        <f t="shared" ref="FM66:FM100" si="135">(S66+$Q66+$AX66+$AY66+AI66-(DA66+DQ66+EO66))/(S66+$Q66+$AX66+$AY66+AI66)</f>
        <v>0.67251529855453984</v>
      </c>
      <c r="FN66" s="4">
        <f t="shared" ref="FN66:FN100" si="136">(T66+$Q66+$AX66+$AY66+AJ66-(DB66+DR66+EP66))/(T66+$Q66+$AX66+$AY66+AJ66)</f>
        <v>0.71759841130829327</v>
      </c>
      <c r="FO66" s="4">
        <f t="shared" ref="FO66:FO100" si="137">(U66+$Q66+$AX66+$AY66+AK66-(DC66+DS66+EQ66))/(U66+$Q66+$AX66+$AY66+AK66)</f>
        <v>0.72725359697131775</v>
      </c>
      <c r="FP66" s="4">
        <f t="shared" ref="FP66:FP100" si="138">(V66+$Q66+$AX66+$AY66+AL66-(DD66+DT66+ER66))/(V66+$Q66+$AX66+$AY66+AL66)</f>
        <v>0.74950377272612578</v>
      </c>
      <c r="FQ66" s="4">
        <f t="shared" ref="FQ66:FQ100" si="139">(W66+$Q66+$AX66+$AY66+AM66-(DE66+DU66+ES66))/(W66+$Q66+$AX66+$AY66+AM66)</f>
        <v>0.76699441484690778</v>
      </c>
      <c r="FR66" s="4">
        <f t="shared" ref="FR66:FR100" si="140">(X66+$Q66+$AX66+$AY66+AN66-(DF66+DV66+ET66))/(X66+$Q66+$AX66+$AY66+AN66)</f>
        <v>0.79191138750401791</v>
      </c>
      <c r="FS66" s="4">
        <f t="shared" ref="FS66:FS100" si="141">(Y66+$Q66+$AX66+$AY66+AO66-(DG66+DW66+EU66))/(Y66+$Q66+$AX66+$AY66+AO66)</f>
        <v>0.81432915552825691</v>
      </c>
      <c r="FT66" s="38">
        <f t="shared" ref="FT66:FT100" si="142">(R66+$Q66+$AZ66+$BA66+AP66-(CZ66+DX66+EV66))/(R66+$Q66+$AZ66+$BA66+AP66)</f>
        <v>0.64011935075558701</v>
      </c>
      <c r="FU66" s="38">
        <f t="shared" ref="FU66:FU100" si="143">(S66+$Q66+$AZ66+$BA66+AQ66-(DA66+DY66+EW66))/(S66+$Q66+$AZ66+$BA66+AQ66)</f>
        <v>0.66560570334983082</v>
      </c>
      <c r="FV66" s="38">
        <f t="shared" ref="FV66:FV100" si="144">(T66+$Q66+$AZ66+$BA66+AR66-(DB66+DZ66+EX66))/(T66+$Q66+$AZ66+$BA66+AR66)</f>
        <v>0.7095839099947211</v>
      </c>
      <c r="FW66" s="38">
        <f t="shared" ref="FW66:FW100" si="145">(U66+$Q66+$AZ66+$BA66+AS66-(DC66+EA66+EY66))/(U66+$Q66+$AZ66+$BA66+AS66)</f>
        <v>0.71228639196530141</v>
      </c>
      <c r="FX66" s="38">
        <f t="shared" ref="FX66:FX100" si="146">(V66+$Q66+$AZ66+$BA66+AT66-(DD66+EB66+EZ66))/(V66+$Q66+$AZ66+$BA66+AT66)</f>
        <v>0.73329153149968207</v>
      </c>
      <c r="FY66" s="38">
        <f t="shared" ref="FY66:FY100" si="147">(W66+$Q66+$AZ66+$BA66+AU66-(DE66+EC66+FA66))/(W66+$Q66+$AZ66+$BA66+AU66)</f>
        <v>0.74731454247028573</v>
      </c>
      <c r="FZ66" s="38">
        <f t="shared" ref="FZ66:FZ100" si="148">(X66+$Q66+$AZ66+$BA66+AV66-(DF66+ED66+FB66))/(X66+$Q66+$AZ66+$BA66+AV66)</f>
        <v>0.76949724166051892</v>
      </c>
      <c r="GA66" s="38">
        <f t="shared" ref="GA66:GA100" si="149">(Y66+$Q66+$AZ66+$BA66+AW66-(DG66+EE66+FC66))/(Y66+$Q66+$AZ66+$BA66+AW66)</f>
        <v>0.79402661683890174</v>
      </c>
    </row>
    <row r="67" spans="1:183" x14ac:dyDescent="0.25">
      <c r="A67" s="1" t="str">
        <f>Data!A67</f>
        <v>NV_RENO-TAHOE-IAP_724880_TY3A</v>
      </c>
      <c r="B67" s="1" t="str">
        <f>TY3A_REP_CITIES!B67</f>
        <v>Reno</v>
      </c>
      <c r="C67" s="1" t="str">
        <f>TY3A_REP_CITIES!C67</f>
        <v>Washoe</v>
      </c>
      <c r="D67" s="2" t="str">
        <f>TY3A_REP_CITIES!A67</f>
        <v>NV</v>
      </c>
      <c r="E67" s="42">
        <f>TY3A_REP_CITIES!E67</f>
        <v>471519</v>
      </c>
      <c r="F67" s="2">
        <f>TY3A_REP_CITIES!G67</f>
        <v>5</v>
      </c>
      <c r="G67" s="2" t="str">
        <f>TY3A_REP_CITIES!H67</f>
        <v>Cold</v>
      </c>
      <c r="H67" s="2" t="str">
        <f>TY3A_REP_CITIES!I67</f>
        <v>Rocky Mountains</v>
      </c>
      <c r="I67" s="2">
        <f>Data!B67</f>
        <v>39.479999999999997</v>
      </c>
      <c r="J67" s="2">
        <f>Data!C67</f>
        <v>-119.77</v>
      </c>
      <c r="K67" s="2">
        <f>VLOOKUP(D67,Table1[],2,FALSE)</f>
        <v>1.9</v>
      </c>
      <c r="L67" s="2">
        <v>0.5</v>
      </c>
      <c r="M67" s="10">
        <f>Data!N67</f>
        <v>4661.2739000000001</v>
      </c>
      <c r="N67" s="10">
        <f>Data!Q67</f>
        <v>29308</v>
      </c>
      <c r="O67" s="10">
        <f>Data!O67</f>
        <v>31501040831.427101</v>
      </c>
      <c r="P67" s="10">
        <f>Data!P67</f>
        <v>32813584199.403332</v>
      </c>
      <c r="Q67" s="10">
        <f>Data!S67*15</f>
        <v>24758.307960017126</v>
      </c>
      <c r="R67" s="48">
        <f>SUM(Data!U67:AA67)*2+Data!AB67</f>
        <v>272.28917964292054</v>
      </c>
      <c r="S67" s="48">
        <f>SUM(Data!V67:AB67)*2+Data!AC67</f>
        <v>256.37278904657217</v>
      </c>
      <c r="T67" s="48">
        <f>SUM(Data!W67:AC67)*2+Data!AD67</f>
        <v>230.4825140769961</v>
      </c>
      <c r="U67" s="48">
        <f>SUM(Data!X67:AD67)*2+Data!AE67</f>
        <v>233.00037654951618</v>
      </c>
      <c r="V67" s="48">
        <f>SUM(Data!Y67:AE67)*2+Data!AF67</f>
        <v>215.34751854063006</v>
      </c>
      <c r="W67" s="48">
        <f>SUM(Data!Z67:AF67)*2+Data!AG67</f>
        <v>205.84816695158395</v>
      </c>
      <c r="X67" s="48">
        <f>SUM(Data!AA67:AG67)*2+Data!AH67</f>
        <v>187.25129174072339</v>
      </c>
      <c r="Y67" s="48">
        <f>SUM(Data!AB67:AH67)*2+Data!AI67</f>
        <v>165.22150253389083</v>
      </c>
      <c r="Z67" s="80">
        <f>(SUM(Data!CS67:CY67)*2+Data!CZ67)/('Useful Constants'!$B$1*1000000)*$K67/100</f>
        <v>1.6547290559810408</v>
      </c>
      <c r="AA67" s="80">
        <f>(SUM(Data!CT67:CZ67)*2+Data!DA67)/('Useful Constants'!$B$1*1000000)*$K67/100</f>
        <v>1.5724421679499767</v>
      </c>
      <c r="AB67" s="80">
        <f>(SUM(Data!CU67:DA67)*2+Data!DB67)/('Useful Constants'!$B$1*1000000)*$K67/100</f>
        <v>1.4687791602634519</v>
      </c>
      <c r="AC67" s="80">
        <f>(SUM(Data!CV67:DB67)*2+Data!DC67)/('Useful Constants'!$B$1*1000000)*$K67/100</f>
        <v>1.3536113046062146</v>
      </c>
      <c r="AD67" s="80">
        <f>(SUM(Data!CW67:DC67)*2+Data!DD67)/('Useful Constants'!$B$1*1000000)*$K67/100</f>
        <v>1.2404261045342591</v>
      </c>
      <c r="AE67" s="80">
        <f>(SUM(Data!CX67:DD67)*2+Data!DE67)/('Useful Constants'!$B$1*1000000)*$K67/100</f>
        <v>1.1178846891844103</v>
      </c>
      <c r="AF67" s="80">
        <f>(SUM(Data!CY67:DE67)*2+Data!DF67)/('Useful Constants'!$B$1*1000000)*$K67/100</f>
        <v>1.0067075935263277</v>
      </c>
      <c r="AG67" s="80">
        <f>(SUM(Data!CZ67:DF67)*2+Data!DG67)/('Useful Constants'!$B$1*1000000)*$K67/100</f>
        <v>0.88070366159691749</v>
      </c>
      <c r="AH67" s="48">
        <f>Z67*'Useful Constants'!$B$3</f>
        <v>138.99724070240742</v>
      </c>
      <c r="AI67" s="48">
        <f>AA67*'Useful Constants'!$B$3</f>
        <v>132.08514210779805</v>
      </c>
      <c r="AJ67" s="48">
        <f>AB67*'Useful Constants'!$B$3</f>
        <v>123.37744946212996</v>
      </c>
      <c r="AK67" s="48">
        <f>AC67*'Useful Constants'!$B$3</f>
        <v>113.70334958692203</v>
      </c>
      <c r="AL67" s="48">
        <f>AD67*'Useful Constants'!$B$3</f>
        <v>104.19579278087777</v>
      </c>
      <c r="AM67" s="48">
        <f>AE67*'Useful Constants'!$B$3</f>
        <v>93.902313891490465</v>
      </c>
      <c r="AN67" s="48">
        <f>AF67*'Useful Constants'!$B$3</f>
        <v>84.563437856211522</v>
      </c>
      <c r="AO67" s="48">
        <f>AG67*'Useful Constants'!$B$3</f>
        <v>73.979107574141068</v>
      </c>
      <c r="AP67" s="10">
        <f>Z67*'Useful Constants'!$B$4</f>
        <v>46.332413567469146</v>
      </c>
      <c r="AQ67" s="10">
        <f>AA67*'Useful Constants'!$B$4</f>
        <v>44.02838070259935</v>
      </c>
      <c r="AR67" s="10">
        <f>AB67*'Useful Constants'!$B$4</f>
        <v>41.125816487376653</v>
      </c>
      <c r="AS67" s="10">
        <f>AC67*'Useful Constants'!$B$4</f>
        <v>37.901116528974008</v>
      </c>
      <c r="AT67" s="10">
        <f>AD67*'Useful Constants'!$B$4</f>
        <v>34.731930926959251</v>
      </c>
      <c r="AU67" s="10">
        <f>AE67*'Useful Constants'!$B$4</f>
        <v>31.300771297163489</v>
      </c>
      <c r="AV67" s="10">
        <f>AF67*'Useful Constants'!$B$4</f>
        <v>28.187812618737176</v>
      </c>
      <c r="AW67" s="10">
        <f>AG67*'Useful Constants'!$B$4</f>
        <v>24.659702524713691</v>
      </c>
      <c r="AX67" s="48">
        <f>P67/1000000/'Useful Constants'!$B$1*K67/100*'Useful Constants'!$B$3*15</f>
        <v>15711.144114674315</v>
      </c>
      <c r="AY67" s="48">
        <f>P67/1000000/'Useful Constants'!$B$1*L67/100*'Useful Constants'!$B$3*15</f>
        <v>4134.5116091248201</v>
      </c>
      <c r="AZ67" s="48">
        <f>P67/1000000/'Useful Constants'!$B$1*K67/100*'Useful Constants'!$B$4*15</f>
        <v>5237.0480382247724</v>
      </c>
      <c r="BA67" s="48">
        <f>P67/1000000/'Useful Constants'!$B$1*L67/100*'Useful Constants'!$B$4*15</f>
        <v>1378.1705363749402</v>
      </c>
      <c r="BB67" s="7">
        <f>Data!AN67</f>
        <v>4661.2739000000001</v>
      </c>
      <c r="BC67" s="7">
        <f>Data!AQ67</f>
        <v>4661.2739000000001</v>
      </c>
      <c r="BD67" s="7">
        <f>Data!AT67</f>
        <v>6359.3380800000004</v>
      </c>
      <c r="BE67" s="6">
        <f>Data!AO67</f>
        <v>27373395203.736599</v>
      </c>
      <c r="BF67" s="6">
        <f>Data!AP67</f>
        <v>9332039757.2447109</v>
      </c>
      <c r="BG67" s="6">
        <f>Data!AR67</f>
        <v>2555253201.0700998</v>
      </c>
      <c r="BH67" s="6">
        <f>Data!AS67</f>
        <v>2555253201.0700998</v>
      </c>
      <c r="BI67" s="8">
        <f t="shared" si="100"/>
        <v>0.91462183101259886</v>
      </c>
      <c r="BJ67" s="8">
        <f t="shared" si="101"/>
        <v>0.78504330548337531</v>
      </c>
      <c r="BK67" s="13">
        <f>BB67*'Useful Constants'!$B$5/'Useful Constants'!$B$6*'Useful Constants'!$B$7</f>
        <v>1.1928199910099999</v>
      </c>
      <c r="BL67" s="52">
        <f>1-VLOOKUP($G67,'Useful Constants'!$A$17:$X$23,10,FALSE)</f>
        <v>6.6471999999999865E-2</v>
      </c>
      <c r="BM67" s="52">
        <f>1-VLOOKUP($G67,'Useful Constants'!$A$17:$X$23,12,FALSE)</f>
        <v>4.945672000000001E-2</v>
      </c>
      <c r="BN67" s="52">
        <f>1-VLOOKUP($G67,'Useful Constants'!$A$17:$X$23,14,FALSE)</f>
        <v>3.4455679999999989E-2</v>
      </c>
      <c r="BO67" s="52">
        <f>1-VLOOKUP($G67,'Useful Constants'!$A$17:$X$23,16,FALSE)</f>
        <v>2.1468880000000024E-2</v>
      </c>
      <c r="BP67" s="52">
        <f>1-VLOOKUP($G67,'Useful Constants'!$A$17:$X$23,18,FALSE)</f>
        <v>0</v>
      </c>
      <c r="BQ67" s="52">
        <f>1-VLOOKUP($G67,'Useful Constants'!$A$17:$X$23,20, FALSE)</f>
        <v>0</v>
      </c>
      <c r="BR67" s="52">
        <f>1-VLOOKUP($G67,'Useful Constants'!$A$17:$X$23,22, FALSE)</f>
        <v>0</v>
      </c>
      <c r="BS67" s="52">
        <f>1-VLOOKUP($G67,'Useful Constants'!$A$17:$X$23,24, FALSE)</f>
        <v>0</v>
      </c>
      <c r="BT67" s="13">
        <f t="shared" si="102"/>
        <v>7.9289130442416547E-2</v>
      </c>
      <c r="BU67" s="13">
        <f t="shared" si="103"/>
        <v>5.8992964305784094E-2</v>
      </c>
      <c r="BV67" s="13">
        <f t="shared" si="104"/>
        <v>4.1099423907843421E-2</v>
      </c>
      <c r="BW67" s="13">
        <f t="shared" si="105"/>
        <v>2.5608509248594796E-2</v>
      </c>
      <c r="BX67" s="13">
        <f t="shared" si="106"/>
        <v>0</v>
      </c>
      <c r="BY67" s="13">
        <f t="shared" si="107"/>
        <v>0</v>
      </c>
      <c r="BZ67" s="13">
        <f t="shared" si="108"/>
        <v>0</v>
      </c>
      <c r="CA67" s="13">
        <f t="shared" si="109"/>
        <v>0</v>
      </c>
      <c r="CB67" s="59">
        <f>+SUM(Data!BM67:BS67)*2+Data!BT67</f>
        <v>1717.9299099232105</v>
      </c>
      <c r="CC67" s="59">
        <f>+SUM(Data!BN67:BT67)*2+Data!BU67</f>
        <v>1617.1882886601163</v>
      </c>
      <c r="CD67" s="59">
        <f>+SUM(Data!BO67:BU67)*2+Data!BV67</f>
        <v>1452.5905569969125</v>
      </c>
      <c r="CE67" s="59">
        <f>+SUM(Data!BP67:BV67)*2+Data!BW67</f>
        <v>1468.1237435384135</v>
      </c>
      <c r="CF67" s="59">
        <f>+SUM(Data!BQ67:BW67)*2+Data!BX67</f>
        <v>1356.4493084781593</v>
      </c>
      <c r="CG67" s="59">
        <f>+SUM(Data!BR67:BX67)*2+Data!BY67</f>
        <v>1296.576015630003</v>
      </c>
      <c r="CH67" s="59">
        <f>+SUM(Data!BS67:BY67)*2+Data!BZ67</f>
        <v>1178.95933644662</v>
      </c>
      <c r="CI67" s="59">
        <f>+SUM(Data!BT67:BZ67)*2+Data!CA67</f>
        <v>1039.9076024697533</v>
      </c>
      <c r="CJ67" s="13">
        <f>+SUM(Data!AW67:BC67)*2+Data!BD67</f>
        <v>8068.6079709037394</v>
      </c>
      <c r="CK67" s="13">
        <f>+SUM(Data!AX67:BD67)*2+Data!BE67</f>
        <v>7603.0249727869759</v>
      </c>
      <c r="CL67" s="13">
        <f>+SUM(Data!AY67:BE67)*2+Data!BF67</f>
        <v>6839.6390553881538</v>
      </c>
      <c r="CM67" s="13">
        <f>+SUM(Data!AZ67:BF67)*2+Data!BG67</f>
        <v>6896.1889721707948</v>
      </c>
      <c r="CN67" s="13">
        <f>+SUM(Data!BA67:BG67)*2+Data!BH67</f>
        <v>6370.2762974118405</v>
      </c>
      <c r="CO67" s="13">
        <f>+SUM(Data!BB67:BH67)*2+Data!BI67</f>
        <v>6067.2120593050468</v>
      </c>
      <c r="CP67" s="13">
        <f>+SUM(Data!BC67:BI67)*2+Data!BJ67</f>
        <v>5519.8088085601939</v>
      </c>
      <c r="CQ67" s="13">
        <f>+SUM(Data!BD67:BJ67)*2+Data!BK67</f>
        <v>4867.2079762339408</v>
      </c>
      <c r="CR67" s="59">
        <f>+SUM(Data!CC67:CI67)*2+Data!CJ67</f>
        <v>2156.0974223977382</v>
      </c>
      <c r="CS67" s="59">
        <f>+SUM(Data!CD67:CJ67)*2+Data!CK67</f>
        <v>2008.9120117010348</v>
      </c>
      <c r="CT67" s="59">
        <f>+SUM(Data!CE67:CK67)*2+Data!CL67</f>
        <v>1890.7130817511859</v>
      </c>
      <c r="CU67" s="59">
        <f>+SUM(Data!CF67:CL67)*2+Data!CM67</f>
        <v>1924.446831366688</v>
      </c>
      <c r="CV67" s="59">
        <f>+SUM(Data!CG67:CM67)*2+Data!CN67</f>
        <v>1810.9364838200186</v>
      </c>
      <c r="CW67" s="59">
        <f>+SUM(Data!CH67:CN67)*2+Data!CO67</f>
        <v>1771.1508290162526</v>
      </c>
      <c r="CX67" s="59">
        <f>+SUM(Data!CI67:CO67)*2+Data!CP67</f>
        <v>1631.7308716350858</v>
      </c>
      <c r="CY67" s="59">
        <f>+SUM(Data!CJ67:CP67)*2+Data!CQ67</f>
        <v>1456.419636338406</v>
      </c>
      <c r="CZ67" s="60">
        <f t="shared" si="110"/>
        <v>11942.635303224688</v>
      </c>
      <c r="DA67" s="60">
        <f t="shared" si="111"/>
        <v>11229.125273148127</v>
      </c>
      <c r="DB67" s="60">
        <f t="shared" si="112"/>
        <v>10182.942694136253</v>
      </c>
      <c r="DC67" s="60">
        <f t="shared" si="113"/>
        <v>10288.759547075895</v>
      </c>
      <c r="DD67" s="60">
        <f t="shared" si="114"/>
        <v>9537.6620897100183</v>
      </c>
      <c r="DE67" s="60">
        <f t="shared" si="115"/>
        <v>9134.9389039513026</v>
      </c>
      <c r="DF67" s="60">
        <f t="shared" si="116"/>
        <v>8330.4990166418993</v>
      </c>
      <c r="DG67" s="60">
        <f t="shared" si="117"/>
        <v>7363.5352150421004</v>
      </c>
      <c r="DH67" s="13">
        <f t="shared" si="118"/>
        <v>8.1522910084908126E-2</v>
      </c>
      <c r="DI67" s="13">
        <f t="shared" si="119"/>
        <v>6.0654948514479584E-2</v>
      </c>
      <c r="DJ67" s="13">
        <f t="shared" si="120"/>
        <v>4.2257300856817497E-2</v>
      </c>
      <c r="DK67" s="13">
        <f t="shared" si="121"/>
        <v>2.6329967111922134E-2</v>
      </c>
      <c r="DL67" s="13">
        <f t="shared" si="122"/>
        <v>0</v>
      </c>
      <c r="DM67" s="13">
        <f t="shared" si="123"/>
        <v>0</v>
      </c>
      <c r="DN67" s="13">
        <f t="shared" si="124"/>
        <v>0</v>
      </c>
      <c r="DO67" s="13">
        <f t="shared" si="125"/>
        <v>0</v>
      </c>
      <c r="DP67" s="50">
        <f>DH67*'Useful Constants'!$B$8</f>
        <v>347.28759696170863</v>
      </c>
      <c r="DQ67" s="50">
        <f>DI67*'Useful Constants'!$B$8</f>
        <v>258.39008067168305</v>
      </c>
      <c r="DR67" s="50">
        <f>DJ67*'Useful Constants'!$B$10</f>
        <v>102.68524108206651</v>
      </c>
      <c r="DS67" s="50">
        <f>DK67*'Useful Constants'!$B$10</f>
        <v>63.981820081970788</v>
      </c>
      <c r="DT67" s="50">
        <f>DL67*'Useful Constants'!$B$10</f>
        <v>0</v>
      </c>
      <c r="DU67" s="50">
        <f>DM67*'Useful Constants'!$B$10</f>
        <v>0</v>
      </c>
      <c r="DV67" s="50">
        <f>DN67*'Useful Constants'!$B$10</f>
        <v>0</v>
      </c>
      <c r="DW67" s="50">
        <f>DO67*'Useful Constants'!$B$10</f>
        <v>0</v>
      </c>
      <c r="DX67" s="14">
        <f>DH67*'Useful Constants'!$B$9</f>
        <v>156.85007900336325</v>
      </c>
      <c r="DY67" s="14">
        <f>DI67*'Useful Constants'!$B$9</f>
        <v>116.70012094185871</v>
      </c>
      <c r="DZ67" s="14">
        <f>DJ67*'Useful Constants'!$B$11</f>
        <v>28.608192680065446</v>
      </c>
      <c r="EA67" s="14">
        <f>DK67*'Useful Constants'!$B$11</f>
        <v>17.825387734771283</v>
      </c>
      <c r="EB67" s="14">
        <f>DL67*'Useful Constants'!$B$11</f>
        <v>0</v>
      </c>
      <c r="EC67" s="14">
        <f>DM67*'Useful Constants'!$B$11</f>
        <v>0</v>
      </c>
      <c r="ED67" s="14">
        <f>DN67*'Useful Constants'!$B$11</f>
        <v>0</v>
      </c>
      <c r="EE67" s="14">
        <f>DO67*'Useful Constants'!$B$11</f>
        <v>0</v>
      </c>
      <c r="EF67" s="78">
        <f>(SUM(Data!DI67:DO67)*2+Data!DP67)/('Useful Constants'!$B$1*1000000)*$K67/100</f>
        <v>73.620325669201748</v>
      </c>
      <c r="EG67" s="78">
        <f>(SUM(Data!DJ67:DP67)*2+Data!DQ67)/('Useful Constants'!$B$1*1000000)*$K67/100</f>
        <v>70.128547089685355</v>
      </c>
      <c r="EH67" s="78">
        <f>(SUM(Data!DK67:DQ67)*2+Data!DR67)/('Useful Constants'!$B$1*1000000)*$K67/100</f>
        <v>65.649595006962414</v>
      </c>
      <c r="EI67" s="78">
        <f>(SUM(Data!DL67:DR67)*2+Data!DS67)/('Useful Constants'!$B$1*1000000)*$K67/100</f>
        <v>60.726945308661378</v>
      </c>
      <c r="EJ67" s="78">
        <f>(SUM(Data!DM67:DS67)*2+Data!DT67)/('Useful Constants'!$B$1*1000000)*$K67/100</f>
        <v>55.735671058450926</v>
      </c>
      <c r="EK67" s="78">
        <f>(SUM(Data!DN67:DT67)*2+Data!DU67)/('Useful Constants'!$B$1*1000000)*$K67/100</f>
        <v>50.267700762620578</v>
      </c>
      <c r="EL67" s="78">
        <f>(SUM(Data!DO67:DU67)*2+Data!DV67)/('Useful Constants'!$B$1*1000000)*$K67/100</f>
        <v>45.31159348718554</v>
      </c>
      <c r="EM67" s="78">
        <f>(SUM(Data!DP67:DV67)*2+Data!DW67)/('Useful Constants'!$B$1*1000000)*$K67/100</f>
        <v>39.720331312478962</v>
      </c>
      <c r="EN67" s="79">
        <f>EF67*'Useful Constants'!$B$3</f>
        <v>6184.1073562129468</v>
      </c>
      <c r="EO67" s="79">
        <f>EG67*'Useful Constants'!$B$3</f>
        <v>5890.7979555335696</v>
      </c>
      <c r="EP67" s="79">
        <f>EH67*'Useful Constants'!$B$3</f>
        <v>5514.5659805848427</v>
      </c>
      <c r="EQ67" s="79">
        <f>EI67*'Useful Constants'!$B$3</f>
        <v>5101.0634059275553</v>
      </c>
      <c r="ER67" s="79">
        <f>EJ67*'Useful Constants'!$B$3</f>
        <v>4681.7963689098779</v>
      </c>
      <c r="ES67" s="79">
        <f>EK67*'Useful Constants'!$B$3</f>
        <v>4222.4868640601289</v>
      </c>
      <c r="ET67" s="79">
        <f>EL67*'Useful Constants'!$B$3</f>
        <v>3806.1738529235854</v>
      </c>
      <c r="EU67" s="79">
        <f>EM67*'Useful Constants'!$B$3</f>
        <v>3336.5078302482329</v>
      </c>
      <c r="EV67" s="78">
        <f>EF67*'Useful Constants'!$B$4</f>
        <v>2061.3691187376489</v>
      </c>
      <c r="EW67" s="78">
        <f>EG67*'Useful Constants'!$B$4</f>
        <v>1963.5993185111899</v>
      </c>
      <c r="EX67" s="78">
        <f>EH67*'Useful Constants'!$B$4</f>
        <v>1838.1886601949477</v>
      </c>
      <c r="EY67" s="78">
        <f>EI67*'Useful Constants'!$B$4</f>
        <v>1700.3544686425187</v>
      </c>
      <c r="EZ67" s="78">
        <f>EJ67*'Useful Constants'!$B$4</f>
        <v>1560.598789636626</v>
      </c>
      <c r="FA67" s="78">
        <f>EK67*'Useful Constants'!$B$4</f>
        <v>1407.4956213533762</v>
      </c>
      <c r="FB67" s="78">
        <f>EL67*'Useful Constants'!$B$4</f>
        <v>1268.7246176411952</v>
      </c>
      <c r="FC67" s="78">
        <f>EM67*'Useful Constants'!$B$4</f>
        <v>1112.169276749411</v>
      </c>
      <c r="FD67" s="40">
        <f t="shared" si="126"/>
        <v>0.52287852996115591</v>
      </c>
      <c r="FE67" s="40">
        <f t="shared" si="127"/>
        <v>0.55109859742789502</v>
      </c>
      <c r="FF67" s="40">
        <f t="shared" si="128"/>
        <v>0.59249957677251697</v>
      </c>
      <c r="FG67" s="40">
        <f t="shared" si="129"/>
        <v>0.5883064860585292</v>
      </c>
      <c r="FH67" s="40">
        <f t="shared" si="130"/>
        <v>0.61809106808977154</v>
      </c>
      <c r="FI67" s="40">
        <f t="shared" si="131"/>
        <v>0.63407780108846323</v>
      </c>
      <c r="FJ67" s="40">
        <f t="shared" si="132"/>
        <v>0.66605282597322912</v>
      </c>
      <c r="FK67" s="40">
        <f t="shared" si="133"/>
        <v>0.70455487750616475</v>
      </c>
      <c r="FL67" s="4">
        <f t="shared" si="134"/>
        <v>0.58960507353281488</v>
      </c>
      <c r="FM67" s="4">
        <f t="shared" si="135"/>
        <v>0.61375021202301816</v>
      </c>
      <c r="FN67" s="4">
        <f t="shared" si="136"/>
        <v>0.64855518719637595</v>
      </c>
      <c r="FO67" s="4">
        <f t="shared" si="137"/>
        <v>0.65620522088925126</v>
      </c>
      <c r="FP67" s="4">
        <f t="shared" si="138"/>
        <v>0.68347398923777425</v>
      </c>
      <c r="FQ67" s="4">
        <f t="shared" si="139"/>
        <v>0.7025318280124776</v>
      </c>
      <c r="FR67" s="4">
        <f t="shared" si="140"/>
        <v>0.72954958557470095</v>
      </c>
      <c r="FS67" s="4">
        <f t="shared" si="141"/>
        <v>0.76138965182838225</v>
      </c>
      <c r="FT67" s="38">
        <f t="shared" si="142"/>
        <v>0.55317467140916876</v>
      </c>
      <c r="FU67" s="38">
        <f t="shared" si="143"/>
        <v>0.57979872793715526</v>
      </c>
      <c r="FV67" s="38">
        <f t="shared" si="144"/>
        <v>0.61922299910089951</v>
      </c>
      <c r="FW67" s="38">
        <f t="shared" si="145"/>
        <v>0.62056702706256328</v>
      </c>
      <c r="FX67" s="38">
        <f t="shared" si="146"/>
        <v>0.64905138000605644</v>
      </c>
      <c r="FY67" s="38">
        <f t="shared" si="147"/>
        <v>0.66649132397204724</v>
      </c>
      <c r="FZ67" s="38">
        <f t="shared" si="148"/>
        <v>0.69612098908237074</v>
      </c>
      <c r="GA67" s="38">
        <f t="shared" si="149"/>
        <v>0.73147055090830748</v>
      </c>
    </row>
    <row r="68" spans="1:183" x14ac:dyDescent="0.25">
      <c r="A68" s="1" t="str">
        <f>Data!A68</f>
        <v>NY_BUFFALO-NIAGARA-IAP_725280_TY3A</v>
      </c>
      <c r="B68" s="1" t="str">
        <f>TY3A_REP_CITIES!B68</f>
        <v>Buffalo</v>
      </c>
      <c r="C68" s="1" t="str">
        <f>TY3A_REP_CITIES!C68</f>
        <v>Erie</v>
      </c>
      <c r="D68" s="2" t="str">
        <f>TY3A_REP_CITIES!A68</f>
        <v>NY</v>
      </c>
      <c r="E68" s="42">
        <f>TY3A_REP_CITIES!E68</f>
        <v>918702</v>
      </c>
      <c r="F68" s="2">
        <f>TY3A_REP_CITIES!G68</f>
        <v>5</v>
      </c>
      <c r="G68" s="2" t="str">
        <f>TY3A_REP_CITIES!H68</f>
        <v>Cold</v>
      </c>
      <c r="H68" s="2" t="str">
        <f>TY3A_REP_CITIES!I68</f>
        <v>Northeast</v>
      </c>
      <c r="I68" s="2">
        <f>Data!B68</f>
        <v>42.93</v>
      </c>
      <c r="J68" s="2">
        <f>Data!C68</f>
        <v>-78.73</v>
      </c>
      <c r="K68" s="2">
        <f>VLOOKUP(D68,Table1[],2,FALSE)</f>
        <v>0.9</v>
      </c>
      <c r="L68" s="2">
        <v>0.5</v>
      </c>
      <c r="M68" s="10">
        <f>Data!N68</f>
        <v>4856.1254900000004</v>
      </c>
      <c r="N68" s="10">
        <f>Data!Q68</f>
        <v>29308</v>
      </c>
      <c r="O68" s="10">
        <f>Data!O68</f>
        <v>58589632573.720299</v>
      </c>
      <c r="P68" s="10">
        <f>Data!P68</f>
        <v>61030867264.29184</v>
      </c>
      <c r="Q68" s="10">
        <f>Data!S68*15</f>
        <v>46048.6424650845</v>
      </c>
      <c r="R68" s="48">
        <f>SUM(Data!U68:AA68)*2+Data!AB68</f>
        <v>200.75588762552158</v>
      </c>
      <c r="S68" s="48">
        <f>SUM(Data!V68:AB68)*2+Data!AC68</f>
        <v>210.55628408259795</v>
      </c>
      <c r="T68" s="48">
        <f>SUM(Data!W68:AC68)*2+Data!AD68</f>
        <v>184.36661522334509</v>
      </c>
      <c r="U68" s="48">
        <f>SUM(Data!X68:AD68)*2+Data!AE68</f>
        <v>198.93673394435305</v>
      </c>
      <c r="V68" s="48">
        <f>SUM(Data!Y68:AE68)*2+Data!AF68</f>
        <v>202.41053268488383</v>
      </c>
      <c r="W68" s="48">
        <f>SUM(Data!Z68:AF68)*2+Data!AG68</f>
        <v>182.05192175919461</v>
      </c>
      <c r="X68" s="48">
        <f>SUM(Data!AA68:AG68)*2+Data!AH68</f>
        <v>183.95973990389004</v>
      </c>
      <c r="Y68" s="48">
        <f>SUM(Data!AB68:AH68)*2+Data!AI68</f>
        <v>166.43216194333635</v>
      </c>
      <c r="Z68" s="80">
        <f>(SUM(Data!CS68:CY68)*2+Data!CZ68)/('Useful Constants'!$B$1*1000000)*$K68/100</f>
        <v>0.48232991330126118</v>
      </c>
      <c r="AA68" s="80">
        <f>(SUM(Data!CT68:CZ68)*2+Data!DA68)/('Useful Constants'!$B$1*1000000)*$K68/100</f>
        <v>0.4160003123099868</v>
      </c>
      <c r="AB68" s="80">
        <f>(SUM(Data!CU68:DA68)*2+Data!DB68)/('Useful Constants'!$B$1*1000000)*$K68/100</f>
        <v>0.37276168774605539</v>
      </c>
      <c r="AC68" s="80">
        <f>(SUM(Data!CV68:DB68)*2+Data!DC68)/('Useful Constants'!$B$1*1000000)*$K68/100</f>
        <v>0.34176523726468611</v>
      </c>
      <c r="AD68" s="80">
        <f>(SUM(Data!CW68:DC68)*2+Data!DD68)/('Useful Constants'!$B$1*1000000)*$K68/100</f>
        <v>0.32668817703086267</v>
      </c>
      <c r="AE68" s="80">
        <f>(SUM(Data!CX68:DD68)*2+Data!DE68)/('Useful Constants'!$B$1*1000000)*$K68/100</f>
        <v>0.31860706241937964</v>
      </c>
      <c r="AF68" s="80">
        <f>(SUM(Data!CY68:DE68)*2+Data!DF68)/('Useful Constants'!$B$1*1000000)*$K68/100</f>
        <v>0.31279516315849049</v>
      </c>
      <c r="AG68" s="80">
        <f>(SUM(Data!CZ68:DF68)*2+Data!DG68)/('Useful Constants'!$B$1*1000000)*$K68/100</f>
        <v>0.31580763216911589</v>
      </c>
      <c r="AH68" s="48">
        <f>Z68*'Useful Constants'!$B$3</f>
        <v>40.515712717305938</v>
      </c>
      <c r="AI68" s="48">
        <f>AA68*'Useful Constants'!$B$3</f>
        <v>34.944026234038894</v>
      </c>
      <c r="AJ68" s="48">
        <f>AB68*'Useful Constants'!$B$3</f>
        <v>31.311981770668652</v>
      </c>
      <c r="AK68" s="48">
        <f>AC68*'Useful Constants'!$B$3</f>
        <v>28.708279930233633</v>
      </c>
      <c r="AL68" s="48">
        <f>AD68*'Useful Constants'!$B$3</f>
        <v>27.441806870592465</v>
      </c>
      <c r="AM68" s="48">
        <f>AE68*'Useful Constants'!$B$3</f>
        <v>26.762993243227889</v>
      </c>
      <c r="AN68" s="48">
        <f>AF68*'Useful Constants'!$B$3</f>
        <v>26.274793705313201</v>
      </c>
      <c r="AO68" s="48">
        <f>AG68*'Useful Constants'!$B$3</f>
        <v>26.527841102205734</v>
      </c>
      <c r="AP68" s="10">
        <f>Z68*'Useful Constants'!$B$4</f>
        <v>13.505237572435313</v>
      </c>
      <c r="AQ68" s="10">
        <f>AA68*'Useful Constants'!$B$4</f>
        <v>11.648008744679631</v>
      </c>
      <c r="AR68" s="10">
        <f>AB68*'Useful Constants'!$B$4</f>
        <v>10.437327256889551</v>
      </c>
      <c r="AS68" s="10">
        <f>AC68*'Useful Constants'!$B$4</f>
        <v>9.5694266434112105</v>
      </c>
      <c r="AT68" s="10">
        <f>AD68*'Useful Constants'!$B$4</f>
        <v>9.1472689568641545</v>
      </c>
      <c r="AU68" s="10">
        <f>AE68*'Useful Constants'!$B$4</f>
        <v>8.9209977477426303</v>
      </c>
      <c r="AV68" s="10">
        <f>AF68*'Useful Constants'!$B$4</f>
        <v>8.7582645684377329</v>
      </c>
      <c r="AW68" s="10">
        <f>AG68*'Useful Constants'!$B$4</f>
        <v>8.8426137007352459</v>
      </c>
      <c r="AX68" s="48">
        <f>P68/1000000/'Useful Constants'!$B$1*K68/100*'Useful Constants'!$B$3*15</f>
        <v>13841.800695541389</v>
      </c>
      <c r="AY68" s="48">
        <f>P68/1000000/'Useful Constants'!$B$1*L68/100*'Useful Constants'!$B$3*15</f>
        <v>7689.8892753007722</v>
      </c>
      <c r="AZ68" s="48">
        <f>P68/1000000/'Useful Constants'!$B$1*K68/100*'Useful Constants'!$B$4*15</f>
        <v>4613.9335651804631</v>
      </c>
      <c r="BA68" s="48">
        <f>P68/1000000/'Useful Constants'!$B$1*L68/100*'Useful Constants'!$B$4*15</f>
        <v>2563.2964251002572</v>
      </c>
      <c r="BB68" s="7">
        <f>Data!AN68</f>
        <v>4856.1254900000004</v>
      </c>
      <c r="BC68" s="7">
        <f>Data!AQ68</f>
        <v>4856.1254900000004</v>
      </c>
      <c r="BD68" s="7">
        <f>Data!AT68</f>
        <v>8354.7794900000008</v>
      </c>
      <c r="BE68" s="6">
        <f>Data!AO68</f>
        <v>45260541492.519501</v>
      </c>
      <c r="BF68" s="6">
        <f>Data!AP68</f>
        <v>16012578951.136</v>
      </c>
      <c r="BG68" s="6">
        <f>Data!AR68</f>
        <v>11036786630.509501</v>
      </c>
      <c r="BH68" s="6">
        <f>Data!AS68</f>
        <v>11036786630.509501</v>
      </c>
      <c r="BI68" s="8">
        <f t="shared" si="100"/>
        <v>0.80395540963524359</v>
      </c>
      <c r="BJ68" s="8">
        <f t="shared" si="101"/>
        <v>0.59197613721489373</v>
      </c>
      <c r="BK68" s="13">
        <f>BB68*'Useful Constants'!$B$5/'Useful Constants'!$B$6*'Useful Constants'!$B$7</f>
        <v>1.2426825128910002</v>
      </c>
      <c r="BL68" s="52">
        <f>1-VLOOKUP($G68,'Useful Constants'!$A$17:$X$23,10,FALSE)</f>
        <v>6.6471999999999865E-2</v>
      </c>
      <c r="BM68" s="52">
        <f>1-VLOOKUP($G68,'Useful Constants'!$A$17:$X$23,12,FALSE)</f>
        <v>4.945672000000001E-2</v>
      </c>
      <c r="BN68" s="52">
        <f>1-VLOOKUP($G68,'Useful Constants'!$A$17:$X$23,14,FALSE)</f>
        <v>3.4455679999999989E-2</v>
      </c>
      <c r="BO68" s="52">
        <f>1-VLOOKUP($G68,'Useful Constants'!$A$17:$X$23,16,FALSE)</f>
        <v>2.1468880000000024E-2</v>
      </c>
      <c r="BP68" s="52">
        <f>1-VLOOKUP($G68,'Useful Constants'!$A$17:$X$23,18,FALSE)</f>
        <v>0</v>
      </c>
      <c r="BQ68" s="52">
        <f>1-VLOOKUP($G68,'Useful Constants'!$A$17:$X$23,20, FALSE)</f>
        <v>0</v>
      </c>
      <c r="BR68" s="52">
        <f>1-VLOOKUP($G68,'Useful Constants'!$A$17:$X$23,22, FALSE)</f>
        <v>0</v>
      </c>
      <c r="BS68" s="52">
        <f>1-VLOOKUP($G68,'Useful Constants'!$A$17:$X$23,24, FALSE)</f>
        <v>0</v>
      </c>
      <c r="BT68" s="13">
        <f t="shared" si="102"/>
        <v>8.2603591996890394E-2</v>
      </c>
      <c r="BU68" s="13">
        <f t="shared" si="103"/>
        <v>6.1459001088946599E-2</v>
      </c>
      <c r="BV68" s="13">
        <f t="shared" si="104"/>
        <v>4.281747100576816E-2</v>
      </c>
      <c r="BW68" s="13">
        <f t="shared" si="105"/>
        <v>2.6679001747355366E-2</v>
      </c>
      <c r="BX68" s="13">
        <f t="shared" si="106"/>
        <v>0</v>
      </c>
      <c r="BY68" s="13">
        <f t="shared" si="107"/>
        <v>0</v>
      </c>
      <c r="BZ68" s="13">
        <f t="shared" si="108"/>
        <v>0</v>
      </c>
      <c r="CA68" s="13">
        <f t="shared" si="109"/>
        <v>0</v>
      </c>
      <c r="CB68" s="59">
        <f>+SUM(Data!BM68:BS68)*2+Data!BT68</f>
        <v>1181.3648602328949</v>
      </c>
      <c r="CC68" s="59">
        <f>+SUM(Data!BN68:BT68)*2+Data!BU68</f>
        <v>1239.9806042777182</v>
      </c>
      <c r="CD68" s="59">
        <f>+SUM(Data!BO68:BU68)*2+Data!BV68</f>
        <v>1086.4739349572721</v>
      </c>
      <c r="CE68" s="59">
        <f>+SUM(Data!BP68:BV68)*2+Data!BW68</f>
        <v>1169.7742745205776</v>
      </c>
      <c r="CF68" s="59">
        <f>+SUM(Data!BQ68:BW68)*2+Data!BX68</f>
        <v>1190.9520590453812</v>
      </c>
      <c r="CG68" s="59">
        <f>+SUM(Data!BR68:BX68)*2+Data!BY68</f>
        <v>1071.1754609530633</v>
      </c>
      <c r="CH68" s="59">
        <f>+SUM(Data!BS68:BY68)*2+Data!BZ68</f>
        <v>1081.5545311074877</v>
      </c>
      <c r="CI68" s="59">
        <f>+SUM(Data!BT68:BZ68)*2+Data!CA68</f>
        <v>979.26241159292886</v>
      </c>
      <c r="CJ68" s="13">
        <f>+SUM(Data!AW68:BC68)*2+Data!BD68</f>
        <v>6419.2767255525105</v>
      </c>
      <c r="CK68" s="13">
        <f>+SUM(Data!AX68:BD68)*2+Data!BE68</f>
        <v>6736.9140086703628</v>
      </c>
      <c r="CL68" s="13">
        <f>+SUM(Data!AY68:BE68)*2+Data!BF68</f>
        <v>5881.3372819897886</v>
      </c>
      <c r="CM68" s="13">
        <f>+SUM(Data!AZ68:BF68)*2+Data!BG68</f>
        <v>6346.5628820596621</v>
      </c>
      <c r="CN68" s="13">
        <f>+SUM(Data!BA68:BG68)*2+Data!BH68</f>
        <v>6449.7229573600025</v>
      </c>
      <c r="CO68" s="13">
        <f>+SUM(Data!BB68:BH68)*2+Data!BI68</f>
        <v>5795.4110379010335</v>
      </c>
      <c r="CP68" s="13">
        <f>+SUM(Data!BC68:BI68)*2+Data!BJ68</f>
        <v>5853.9555028973073</v>
      </c>
      <c r="CQ68" s="13">
        <f>+SUM(Data!BD68:BJ68)*2+Data!BK68</f>
        <v>5294.2056227236644</v>
      </c>
      <c r="CR68" s="59">
        <f>+SUM(Data!CC68:CI68)*2+Data!CJ68</f>
        <v>4560.8885837441376</v>
      </c>
      <c r="CS68" s="59">
        <f>+SUM(Data!CD68:CJ68)*2+Data!CK68</f>
        <v>4742.9740570919603</v>
      </c>
      <c r="CT68" s="59">
        <f>+SUM(Data!CE68:CK68)*2+Data!CL68</f>
        <v>4078.7800820708421</v>
      </c>
      <c r="CU68" s="59">
        <f>+SUM(Data!CF68:CL68)*2+Data!CM68</f>
        <v>4499.5607282907949</v>
      </c>
      <c r="CV68" s="59">
        <f>+SUM(Data!CG68:CM68)*2+Data!CN68</f>
        <v>4523.5840380547625</v>
      </c>
      <c r="CW68" s="59">
        <f>+SUM(Data!CH68:CN68)*2+Data!CO68</f>
        <v>4061.171923645099</v>
      </c>
      <c r="CX68" s="59">
        <f>+SUM(Data!CI68:CO68)*2+Data!CP68</f>
        <v>4130.8897865479385</v>
      </c>
      <c r="CY68" s="59">
        <f>+SUM(Data!CJ68:CP68)*2+Data!CQ68</f>
        <v>3688.6576095139835</v>
      </c>
      <c r="CZ68" s="60">
        <f t="shared" si="110"/>
        <v>12161.530169529542</v>
      </c>
      <c r="DA68" s="60">
        <f t="shared" si="111"/>
        <v>12719.868670040041</v>
      </c>
      <c r="DB68" s="60">
        <f t="shared" si="112"/>
        <v>11046.591299017902</v>
      </c>
      <c r="DC68" s="60">
        <f t="shared" si="113"/>
        <v>12015.897884871036</v>
      </c>
      <c r="DD68" s="60">
        <f t="shared" si="114"/>
        <v>12164.259054460146</v>
      </c>
      <c r="DE68" s="60">
        <f t="shared" si="115"/>
        <v>10927.758422499195</v>
      </c>
      <c r="DF68" s="60">
        <f t="shared" si="116"/>
        <v>11066.399820552733</v>
      </c>
      <c r="DG68" s="60">
        <f t="shared" si="117"/>
        <v>9962.1256438305754</v>
      </c>
      <c r="DH68" s="13">
        <f t="shared" si="118"/>
        <v>8.4930748584051349E-2</v>
      </c>
      <c r="DI68" s="13">
        <f t="shared" si="119"/>
        <v>6.3190459924657494E-2</v>
      </c>
      <c r="DJ68" s="13">
        <f t="shared" si="120"/>
        <v>4.4023749779945408E-2</v>
      </c>
      <c r="DK68" s="13">
        <f t="shared" si="121"/>
        <v>2.7430618149915365E-2</v>
      </c>
      <c r="DL68" s="13">
        <f t="shared" si="122"/>
        <v>0</v>
      </c>
      <c r="DM68" s="13">
        <f t="shared" si="123"/>
        <v>0</v>
      </c>
      <c r="DN68" s="13">
        <f t="shared" si="124"/>
        <v>0</v>
      </c>
      <c r="DO68" s="13">
        <f t="shared" si="125"/>
        <v>0</v>
      </c>
      <c r="DP68" s="50">
        <f>DH68*'Useful Constants'!$B$8</f>
        <v>361.80498896805875</v>
      </c>
      <c r="DQ68" s="50">
        <f>DI68*'Useful Constants'!$B$8</f>
        <v>269.19135927904091</v>
      </c>
      <c r="DR68" s="50">
        <f>DJ68*'Useful Constants'!$B$10</f>
        <v>106.97771196526735</v>
      </c>
      <c r="DS68" s="50">
        <f>DK68*'Useful Constants'!$B$10</f>
        <v>66.656402104294344</v>
      </c>
      <c r="DT68" s="50">
        <f>DL68*'Useful Constants'!$B$10</f>
        <v>0</v>
      </c>
      <c r="DU68" s="50">
        <f>DM68*'Useful Constants'!$B$10</f>
        <v>0</v>
      </c>
      <c r="DV68" s="50">
        <f>DN68*'Useful Constants'!$B$10</f>
        <v>0</v>
      </c>
      <c r="DW68" s="50">
        <f>DO68*'Useful Constants'!$B$10</f>
        <v>0</v>
      </c>
      <c r="DX68" s="14">
        <f>DH68*'Useful Constants'!$B$9</f>
        <v>163.40676027571479</v>
      </c>
      <c r="DY68" s="14">
        <f>DI68*'Useful Constants'!$B$9</f>
        <v>121.57844489504102</v>
      </c>
      <c r="DZ68" s="14">
        <f>DJ68*'Useful Constants'!$B$11</f>
        <v>29.80407860102304</v>
      </c>
      <c r="EA68" s="14">
        <f>DK68*'Useful Constants'!$B$11</f>
        <v>18.570528487492702</v>
      </c>
      <c r="EB68" s="14">
        <f>DL68*'Useful Constants'!$B$11</f>
        <v>0</v>
      </c>
      <c r="EC68" s="14">
        <f>DM68*'Useful Constants'!$B$11</f>
        <v>0</v>
      </c>
      <c r="ED68" s="14">
        <f>DN68*'Useful Constants'!$B$11</f>
        <v>0</v>
      </c>
      <c r="EE68" s="14">
        <f>DO68*'Useful Constants'!$B$11</f>
        <v>0</v>
      </c>
      <c r="EF68" s="78">
        <f>(SUM(Data!DI68:DO68)*2+Data!DP68)/('Useful Constants'!$B$1*1000000)*$K68/100</f>
        <v>28.953098701751014</v>
      </c>
      <c r="EG68" s="78">
        <f>(SUM(Data!DJ68:DP68)*2+Data!DQ68)/('Useful Constants'!$B$1*1000000)*$K68/100</f>
        <v>25.009471031769152</v>
      </c>
      <c r="EH68" s="78">
        <f>(SUM(Data!DK68:DQ68)*2+Data!DR68)/('Useful Constants'!$B$1*1000000)*$K68/100</f>
        <v>22.35565627002492</v>
      </c>
      <c r="EI68" s="78">
        <f>(SUM(Data!DL68:DR68)*2+Data!DS68)/('Useful Constants'!$B$1*1000000)*$K68/100</f>
        <v>20.510603789840207</v>
      </c>
      <c r="EJ68" s="78">
        <f>(SUM(Data!DM68:DS68)*2+Data!DT68)/('Useful Constants'!$B$1*1000000)*$K68/100</f>
        <v>19.612607173898603</v>
      </c>
      <c r="EK68" s="78">
        <f>(SUM(Data!DN68:DT68)*2+Data!DU68)/('Useful Constants'!$B$1*1000000)*$K68/100</f>
        <v>19.091609332684197</v>
      </c>
      <c r="EL68" s="78">
        <f>(SUM(Data!DO68:DU68)*2+Data!DV68)/('Useful Constants'!$B$1*1000000)*$K68/100</f>
        <v>18.739925262608882</v>
      </c>
      <c r="EM68" s="78">
        <f>(SUM(Data!DP68:DV68)*2+Data!DW68)/('Useful Constants'!$B$1*1000000)*$K68/100</f>
        <v>18.878044777044998</v>
      </c>
      <c r="EN68" s="79">
        <f>EF68*'Useful Constants'!$B$3</f>
        <v>2432.0602909470849</v>
      </c>
      <c r="EO68" s="79">
        <f>EG68*'Useful Constants'!$B$3</f>
        <v>2100.7955666686089</v>
      </c>
      <c r="EP68" s="79">
        <f>EH68*'Useful Constants'!$B$3</f>
        <v>1877.8751266820932</v>
      </c>
      <c r="EQ68" s="79">
        <f>EI68*'Useful Constants'!$B$3</f>
        <v>1722.8907183465774</v>
      </c>
      <c r="ER68" s="79">
        <f>EJ68*'Useful Constants'!$B$3</f>
        <v>1647.4590026074827</v>
      </c>
      <c r="ES68" s="79">
        <f>EK68*'Useful Constants'!$B$3</f>
        <v>1603.6951839454725</v>
      </c>
      <c r="ET68" s="79">
        <f>EL68*'Useful Constants'!$B$3</f>
        <v>1574.153722059146</v>
      </c>
      <c r="EU68" s="79">
        <f>EM68*'Useful Constants'!$B$3</f>
        <v>1585.7557612717799</v>
      </c>
      <c r="EV68" s="78">
        <f>EF68*'Useful Constants'!$B$4</f>
        <v>810.68676364902842</v>
      </c>
      <c r="EW68" s="78">
        <f>EG68*'Useful Constants'!$B$4</f>
        <v>700.26518888953626</v>
      </c>
      <c r="EX68" s="78">
        <f>EH68*'Useful Constants'!$B$4</f>
        <v>625.95837556069773</v>
      </c>
      <c r="EY68" s="78">
        <f>EI68*'Useful Constants'!$B$4</f>
        <v>574.29690611552576</v>
      </c>
      <c r="EZ68" s="78">
        <f>EJ68*'Useful Constants'!$B$4</f>
        <v>549.15300086916091</v>
      </c>
      <c r="FA68" s="78">
        <f>EK68*'Useful Constants'!$B$4</f>
        <v>534.56506131515755</v>
      </c>
      <c r="FB68" s="78">
        <f>EL68*'Useful Constants'!$B$4</f>
        <v>524.71790735304864</v>
      </c>
      <c r="FC68" s="78">
        <f>EM68*'Useful Constants'!$B$4</f>
        <v>528.58525375725992</v>
      </c>
      <c r="FD68" s="40">
        <f t="shared" si="126"/>
        <v>0.73704457565517867</v>
      </c>
      <c r="FE68" s="40">
        <f t="shared" si="127"/>
        <v>0.72503050173844474</v>
      </c>
      <c r="FF68" s="40">
        <f t="shared" si="128"/>
        <v>0.76106700561432838</v>
      </c>
      <c r="FG68" s="40">
        <f t="shared" si="129"/>
        <v>0.74018320325135289</v>
      </c>
      <c r="FH68" s="40">
        <f t="shared" si="130"/>
        <v>0.73699498138892505</v>
      </c>
      <c r="FI68" s="40">
        <f t="shared" si="131"/>
        <v>0.76362547507811152</v>
      </c>
      <c r="FJ68" s="40">
        <f t="shared" si="132"/>
        <v>0.76063644932885277</v>
      </c>
      <c r="FK68" s="40">
        <f t="shared" si="133"/>
        <v>0.78443991004605118</v>
      </c>
      <c r="FL68" s="4">
        <f t="shared" si="134"/>
        <v>0.77948921052579534</v>
      </c>
      <c r="FM68" s="4">
        <f t="shared" si="135"/>
        <v>0.77752052595589427</v>
      </c>
      <c r="FN68" s="4">
        <f t="shared" si="136"/>
        <v>0.80778450031024107</v>
      </c>
      <c r="FO68" s="4">
        <f t="shared" si="137"/>
        <v>0.79640382261007303</v>
      </c>
      <c r="FP68" s="4">
        <f t="shared" si="138"/>
        <v>0.79631794098780451</v>
      </c>
      <c r="FQ68" s="4">
        <f t="shared" si="139"/>
        <v>0.81514071062773275</v>
      </c>
      <c r="FR68" s="4">
        <f t="shared" si="140"/>
        <v>0.81353521429770059</v>
      </c>
      <c r="FS68" s="4">
        <f t="shared" si="141"/>
        <v>0.82961014598042626</v>
      </c>
      <c r="FT68" s="38">
        <f t="shared" si="142"/>
        <v>0.75419927284328736</v>
      </c>
      <c r="FU68" s="38">
        <f t="shared" si="143"/>
        <v>0.74663798722593744</v>
      </c>
      <c r="FV68" s="38">
        <f t="shared" si="144"/>
        <v>0.78093961847230375</v>
      </c>
      <c r="FW68" s="38">
        <f t="shared" si="145"/>
        <v>0.76403271365619152</v>
      </c>
      <c r="FX68" s="38">
        <f t="shared" si="146"/>
        <v>0.76208788494910329</v>
      </c>
      <c r="FY68" s="38">
        <f t="shared" si="147"/>
        <v>0.78541743894883109</v>
      </c>
      <c r="FZ68" s="38">
        <f t="shared" si="148"/>
        <v>0.7830134110966388</v>
      </c>
      <c r="GA68" s="38">
        <f t="shared" si="149"/>
        <v>0.80354896024600708</v>
      </c>
    </row>
    <row r="69" spans="1:183" x14ac:dyDescent="0.25">
      <c r="A69" s="1" t="str">
        <f>Data!A69</f>
        <v>NY_NEW-YORK-J-F-KENNEDY-IAP_744860_TY3A</v>
      </c>
      <c r="B69" s="1" t="str">
        <f>TY3A_REP_CITIES!B69</f>
        <v>New-York</v>
      </c>
      <c r="C69" s="1" t="s">
        <v>467</v>
      </c>
      <c r="D69" s="2" t="str">
        <f>TY3A_REP_CITIES!A69</f>
        <v>NY</v>
      </c>
      <c r="E69" s="42">
        <f>TY3A_REP_CITIES!E69</f>
        <v>1628706</v>
      </c>
      <c r="F69" s="2">
        <f>TY3A_REP_CITIES!G69</f>
        <v>4</v>
      </c>
      <c r="G69" s="2" t="str">
        <f>TY3A_REP_CITIES!H69</f>
        <v>Mixed-Humid</v>
      </c>
      <c r="H69" s="2" t="str">
        <f>TY3A_REP_CITIES!I69</f>
        <v>Northeast</v>
      </c>
      <c r="I69" s="2">
        <f>Data!B69</f>
        <v>40.65</v>
      </c>
      <c r="J69" s="2">
        <f>Data!C69</f>
        <v>-73.8</v>
      </c>
      <c r="K69" s="2">
        <f>VLOOKUP(D69,Table1[],2,FALSE)</f>
        <v>0.9</v>
      </c>
      <c r="L69" s="2">
        <v>0.5</v>
      </c>
      <c r="M69" s="10">
        <f>Data!N69</f>
        <v>4412.91572</v>
      </c>
      <c r="N69" s="10">
        <f>Data!Q69</f>
        <v>29308</v>
      </c>
      <c r="O69" s="10">
        <f>Data!O69</f>
        <v>34698830742.800201</v>
      </c>
      <c r="P69" s="10">
        <f>Data!P69</f>
        <v>36144615357.08358</v>
      </c>
      <c r="Q69" s="10">
        <f>Data!S69*15</f>
        <v>27271.61753098925</v>
      </c>
      <c r="R69" s="48">
        <f>SUM(Data!U69:AA69)*2+Data!AB69</f>
        <v>102.65143183347094</v>
      </c>
      <c r="S69" s="48">
        <f>SUM(Data!V69:AB69)*2+Data!AC69</f>
        <v>107.8149134839496</v>
      </c>
      <c r="T69" s="48">
        <f>SUM(Data!W69:AC69)*2+Data!AD69</f>
        <v>93.723496057048436</v>
      </c>
      <c r="U69" s="48">
        <f>SUM(Data!X69:AD69)*2+Data!AE69</f>
        <v>100.93088821395718</v>
      </c>
      <c r="V69" s="48">
        <f>SUM(Data!Y69:AE69)*2+Data!AF69</f>
        <v>102.48225585997642</v>
      </c>
      <c r="W69" s="48">
        <f>SUM(Data!Z69:AF69)*2+Data!AG69</f>
        <v>91.777198086412824</v>
      </c>
      <c r="X69" s="48">
        <f>SUM(Data!AA69:AG69)*2+Data!AH69</f>
        <v>92.757678068688278</v>
      </c>
      <c r="Y69" s="48">
        <f>SUM(Data!AB69:AH69)*2+Data!AI69</f>
        <v>83.847304829231945</v>
      </c>
      <c r="Z69" s="80">
        <f>(SUM(Data!CS69:CY69)*2+Data!CZ69)/('Useful Constants'!$B$1*1000000)*$K69/100</f>
        <v>0.24898837320416017</v>
      </c>
      <c r="AA69" s="80">
        <f>(SUM(Data!CT69:CZ69)*2+Data!DA69)/('Useful Constants'!$B$1*1000000)*$K69/100</f>
        <v>0.21335860091614406</v>
      </c>
      <c r="AB69" s="80">
        <f>(SUM(Data!CU69:DA69)*2+Data!DB69)/('Useful Constants'!$B$1*1000000)*$K69/100</f>
        <v>0.19100333097533653</v>
      </c>
      <c r="AC69" s="80">
        <f>(SUM(Data!CV69:DB69)*2+Data!DC69)/('Useful Constants'!$B$1*1000000)*$K69/100</f>
        <v>0.17566096525619129</v>
      </c>
      <c r="AD69" s="80">
        <f>(SUM(Data!CW69:DC69)*2+Data!DD69)/('Useful Constants'!$B$1*1000000)*$K69/100</f>
        <v>0.16836403510453035</v>
      </c>
      <c r="AE69" s="80">
        <f>(SUM(Data!CX69:DD69)*2+Data!DE69)/('Useful Constants'!$B$1*1000000)*$K69/100</f>
        <v>0.16455436275572402</v>
      </c>
      <c r="AF69" s="80">
        <f>(SUM(Data!CY69:DE69)*2+Data!DF69)/('Useful Constants'!$B$1*1000000)*$K69/100</f>
        <v>0.16206194716357969</v>
      </c>
      <c r="AG69" s="80">
        <f>(SUM(Data!CZ69:DF69)*2+Data!DG69)/('Useful Constants'!$B$1*1000000)*$K69/100</f>
        <v>0.16412485057223983</v>
      </c>
      <c r="AH69" s="48">
        <f>Z69*'Useful Constants'!$B$3</f>
        <v>20.915023349149454</v>
      </c>
      <c r="AI69" s="48">
        <f>AA69*'Useful Constants'!$B$3</f>
        <v>17.922122476956101</v>
      </c>
      <c r="AJ69" s="48">
        <f>AB69*'Useful Constants'!$B$3</f>
        <v>16.044279801928269</v>
      </c>
      <c r="AK69" s="48">
        <f>AC69*'Useful Constants'!$B$3</f>
        <v>14.755521081520069</v>
      </c>
      <c r="AL69" s="48">
        <f>AD69*'Useful Constants'!$B$3</f>
        <v>14.14257894878055</v>
      </c>
      <c r="AM69" s="48">
        <f>AE69*'Useful Constants'!$B$3</f>
        <v>13.822566471480817</v>
      </c>
      <c r="AN69" s="48">
        <f>AF69*'Useful Constants'!$B$3</f>
        <v>13.613203561740693</v>
      </c>
      <c r="AO69" s="48">
        <f>AG69*'Useful Constants'!$B$3</f>
        <v>13.786487448068145</v>
      </c>
      <c r="AP69" s="10">
        <f>Z69*'Useful Constants'!$B$4</f>
        <v>6.9716744497164846</v>
      </c>
      <c r="AQ69" s="10">
        <f>AA69*'Useful Constants'!$B$4</f>
        <v>5.9740408256520334</v>
      </c>
      <c r="AR69" s="10">
        <f>AB69*'Useful Constants'!$B$4</f>
        <v>5.348093267309423</v>
      </c>
      <c r="AS69" s="10">
        <f>AC69*'Useful Constants'!$B$4</f>
        <v>4.918507027173356</v>
      </c>
      <c r="AT69" s="10">
        <f>AD69*'Useful Constants'!$B$4</f>
        <v>4.7141929829268499</v>
      </c>
      <c r="AU69" s="10">
        <f>AE69*'Useful Constants'!$B$4</f>
        <v>4.6075221571602727</v>
      </c>
      <c r="AV69" s="10">
        <f>AF69*'Useful Constants'!$B$4</f>
        <v>4.5377345205802317</v>
      </c>
      <c r="AW69" s="10">
        <f>AG69*'Useful Constants'!$B$4</f>
        <v>4.5954958160227148</v>
      </c>
      <c r="AX69" s="48">
        <f>P69/1000000/'Useful Constants'!$B$1*K69/100*'Useful Constants'!$B$3*15</f>
        <v>8197.5987629865558</v>
      </c>
      <c r="AY69" s="48">
        <f>P69/1000000/'Useful Constants'!$B$1*L69/100*'Useful Constants'!$B$3*15</f>
        <v>4554.2215349925309</v>
      </c>
      <c r="AZ69" s="48">
        <f>P69/1000000/'Useful Constants'!$B$1*K69/100*'Useful Constants'!$B$4*15</f>
        <v>2732.5329209955185</v>
      </c>
      <c r="BA69" s="48">
        <f>P69/1000000/'Useful Constants'!$B$1*L69/100*'Useful Constants'!$B$4*15</f>
        <v>1518.0738449975104</v>
      </c>
      <c r="BB69" s="7">
        <f>Data!AN69</f>
        <v>4412.91572</v>
      </c>
      <c r="BC69" s="7">
        <f>Data!AQ69</f>
        <v>4412.91572</v>
      </c>
      <c r="BD69" s="7">
        <f>Data!AT69</f>
        <v>7010.2232999999997</v>
      </c>
      <c r="BE69" s="6">
        <f>Data!AO69</f>
        <v>30536072817.581299</v>
      </c>
      <c r="BF69" s="6">
        <f>Data!AP69</f>
        <v>9574177397.9949608</v>
      </c>
      <c r="BG69" s="6">
        <f>Data!AR69</f>
        <v>2803389320.5556798</v>
      </c>
      <c r="BH69" s="6">
        <f>Data!AS69</f>
        <v>2803389320.5556798</v>
      </c>
      <c r="BI69" s="8">
        <f t="shared" si="100"/>
        <v>0.91591378082404984</v>
      </c>
      <c r="BJ69" s="8">
        <f t="shared" si="101"/>
        <v>0.77351046580470828</v>
      </c>
      <c r="BK69" s="13">
        <f>BB69*'Useful Constants'!$B$5/'Useful Constants'!$B$6*'Useful Constants'!$B$7</f>
        <v>1.1292651327479999</v>
      </c>
      <c r="BL69" s="52">
        <f>1-VLOOKUP($G69,'Useful Constants'!$A$17:$X$23,10,FALSE)</f>
        <v>0</v>
      </c>
      <c r="BM69" s="52">
        <f>1-VLOOKUP($G69,'Useful Constants'!$A$17:$X$23,12,FALSE)</f>
        <v>0</v>
      </c>
      <c r="BN69" s="52">
        <f>1-VLOOKUP($G69,'Useful Constants'!$A$17:$X$23,14,FALSE)</f>
        <v>0</v>
      </c>
      <c r="BO69" s="52">
        <f>1-VLOOKUP($G69,'Useful Constants'!$A$17:$X$23,16,FALSE)</f>
        <v>0</v>
      </c>
      <c r="BP69" s="52">
        <f>1-VLOOKUP($G69,'Useful Constants'!$A$17:$X$23,18,FALSE)</f>
        <v>0</v>
      </c>
      <c r="BQ69" s="52">
        <f>1-VLOOKUP($G69,'Useful Constants'!$A$17:$X$23,20, FALSE)</f>
        <v>0</v>
      </c>
      <c r="BR69" s="52">
        <f>1-VLOOKUP($G69,'Useful Constants'!$A$17:$X$23,22, FALSE)</f>
        <v>0</v>
      </c>
      <c r="BS69" s="52">
        <f>1-VLOOKUP($G69,'Useful Constants'!$A$17:$X$23,24, FALSE)</f>
        <v>0</v>
      </c>
      <c r="BT69" s="13">
        <f t="shared" si="102"/>
        <v>0</v>
      </c>
      <c r="BU69" s="13">
        <f t="shared" si="103"/>
        <v>0</v>
      </c>
      <c r="BV69" s="13">
        <f t="shared" si="104"/>
        <v>0</v>
      </c>
      <c r="BW69" s="13">
        <f t="shared" si="105"/>
        <v>0</v>
      </c>
      <c r="BX69" s="13">
        <f t="shared" si="106"/>
        <v>0</v>
      </c>
      <c r="BY69" s="13">
        <f t="shared" si="107"/>
        <v>0</v>
      </c>
      <c r="BZ69" s="13">
        <f t="shared" si="108"/>
        <v>0</v>
      </c>
      <c r="CA69" s="13">
        <f t="shared" si="109"/>
        <v>0</v>
      </c>
      <c r="CB69" s="59">
        <f>+SUM(Data!BM69:BS69)*2+Data!BT69</f>
        <v>697.98984489025668</v>
      </c>
      <c r="CC69" s="59">
        <f>+SUM(Data!BN69:BT69)*2+Data!BU69</f>
        <v>733.22652142824268</v>
      </c>
      <c r="CD69" s="59">
        <f>+SUM(Data!BO69:BU69)*2+Data!BV69</f>
        <v>637.71109601077239</v>
      </c>
      <c r="CE69" s="59">
        <f>+SUM(Data!BP69:BV69)*2+Data!BW69</f>
        <v>686.32869093994429</v>
      </c>
      <c r="CF69" s="59">
        <f>+SUM(Data!BQ69:BW69)*2+Data!BX69</f>
        <v>696.83631766789097</v>
      </c>
      <c r="CG69" s="59">
        <f>+SUM(Data!BR69:BX69)*2+Data!BY69</f>
        <v>624.43877064254116</v>
      </c>
      <c r="CH69" s="59">
        <f>+SUM(Data!BS69:BY69)*2+Data!BZ69</f>
        <v>630.9246347512443</v>
      </c>
      <c r="CI69" s="59">
        <f>+SUM(Data!BT69:BZ69)*2+Data!CA69</f>
        <v>570.26653717327838</v>
      </c>
      <c r="CJ69" s="13">
        <f>+SUM(Data!AW69:BC69)*2+Data!BD69</f>
        <v>3839.7510080212724</v>
      </c>
      <c r="CK69" s="13">
        <f>+SUM(Data!AX69:BD69)*2+Data!BE69</f>
        <v>4033.4333737424031</v>
      </c>
      <c r="CL69" s="13">
        <f>+SUM(Data!AY69:BE69)*2+Data!BF69</f>
        <v>3495.8970224429195</v>
      </c>
      <c r="CM69" s="13">
        <f>+SUM(Data!AZ69:BF69)*2+Data!BG69</f>
        <v>3768.6812291096853</v>
      </c>
      <c r="CN69" s="13">
        <f>+SUM(Data!BA69:BG69)*2+Data!BH69</f>
        <v>3819.2285894878823</v>
      </c>
      <c r="CO69" s="13">
        <f>+SUM(Data!BB69:BH69)*2+Data!BI69</f>
        <v>3416.8409997938825</v>
      </c>
      <c r="CP69" s="13">
        <f>+SUM(Data!BC69:BI69)*2+Data!BJ69</f>
        <v>3454.6699503963678</v>
      </c>
      <c r="CQ69" s="13">
        <f>+SUM(Data!BD69:BJ69)*2+Data!BK69</f>
        <v>3119.7289929853605</v>
      </c>
      <c r="CR69" s="59">
        <f>+SUM(Data!CC69:CI69)*2+Data!CJ69</f>
        <v>1166.8597622667951</v>
      </c>
      <c r="CS69" s="59">
        <f>+SUM(Data!CD69:CJ69)*2+Data!CK69</f>
        <v>1223.4397336275781</v>
      </c>
      <c r="CT69" s="59">
        <f>+SUM(Data!CE69:CK69)*2+Data!CL69</f>
        <v>1021.4277822158044</v>
      </c>
      <c r="CU69" s="59">
        <f>+SUM(Data!CF69:CL69)*2+Data!CM69</f>
        <v>1125.5062307897922</v>
      </c>
      <c r="CV69" s="59">
        <f>+SUM(Data!CG69:CM69)*2+Data!CN69</f>
        <v>1128.4994917438535</v>
      </c>
      <c r="CW69" s="59">
        <f>+SUM(Data!CH69:CN69)*2+Data!CO69</f>
        <v>986.29848163187853</v>
      </c>
      <c r="CX69" s="59">
        <f>+SUM(Data!CI69:CO69)*2+Data!CP69</f>
        <v>1002.5776096234373</v>
      </c>
      <c r="CY69" s="59">
        <f>+SUM(Data!CJ69:CP69)*2+Data!CQ69</f>
        <v>900.59503621191209</v>
      </c>
      <c r="CZ69" s="60">
        <f t="shared" si="110"/>
        <v>5704.600615178324</v>
      </c>
      <c r="DA69" s="60">
        <f t="shared" si="111"/>
        <v>5990.0996287982234</v>
      </c>
      <c r="DB69" s="60">
        <f t="shared" si="112"/>
        <v>5155.0359006694962</v>
      </c>
      <c r="DC69" s="60">
        <f t="shared" si="113"/>
        <v>5580.5161508394222</v>
      </c>
      <c r="DD69" s="60">
        <f t="shared" si="114"/>
        <v>5644.5643988996271</v>
      </c>
      <c r="DE69" s="60">
        <f t="shared" si="115"/>
        <v>5027.5782520683024</v>
      </c>
      <c r="DF69" s="60">
        <f t="shared" si="116"/>
        <v>5088.1721947710494</v>
      </c>
      <c r="DG69" s="60">
        <f t="shared" si="117"/>
        <v>4590.5905663705507</v>
      </c>
      <c r="DH69" s="13">
        <f t="shared" si="118"/>
        <v>0</v>
      </c>
      <c r="DI69" s="13">
        <f t="shared" si="119"/>
        <v>0</v>
      </c>
      <c r="DJ69" s="13">
        <f t="shared" si="120"/>
        <v>0</v>
      </c>
      <c r="DK69" s="13">
        <f t="shared" si="121"/>
        <v>0</v>
      </c>
      <c r="DL69" s="13">
        <f t="shared" si="122"/>
        <v>0</v>
      </c>
      <c r="DM69" s="13">
        <f t="shared" si="123"/>
        <v>0</v>
      </c>
      <c r="DN69" s="13">
        <f t="shared" si="124"/>
        <v>0</v>
      </c>
      <c r="DO69" s="13">
        <f t="shared" si="125"/>
        <v>0</v>
      </c>
      <c r="DP69" s="50">
        <f>DH69*'Useful Constants'!$B$8</f>
        <v>0</v>
      </c>
      <c r="DQ69" s="50">
        <f>DI69*'Useful Constants'!$B$8</f>
        <v>0</v>
      </c>
      <c r="DR69" s="50">
        <f>DJ69*'Useful Constants'!$B$10</f>
        <v>0</v>
      </c>
      <c r="DS69" s="50">
        <f>DK69*'Useful Constants'!$B$10</f>
        <v>0</v>
      </c>
      <c r="DT69" s="50">
        <f>DL69*'Useful Constants'!$B$10</f>
        <v>0</v>
      </c>
      <c r="DU69" s="50">
        <f>DM69*'Useful Constants'!$B$10</f>
        <v>0</v>
      </c>
      <c r="DV69" s="50">
        <f>DN69*'Useful Constants'!$B$10</f>
        <v>0</v>
      </c>
      <c r="DW69" s="50">
        <f>DO69*'Useful Constants'!$B$10</f>
        <v>0</v>
      </c>
      <c r="DX69" s="14">
        <f>DH69*'Useful Constants'!$B$9</f>
        <v>0</v>
      </c>
      <c r="DY69" s="14">
        <f>DI69*'Useful Constants'!$B$9</f>
        <v>0</v>
      </c>
      <c r="DZ69" s="14">
        <f>DJ69*'Useful Constants'!$B$11</f>
        <v>0</v>
      </c>
      <c r="EA69" s="14">
        <f>DK69*'Useful Constants'!$B$11</f>
        <v>0</v>
      </c>
      <c r="EB69" s="14">
        <f>DL69*'Useful Constants'!$B$11</f>
        <v>0</v>
      </c>
      <c r="EC69" s="14">
        <f>DM69*'Useful Constants'!$B$11</f>
        <v>0</v>
      </c>
      <c r="ED69" s="14">
        <f>DN69*'Useful Constants'!$B$11</f>
        <v>0</v>
      </c>
      <c r="EE69" s="14">
        <f>DO69*'Useful Constants'!$B$11</f>
        <v>0</v>
      </c>
      <c r="EF69" s="78">
        <f>(SUM(Data!DI69:DO69)*2+Data!DP69)/('Useful Constants'!$B$1*1000000)*$K69/100</f>
        <v>13.462591324840137</v>
      </c>
      <c r="EG69" s="78">
        <f>(SUM(Data!DJ69:DP69)*2+Data!DQ69)/('Useful Constants'!$B$1*1000000)*$K69/100</f>
        <v>11.512289080215078</v>
      </c>
      <c r="EH69" s="78">
        <f>(SUM(Data!DK69:DQ69)*2+Data!DR69)/('Useful Constants'!$B$1*1000000)*$K69/100</f>
        <v>10.269848247421589</v>
      </c>
      <c r="EI69" s="78">
        <f>(SUM(Data!DL69:DR69)*2+Data!DS69)/('Useful Constants'!$B$1*1000000)*$K69/100</f>
        <v>9.426545787796659</v>
      </c>
      <c r="EJ69" s="78">
        <f>(SUM(Data!DM69:DS69)*2+Data!DT69)/('Useful Constants'!$B$1*1000000)*$K69/100</f>
        <v>9.0277245173600651</v>
      </c>
      <c r="EK69" s="78">
        <f>(SUM(Data!DN69:DT69)*2+Data!DU69)/('Useful Constants'!$B$1*1000000)*$K69/100</f>
        <v>8.8046758144388324</v>
      </c>
      <c r="EL69" s="78">
        <f>(SUM(Data!DO69:DU69)*2+Data!DV69)/('Useful Constants'!$B$1*1000000)*$K69/100</f>
        <v>8.6567517011636159</v>
      </c>
      <c r="EM69" s="78">
        <f>(SUM(Data!DP69:DV69)*2+Data!DW69)/('Useful Constants'!$B$1*1000000)*$K69/100</f>
        <v>8.7676344632891254</v>
      </c>
      <c r="EN69" s="79">
        <f>EF69*'Useful Constants'!$B$3</f>
        <v>1130.8576712865715</v>
      </c>
      <c r="EO69" s="79">
        <f>EG69*'Useful Constants'!$B$3</f>
        <v>967.03228273806656</v>
      </c>
      <c r="EP69" s="79">
        <f>EH69*'Useful Constants'!$B$3</f>
        <v>862.66725278341346</v>
      </c>
      <c r="EQ69" s="79">
        <f>EI69*'Useful Constants'!$B$3</f>
        <v>791.82984617491934</v>
      </c>
      <c r="ER69" s="79">
        <f>EJ69*'Useful Constants'!$B$3</f>
        <v>758.32885945824546</v>
      </c>
      <c r="ES69" s="79">
        <f>EK69*'Useful Constants'!$B$3</f>
        <v>739.59276841286191</v>
      </c>
      <c r="ET69" s="79">
        <f>EL69*'Useful Constants'!$B$3</f>
        <v>727.1671428977437</v>
      </c>
      <c r="EU69" s="79">
        <f>EM69*'Useful Constants'!$B$3</f>
        <v>736.48129491628652</v>
      </c>
      <c r="EV69" s="78">
        <f>EF69*'Useful Constants'!$B$4</f>
        <v>376.95255709552384</v>
      </c>
      <c r="EW69" s="78">
        <f>EG69*'Useful Constants'!$B$4</f>
        <v>322.34409424602217</v>
      </c>
      <c r="EX69" s="78">
        <f>EH69*'Useful Constants'!$B$4</f>
        <v>287.55575092780447</v>
      </c>
      <c r="EY69" s="78">
        <f>EI69*'Useful Constants'!$B$4</f>
        <v>263.94328205830647</v>
      </c>
      <c r="EZ69" s="78">
        <f>EJ69*'Useful Constants'!$B$4</f>
        <v>252.77628648608183</v>
      </c>
      <c r="FA69" s="78">
        <f>EK69*'Useful Constants'!$B$4</f>
        <v>246.53092280428731</v>
      </c>
      <c r="FB69" s="78">
        <f>EL69*'Useful Constants'!$B$4</f>
        <v>242.38904763258125</v>
      </c>
      <c r="FC69" s="78">
        <f>EM69*'Useful Constants'!$B$4</f>
        <v>245.49376497209551</v>
      </c>
      <c r="FD69" s="40">
        <f t="shared" si="126"/>
        <v>0.79160719787893497</v>
      </c>
      <c r="FE69" s="40">
        <f t="shared" si="127"/>
        <v>0.781218999300061</v>
      </c>
      <c r="FF69" s="40">
        <f t="shared" si="128"/>
        <v>0.81162171903596736</v>
      </c>
      <c r="FG69" s="40">
        <f t="shared" si="129"/>
        <v>0.79612727081982571</v>
      </c>
      <c r="FH69" s="40">
        <f t="shared" si="130"/>
        <v>0.7937990858931796</v>
      </c>
      <c r="FI69" s="40">
        <f t="shared" si="131"/>
        <v>0.81626628194906958</v>
      </c>
      <c r="FJ69" s="40">
        <f t="shared" si="132"/>
        <v>0.81405852843711912</v>
      </c>
      <c r="FK69" s="40">
        <f t="shared" si="133"/>
        <v>0.83218744064769967</v>
      </c>
      <c r="FL69" s="4">
        <f t="shared" si="134"/>
        <v>0.82973926925941599</v>
      </c>
      <c r="FM69" s="4">
        <f t="shared" si="135"/>
        <v>0.82671793542602978</v>
      </c>
      <c r="FN69" s="4">
        <f t="shared" si="136"/>
        <v>0.85005675318571894</v>
      </c>
      <c r="FO69" s="4">
        <f t="shared" si="137"/>
        <v>0.84124352192667651</v>
      </c>
      <c r="FP69" s="4">
        <f t="shared" si="138"/>
        <v>0.84048621667609091</v>
      </c>
      <c r="FQ69" s="4">
        <f t="shared" si="139"/>
        <v>0.85628434255269681</v>
      </c>
      <c r="FR69" s="4">
        <f t="shared" si="140"/>
        <v>0.85508679147695787</v>
      </c>
      <c r="FS69" s="4">
        <f t="shared" si="141"/>
        <v>0.86722508532234843</v>
      </c>
      <c r="FT69" s="38">
        <f t="shared" si="142"/>
        <v>0.80773955138497444</v>
      </c>
      <c r="FU69" s="38">
        <f t="shared" si="143"/>
        <v>0.80046652298116383</v>
      </c>
      <c r="FV69" s="38">
        <f t="shared" si="144"/>
        <v>0.82788208076082759</v>
      </c>
      <c r="FW69" s="38">
        <f t="shared" si="145"/>
        <v>0.81521291844167099</v>
      </c>
      <c r="FX69" s="38">
        <f t="shared" si="146"/>
        <v>0.81354888751277221</v>
      </c>
      <c r="FY69" s="38">
        <f t="shared" si="147"/>
        <v>0.83319604059750862</v>
      </c>
      <c r="FZ69" s="38">
        <f t="shared" si="148"/>
        <v>0.83141548981877755</v>
      </c>
      <c r="GA69" s="38">
        <f t="shared" si="149"/>
        <v>0.84701100054590095</v>
      </c>
    </row>
    <row r="70" spans="1:183" x14ac:dyDescent="0.25">
      <c r="A70" s="1" t="str">
        <f>Data!A70</f>
        <v>NY_UTICA-ONEIDA-CO-AP_725197_TY3A</v>
      </c>
      <c r="B70" s="1" t="str">
        <f>TY3A_REP_CITIES!B70</f>
        <v>Utica</v>
      </c>
      <c r="C70" s="1" t="str">
        <f>TY3A_REP_CITIES!C70</f>
        <v>Oneida</v>
      </c>
      <c r="D70" s="2" t="str">
        <f>TY3A_REP_CITIES!A70</f>
        <v>NY</v>
      </c>
      <c r="E70" s="42">
        <f>TY3A_REP_CITIES!E70</f>
        <v>228671</v>
      </c>
      <c r="F70" s="2">
        <f>TY3A_REP_CITIES!G70</f>
        <v>6</v>
      </c>
      <c r="G70" s="2" t="str">
        <f>TY3A_REP_CITIES!H70</f>
        <v>Cold</v>
      </c>
      <c r="H70" s="2" t="str">
        <f>TY3A_REP_CITIES!I70</f>
        <v>Northeast</v>
      </c>
      <c r="I70" s="2">
        <f>Data!B70</f>
        <v>43.15</v>
      </c>
      <c r="J70" s="2">
        <f>Data!C70</f>
        <v>-75.38</v>
      </c>
      <c r="K70" s="2">
        <f>VLOOKUP(D70,Table1[],2,FALSE)</f>
        <v>0.9</v>
      </c>
      <c r="L70" s="2">
        <v>0.5</v>
      </c>
      <c r="M70" s="10">
        <f>Data!N70</f>
        <v>5328.0110100000002</v>
      </c>
      <c r="N70" s="10">
        <f>Data!Q70</f>
        <v>29308</v>
      </c>
      <c r="O70" s="10">
        <f>Data!O70</f>
        <v>51586241507.610802</v>
      </c>
      <c r="P70" s="10">
        <f>Data!P70</f>
        <v>53735668237.094673</v>
      </c>
      <c r="Q70" s="10">
        <f>Data!S70*15</f>
        <v>40544.312823818123</v>
      </c>
      <c r="R70" s="48">
        <f>SUM(Data!U70:AA70)*2+Data!AB70</f>
        <v>180.77605905703552</v>
      </c>
      <c r="S70" s="48">
        <f>SUM(Data!V70:AB70)*2+Data!AC70</f>
        <v>189.46657608351987</v>
      </c>
      <c r="T70" s="48">
        <f>SUM(Data!W70:AC70)*2+Data!AD70</f>
        <v>166.38547725652467</v>
      </c>
      <c r="U70" s="48">
        <f>SUM(Data!X70:AD70)*2+Data!AE70</f>
        <v>178.67822529544966</v>
      </c>
      <c r="V70" s="48">
        <f>SUM(Data!Y70:AE70)*2+Data!AF70</f>
        <v>182.41056701811453</v>
      </c>
      <c r="W70" s="48">
        <f>SUM(Data!Z70:AF70)*2+Data!AG70</f>
        <v>164.53217433591712</v>
      </c>
      <c r="X70" s="48">
        <f>SUM(Data!AA70:AG70)*2+Data!AH70</f>
        <v>165.87144472842581</v>
      </c>
      <c r="Y70" s="48">
        <f>SUM(Data!AB70:AH70)*2+Data!AI70</f>
        <v>149.69686599730224</v>
      </c>
      <c r="Z70" s="80">
        <f>(SUM(Data!CS70:CY70)*2+Data!CZ70)/('Useful Constants'!$B$1*1000000)*$K70/100</f>
        <v>0.44186820382704278</v>
      </c>
      <c r="AA70" s="80">
        <f>(SUM(Data!CT70:CZ70)*2+Data!DA70)/('Useful Constants'!$B$1*1000000)*$K70/100</f>
        <v>0.37803176444889458</v>
      </c>
      <c r="AB70" s="80">
        <f>(SUM(Data!CU70:DA70)*2+Data!DB70)/('Useful Constants'!$B$1*1000000)*$K70/100</f>
        <v>0.33648092604884383</v>
      </c>
      <c r="AC70" s="80">
        <f>(SUM(Data!CV70:DB70)*2+Data!DC70)/('Useful Constants'!$B$1*1000000)*$K70/100</f>
        <v>0.30672389520499604</v>
      </c>
      <c r="AD70" s="80">
        <f>(SUM(Data!CW70:DC70)*2+Data!DD70)/('Useful Constants'!$B$1*1000000)*$K70/100</f>
        <v>0.2925885050509115</v>
      </c>
      <c r="AE70" s="80">
        <f>(SUM(Data!CX70:DD70)*2+Data!DE70)/('Useful Constants'!$B$1*1000000)*$K70/100</f>
        <v>0.28472927323961666</v>
      </c>
      <c r="AF70" s="80">
        <f>(SUM(Data!CY70:DE70)*2+Data!DF70)/('Useful Constants'!$B$1*1000000)*$K70/100</f>
        <v>0.28026136509880484</v>
      </c>
      <c r="AG70" s="80">
        <f>(SUM(Data!CZ70:DF70)*2+Data!DG70)/('Useful Constants'!$B$1*1000000)*$K70/100</f>
        <v>0.28293164746189353</v>
      </c>
      <c r="AH70" s="48">
        <f>Z70*'Useful Constants'!$B$3</f>
        <v>37.116929121471593</v>
      </c>
      <c r="AI70" s="48">
        <f>AA70*'Useful Constants'!$B$3</f>
        <v>31.754668213707145</v>
      </c>
      <c r="AJ70" s="48">
        <f>AB70*'Useful Constants'!$B$3</f>
        <v>28.264397788102883</v>
      </c>
      <c r="AK70" s="48">
        <f>AC70*'Useful Constants'!$B$3</f>
        <v>25.764807197219668</v>
      </c>
      <c r="AL70" s="48">
        <f>AD70*'Useful Constants'!$B$3</f>
        <v>24.577434424276564</v>
      </c>
      <c r="AM70" s="48">
        <f>AE70*'Useful Constants'!$B$3</f>
        <v>23.917258952127799</v>
      </c>
      <c r="AN70" s="48">
        <f>AF70*'Useful Constants'!$B$3</f>
        <v>23.541954668299606</v>
      </c>
      <c r="AO70" s="48">
        <f>AG70*'Useful Constants'!$B$3</f>
        <v>23.766258386799056</v>
      </c>
      <c r="AP70" s="10">
        <f>Z70*'Useful Constants'!$B$4</f>
        <v>12.372309707157198</v>
      </c>
      <c r="AQ70" s="10">
        <f>AA70*'Useful Constants'!$B$4</f>
        <v>10.584889404569049</v>
      </c>
      <c r="AR70" s="10">
        <f>AB70*'Useful Constants'!$B$4</f>
        <v>9.4214659293676277</v>
      </c>
      <c r="AS70" s="10">
        <f>AC70*'Useful Constants'!$B$4</f>
        <v>8.5882690657398886</v>
      </c>
      <c r="AT70" s="10">
        <f>AD70*'Useful Constants'!$B$4</f>
        <v>8.1924781414255214</v>
      </c>
      <c r="AU70" s="10">
        <f>AE70*'Useful Constants'!$B$4</f>
        <v>7.9724196507092664</v>
      </c>
      <c r="AV70" s="10">
        <f>AF70*'Useful Constants'!$B$4</f>
        <v>7.8473182227665355</v>
      </c>
      <c r="AW70" s="10">
        <f>AG70*'Useful Constants'!$B$4</f>
        <v>7.9220861289330191</v>
      </c>
      <c r="AX70" s="48">
        <f>P70/1000000/'Useful Constants'!$B$1*K70/100*'Useful Constants'!$B$3*15</f>
        <v>12187.249556173072</v>
      </c>
      <c r="AY70" s="48">
        <f>P70/1000000/'Useful Constants'!$B$1*L70/100*'Useful Constants'!$B$3*15</f>
        <v>6770.6941978739287</v>
      </c>
      <c r="AZ70" s="48">
        <f>P70/1000000/'Useful Constants'!$B$1*K70/100*'Useful Constants'!$B$4*15</f>
        <v>4062.4165187243575</v>
      </c>
      <c r="BA70" s="48">
        <f>P70/1000000/'Useful Constants'!$B$1*L70/100*'Useful Constants'!$B$4*15</f>
        <v>2256.8980659579761</v>
      </c>
      <c r="BB70" s="7">
        <f>Data!AN70</f>
        <v>5328.0110100000002</v>
      </c>
      <c r="BC70" s="7">
        <f>Data!AQ70</f>
        <v>5328.0110100000002</v>
      </c>
      <c r="BD70" s="7">
        <f>Data!AT70</f>
        <v>8895.0634699999991</v>
      </c>
      <c r="BE70" s="6">
        <f>Data!AO70</f>
        <v>43514006737.879501</v>
      </c>
      <c r="BF70" s="6">
        <f>Data!AP70</f>
        <v>15927626282.3696</v>
      </c>
      <c r="BG70" s="6">
        <f>Data!AR70</f>
        <v>5996469882.0040798</v>
      </c>
      <c r="BH70" s="6">
        <f>Data!AS70</f>
        <v>5996469882.0040798</v>
      </c>
      <c r="BI70" s="8">
        <f t="shared" si="100"/>
        <v>0.87888482819420333</v>
      </c>
      <c r="BJ70" s="8">
        <f t="shared" si="101"/>
        <v>0.7264895283688706</v>
      </c>
      <c r="BK70" s="13">
        <f>BB70*'Useful Constants'!$B$5/'Useful Constants'!$B$6*'Useful Constants'!$B$7</f>
        <v>1.363438017459</v>
      </c>
      <c r="BL70" s="52">
        <f>1-VLOOKUP($G70,'Useful Constants'!$A$17:$X$23,10,FALSE)</f>
        <v>6.6471999999999865E-2</v>
      </c>
      <c r="BM70" s="52">
        <f>1-VLOOKUP($G70,'Useful Constants'!$A$17:$X$23,12,FALSE)</f>
        <v>4.945672000000001E-2</v>
      </c>
      <c r="BN70" s="52">
        <f>1-VLOOKUP($G70,'Useful Constants'!$A$17:$X$23,14,FALSE)</f>
        <v>3.4455679999999989E-2</v>
      </c>
      <c r="BO70" s="52">
        <f>1-VLOOKUP($G70,'Useful Constants'!$A$17:$X$23,16,FALSE)</f>
        <v>2.1468880000000024E-2</v>
      </c>
      <c r="BP70" s="52">
        <f>1-VLOOKUP($G70,'Useful Constants'!$A$17:$X$23,18,FALSE)</f>
        <v>0</v>
      </c>
      <c r="BQ70" s="52">
        <f>1-VLOOKUP($G70,'Useful Constants'!$A$17:$X$23,20, FALSE)</f>
        <v>0</v>
      </c>
      <c r="BR70" s="52">
        <f>1-VLOOKUP($G70,'Useful Constants'!$A$17:$X$23,22, FALSE)</f>
        <v>0</v>
      </c>
      <c r="BS70" s="52">
        <f>1-VLOOKUP($G70,'Useful Constants'!$A$17:$X$23,24, FALSE)</f>
        <v>0</v>
      </c>
      <c r="BT70" s="13">
        <f t="shared" si="102"/>
        <v>9.0630451896534459E-2</v>
      </c>
      <c r="BU70" s="13">
        <f t="shared" si="103"/>
        <v>6.7431172266824879E-2</v>
      </c>
      <c r="BV70" s="13">
        <f t="shared" si="104"/>
        <v>4.6978184029401703E-2</v>
      </c>
      <c r="BW70" s="13">
        <f t="shared" si="105"/>
        <v>2.9271487184265206E-2</v>
      </c>
      <c r="BX70" s="13">
        <f t="shared" si="106"/>
        <v>0</v>
      </c>
      <c r="BY70" s="13">
        <f t="shared" si="107"/>
        <v>0</v>
      </c>
      <c r="BZ70" s="13">
        <f t="shared" si="108"/>
        <v>0</v>
      </c>
      <c r="CA70" s="13">
        <f t="shared" si="109"/>
        <v>0</v>
      </c>
      <c r="CB70" s="59">
        <f>+SUM(Data!BM70:BS70)*2+Data!BT70</f>
        <v>1041.6699502838856</v>
      </c>
      <c r="CC70" s="59">
        <f>+SUM(Data!BN70:BT70)*2+Data!BU70</f>
        <v>1091.3346757053873</v>
      </c>
      <c r="CD70" s="59">
        <f>+SUM(Data!BO70:BU70)*2+Data!BV70</f>
        <v>958.20508057539803</v>
      </c>
      <c r="CE70" s="59">
        <f>+SUM(Data!BP70:BV70)*2+Data!BW70</f>
        <v>1029.9510124590527</v>
      </c>
      <c r="CF70" s="59">
        <f>+SUM(Data!BQ70:BW70)*2+Data!BX70</f>
        <v>1051.9723002512476</v>
      </c>
      <c r="CG70" s="59">
        <f>+SUM(Data!BR70:BX70)*2+Data!BY70</f>
        <v>948.20003763695331</v>
      </c>
      <c r="CH70" s="59">
        <f>+SUM(Data!BS70:BY70)*2+Data!BZ70</f>
        <v>955.9428786772562</v>
      </c>
      <c r="CI70" s="59">
        <f>+SUM(Data!BT70:BZ70)*2+Data!CA70</f>
        <v>862.81566960546434</v>
      </c>
      <c r="CJ70" s="13">
        <f>+SUM(Data!AW70:BC70)*2+Data!BD70</f>
        <v>6219.3900703063282</v>
      </c>
      <c r="CK70" s="13">
        <f>+SUM(Data!AX70:BD70)*2+Data!BE70</f>
        <v>6515.4859544395658</v>
      </c>
      <c r="CL70" s="13">
        <f>+SUM(Data!AY70:BE70)*2+Data!BF70</f>
        <v>5707.0093061931893</v>
      </c>
      <c r="CM70" s="13">
        <f>+SUM(Data!AZ70:BF70)*2+Data!BG70</f>
        <v>6143.9511288164613</v>
      </c>
      <c r="CN70" s="13">
        <f>+SUM(Data!BA70:BG70)*2+Data!BH70</f>
        <v>6257.8890809915447</v>
      </c>
      <c r="CO70" s="13">
        <f>+SUM(Data!BB70:BH70)*2+Data!BI70</f>
        <v>5635.129562060717</v>
      </c>
      <c r="CP70" s="13">
        <f>+SUM(Data!BC70:BI70)*2+Data!BJ70</f>
        <v>5683.0123053108782</v>
      </c>
      <c r="CQ70" s="13">
        <f>+SUM(Data!BD70:BJ70)*2+Data!BK70</f>
        <v>5125.5532265970014</v>
      </c>
      <c r="CR70" s="59">
        <f>+SUM(Data!CC70:CI70)*2+Data!CJ70</f>
        <v>2278.5499262671624</v>
      </c>
      <c r="CS70" s="59">
        <f>+SUM(Data!CD70:CJ70)*2+Data!CK70</f>
        <v>2372.6344949210929</v>
      </c>
      <c r="CT70" s="59">
        <f>+SUM(Data!CE70:CK70)*2+Data!CL70</f>
        <v>2080.1006264397301</v>
      </c>
      <c r="CU70" s="59">
        <f>+SUM(Data!CF70:CL70)*2+Data!CM70</f>
        <v>2249.0699347069758</v>
      </c>
      <c r="CV70" s="59">
        <f>+SUM(Data!CG70:CM70)*2+Data!CN70</f>
        <v>2275.1847420465342</v>
      </c>
      <c r="CW70" s="59">
        <f>+SUM(Data!CH70:CN70)*2+Data!CO70</f>
        <v>2074.5707231821088</v>
      </c>
      <c r="CX70" s="59">
        <f>+SUM(Data!CI70:CO70)*2+Data!CP70</f>
        <v>2095.9128071273099</v>
      </c>
      <c r="CY70" s="59">
        <f>+SUM(Data!CJ70:CP70)*2+Data!CQ70</f>
        <v>1862.4678439937163</v>
      </c>
      <c r="CZ70" s="60">
        <f t="shared" si="110"/>
        <v>9539.6099468573757</v>
      </c>
      <c r="DA70" s="60">
        <f t="shared" si="111"/>
        <v>9979.4551250660461</v>
      </c>
      <c r="DB70" s="60">
        <f t="shared" si="112"/>
        <v>8745.3150132083174</v>
      </c>
      <c r="DC70" s="60">
        <f t="shared" si="113"/>
        <v>9422.9720759824886</v>
      </c>
      <c r="DD70" s="60">
        <f t="shared" si="114"/>
        <v>9585.0461232893267</v>
      </c>
      <c r="DE70" s="60">
        <f t="shared" si="115"/>
        <v>8657.9003228797792</v>
      </c>
      <c r="DF70" s="60">
        <f t="shared" si="116"/>
        <v>8734.8679911154431</v>
      </c>
      <c r="DG70" s="60">
        <f t="shared" si="117"/>
        <v>7850.8367401961823</v>
      </c>
      <c r="DH70" s="13">
        <f t="shared" si="118"/>
        <v>9.318374586390013E-2</v>
      </c>
      <c r="DI70" s="13">
        <f t="shared" si="119"/>
        <v>6.9330882593303583E-2</v>
      </c>
      <c r="DJ70" s="13">
        <f t="shared" si="120"/>
        <v>4.8301680838366105E-2</v>
      </c>
      <c r="DK70" s="13">
        <f t="shared" si="121"/>
        <v>3.0096140599087946E-2</v>
      </c>
      <c r="DL70" s="13">
        <f t="shared" si="122"/>
        <v>0</v>
      </c>
      <c r="DM70" s="13">
        <f t="shared" si="123"/>
        <v>0</v>
      </c>
      <c r="DN70" s="13">
        <f t="shared" si="124"/>
        <v>0</v>
      </c>
      <c r="DO70" s="13">
        <f t="shared" si="125"/>
        <v>0</v>
      </c>
      <c r="DP70" s="50">
        <f>DH70*'Useful Constants'!$B$8</f>
        <v>396.96275738021455</v>
      </c>
      <c r="DQ70" s="50">
        <f>DI70*'Useful Constants'!$B$8</f>
        <v>295.34955984747324</v>
      </c>
      <c r="DR70" s="50">
        <f>DJ70*'Useful Constants'!$B$10</f>
        <v>117.37308443722964</v>
      </c>
      <c r="DS70" s="50">
        <f>DK70*'Useful Constants'!$B$10</f>
        <v>73.133621655783713</v>
      </c>
      <c r="DT70" s="50">
        <f>DL70*'Useful Constants'!$B$10</f>
        <v>0</v>
      </c>
      <c r="DU70" s="50">
        <f>DM70*'Useful Constants'!$B$10</f>
        <v>0</v>
      </c>
      <c r="DV70" s="50">
        <f>DN70*'Useful Constants'!$B$10</f>
        <v>0</v>
      </c>
      <c r="DW70" s="50">
        <f>DO70*'Useful Constants'!$B$10</f>
        <v>0</v>
      </c>
      <c r="DX70" s="14">
        <f>DH70*'Useful Constants'!$B$9</f>
        <v>179.28552704214385</v>
      </c>
      <c r="DY70" s="14">
        <f>DI70*'Useful Constants'!$B$9</f>
        <v>133.39261810951609</v>
      </c>
      <c r="DZ70" s="14">
        <f>DJ70*'Useful Constants'!$B$11</f>
        <v>32.700237927573852</v>
      </c>
      <c r="EA70" s="14">
        <f>DK70*'Useful Constants'!$B$11</f>
        <v>20.37508718558254</v>
      </c>
      <c r="EB70" s="14">
        <f>DL70*'Useful Constants'!$B$11</f>
        <v>0</v>
      </c>
      <c r="EC70" s="14">
        <f>DM70*'Useful Constants'!$B$11</f>
        <v>0</v>
      </c>
      <c r="ED70" s="14">
        <f>DN70*'Useful Constants'!$B$11</f>
        <v>0</v>
      </c>
      <c r="EE70" s="14">
        <f>DO70*'Useful Constants'!$B$11</f>
        <v>0</v>
      </c>
      <c r="EF70" s="78">
        <f>(SUM(Data!DI70:DO70)*2+Data!DP70)/('Useful Constants'!$B$1*1000000)*$K70/100</f>
        <v>23.430567885937215</v>
      </c>
      <c r="EG70" s="78">
        <f>(SUM(Data!DJ70:DP70)*2+Data!DQ70)/('Useful Constants'!$B$1*1000000)*$K70/100</f>
        <v>20.099404712203587</v>
      </c>
      <c r="EH70" s="78">
        <f>(SUM(Data!DK70:DQ70)*2+Data!DR70)/('Useful Constants'!$B$1*1000000)*$K70/100</f>
        <v>17.896859940207641</v>
      </c>
      <c r="EI70" s="78">
        <f>(SUM(Data!DL70:DR70)*2+Data!DS70)/('Useful Constants'!$B$1*1000000)*$K70/100</f>
        <v>16.334330069973618</v>
      </c>
      <c r="EJ70" s="78">
        <f>(SUM(Data!DM70:DS70)*2+Data!DT70)/('Useful Constants'!$B$1*1000000)*$K70/100</f>
        <v>15.622295260779675</v>
      </c>
      <c r="EK70" s="78">
        <f>(SUM(Data!DN70:DT70)*2+Data!DU70)/('Useful Constants'!$B$1*1000000)*$K70/100</f>
        <v>15.185517650407773</v>
      </c>
      <c r="EL70" s="78">
        <f>(SUM(Data!DO70:DU70)*2+Data!DV70)/('Useful Constants'!$B$1*1000000)*$K70/100</f>
        <v>14.950035741947268</v>
      </c>
      <c r="EM70" s="78">
        <f>(SUM(Data!DP70:DV70)*2+Data!DW70)/('Useful Constants'!$B$1*1000000)*$K70/100</f>
        <v>15.080975299703891</v>
      </c>
      <c r="EN70" s="79">
        <f>EF70*'Useful Constants'!$B$3</f>
        <v>1968.1677024187261</v>
      </c>
      <c r="EO70" s="79">
        <f>EG70*'Useful Constants'!$B$3</f>
        <v>1688.3499958251014</v>
      </c>
      <c r="EP70" s="79">
        <f>EH70*'Useful Constants'!$B$3</f>
        <v>1503.3362349774418</v>
      </c>
      <c r="EQ70" s="79">
        <f>EI70*'Useful Constants'!$B$3</f>
        <v>1372.0837258777838</v>
      </c>
      <c r="ER70" s="79">
        <f>EJ70*'Useful Constants'!$B$3</f>
        <v>1312.2728019054928</v>
      </c>
      <c r="ES70" s="79">
        <f>EK70*'Useful Constants'!$B$3</f>
        <v>1275.583482634253</v>
      </c>
      <c r="ET70" s="79">
        <f>EL70*'Useful Constants'!$B$3</f>
        <v>1255.8030023235706</v>
      </c>
      <c r="EU70" s="79">
        <f>EM70*'Useful Constants'!$B$3</f>
        <v>1266.8019251751268</v>
      </c>
      <c r="EV70" s="78">
        <f>EF70*'Useful Constants'!$B$4</f>
        <v>656.05590080624199</v>
      </c>
      <c r="EW70" s="78">
        <f>EG70*'Useful Constants'!$B$4</f>
        <v>562.78333194170045</v>
      </c>
      <c r="EX70" s="78">
        <f>EH70*'Useful Constants'!$B$4</f>
        <v>501.11207832581397</v>
      </c>
      <c r="EY70" s="78">
        <f>EI70*'Useful Constants'!$B$4</f>
        <v>457.36124195926129</v>
      </c>
      <c r="EZ70" s="78">
        <f>EJ70*'Useful Constants'!$B$4</f>
        <v>437.42426730183087</v>
      </c>
      <c r="FA70" s="78">
        <f>EK70*'Useful Constants'!$B$4</f>
        <v>425.19449421141763</v>
      </c>
      <c r="FB70" s="78">
        <f>EL70*'Useful Constants'!$B$4</f>
        <v>418.60100077452353</v>
      </c>
      <c r="FC70" s="78">
        <f>EM70*'Useful Constants'!$B$4</f>
        <v>422.26730839170892</v>
      </c>
      <c r="FD70" s="40">
        <f t="shared" si="126"/>
        <v>0.76575594532664681</v>
      </c>
      <c r="FE70" s="40">
        <f t="shared" si="127"/>
        <v>0.75500787621268106</v>
      </c>
      <c r="FF70" s="40">
        <f t="shared" si="128"/>
        <v>0.7851838612904003</v>
      </c>
      <c r="FG70" s="40">
        <f t="shared" si="129"/>
        <v>0.768608055714326</v>
      </c>
      <c r="FH70" s="40">
        <f t="shared" si="130"/>
        <v>0.76464971092061818</v>
      </c>
      <c r="FI70" s="40">
        <f t="shared" si="131"/>
        <v>0.7873213960437252</v>
      </c>
      <c r="FJ70" s="40">
        <f t="shared" si="132"/>
        <v>0.78543776826222411</v>
      </c>
      <c r="FK70" s="40">
        <f t="shared" si="133"/>
        <v>0.8070763534967893</v>
      </c>
      <c r="FL70" s="4">
        <f t="shared" si="134"/>
        <v>0.80065789363954887</v>
      </c>
      <c r="FM70" s="4">
        <f t="shared" si="135"/>
        <v>0.79969092362033711</v>
      </c>
      <c r="FN70" s="4">
        <f t="shared" si="136"/>
        <v>0.82635575361346503</v>
      </c>
      <c r="FO70" s="4">
        <f t="shared" si="137"/>
        <v>0.81797370321184759</v>
      </c>
      <c r="FP70" s="4">
        <f t="shared" si="138"/>
        <v>0.8174936058566159</v>
      </c>
      <c r="FQ70" s="4">
        <f t="shared" si="139"/>
        <v>0.83358407917544208</v>
      </c>
      <c r="FR70" s="4">
        <f t="shared" si="140"/>
        <v>0.83262872361847595</v>
      </c>
      <c r="FS70" s="4">
        <f t="shared" si="141"/>
        <v>0.84721359522995976</v>
      </c>
      <c r="FT70" s="38">
        <f t="shared" si="142"/>
        <v>0.77952268927616597</v>
      </c>
      <c r="FU70" s="38">
        <f t="shared" si="143"/>
        <v>0.77316624346981211</v>
      </c>
      <c r="FV70" s="38">
        <f t="shared" si="144"/>
        <v>0.80273726805286183</v>
      </c>
      <c r="FW70" s="38">
        <f t="shared" si="145"/>
        <v>0.78957448873197345</v>
      </c>
      <c r="FX70" s="38">
        <f t="shared" si="146"/>
        <v>0.78700171495820126</v>
      </c>
      <c r="FY70" s="38">
        <f t="shared" si="147"/>
        <v>0.80689111901014909</v>
      </c>
      <c r="FZ70" s="38">
        <f t="shared" si="148"/>
        <v>0.80539996966398841</v>
      </c>
      <c r="GA70" s="38">
        <f t="shared" si="149"/>
        <v>0.82405604510910224</v>
      </c>
    </row>
    <row r="71" spans="1:183" x14ac:dyDescent="0.25">
      <c r="A71" s="1" t="str">
        <f>Data!A71</f>
        <v>OH_CINCINNATI-MUNI-AP-LUNKI_724297_TY3A</v>
      </c>
      <c r="B71" s="1" t="str">
        <f>TY3A_REP_CITIES!B71</f>
        <v>Cincinnati</v>
      </c>
      <c r="C71" s="1" t="str">
        <f>TY3A_REP_CITIES!C71</f>
        <v>Hamilton</v>
      </c>
      <c r="D71" s="2" t="str">
        <f>TY3A_REP_CITIES!A71</f>
        <v>OH</v>
      </c>
      <c r="E71" s="42">
        <f>TY3A_REP_CITIES!E71</f>
        <v>817473</v>
      </c>
      <c r="F71" s="2">
        <f>TY3A_REP_CITIES!G71</f>
        <v>4</v>
      </c>
      <c r="G71" s="2" t="str">
        <f>TY3A_REP_CITIES!H71</f>
        <v>Mixed-Humid</v>
      </c>
      <c r="H71" s="2" t="str">
        <f>TY3A_REP_CITIES!I71</f>
        <v>Midwest</v>
      </c>
      <c r="I71" s="2">
        <f>Data!B71</f>
        <v>39.1</v>
      </c>
      <c r="J71" s="2">
        <f>Data!C71</f>
        <v>-84.42</v>
      </c>
      <c r="K71" s="2">
        <f>VLOOKUP(D71,Table1[],2,FALSE)</f>
        <v>0.9</v>
      </c>
      <c r="L71" s="2">
        <v>0.5</v>
      </c>
      <c r="M71" s="10">
        <f>Data!N71</f>
        <v>4765.8524500000003</v>
      </c>
      <c r="N71" s="10">
        <f>Data!Q71</f>
        <v>29308</v>
      </c>
      <c r="O71" s="10">
        <f>Data!O71</f>
        <v>31840823825.092201</v>
      </c>
      <c r="P71" s="10">
        <f>Data!P71</f>
        <v>33167524817.804504</v>
      </c>
      <c r="Q71" s="10">
        <f>Data!S71*15</f>
        <v>25025.361104126128</v>
      </c>
      <c r="R71" s="48">
        <f>SUM(Data!U71:AA71)*2+Data!AB71</f>
        <v>437.45664032843058</v>
      </c>
      <c r="S71" s="48">
        <f>SUM(Data!V71:AB71)*2+Data!AC71</f>
        <v>415.33356117530093</v>
      </c>
      <c r="T71" s="48">
        <f>SUM(Data!W71:AC71)*2+Data!AD71</f>
        <v>366.93654544547769</v>
      </c>
      <c r="U71" s="48">
        <f>SUM(Data!X71:AD71)*2+Data!AE71</f>
        <v>330.41862941989814</v>
      </c>
      <c r="V71" s="48">
        <f>SUM(Data!Y71:AE71)*2+Data!AF71</f>
        <v>311.1080239890515</v>
      </c>
      <c r="W71" s="48">
        <f>SUM(Data!Z71:AF71)*2+Data!AG71</f>
        <v>297.91667072003878</v>
      </c>
      <c r="X71" s="48">
        <f>SUM(Data!AA71:AG71)*2+Data!AH71</f>
        <v>273.34931662421269</v>
      </c>
      <c r="Y71" s="48">
        <f>SUM(Data!AB71:AH71)*2+Data!AI71</f>
        <v>249.73326133972711</v>
      </c>
      <c r="Z71" s="80">
        <f>(SUM(Data!CS71:CY71)*2+Data!CZ71)/('Useful Constants'!$B$1*1000000)*$K71/100</f>
        <v>0.58377024013414636</v>
      </c>
      <c r="AA71" s="80">
        <f>(SUM(Data!CT71:CZ71)*2+Data!DA71)/('Useful Constants'!$B$1*1000000)*$K71/100</f>
        <v>0.58302294532378263</v>
      </c>
      <c r="AB71" s="80">
        <f>(SUM(Data!CU71:DA71)*2+Data!DB71)/('Useful Constants'!$B$1*1000000)*$K71/100</f>
        <v>0.58033917427183923</v>
      </c>
      <c r="AC71" s="80">
        <f>(SUM(Data!CV71:DB71)*2+Data!DC71)/('Useful Constants'!$B$1*1000000)*$K71/100</f>
        <v>0.58096496145652454</v>
      </c>
      <c r="AD71" s="80">
        <f>(SUM(Data!CW71:DC71)*2+Data!DD71)/('Useful Constants'!$B$1*1000000)*$K71/100</f>
        <v>0.58572624462122969</v>
      </c>
      <c r="AE71" s="80">
        <f>(SUM(Data!CX71:DD71)*2+Data!DE71)/('Useful Constants'!$B$1*1000000)*$K71/100</f>
        <v>0.590313932010194</v>
      </c>
      <c r="AF71" s="80">
        <f>(SUM(Data!CY71:DE71)*2+Data!DF71)/('Useful Constants'!$B$1*1000000)*$K71/100</f>
        <v>0.58759587275849834</v>
      </c>
      <c r="AG71" s="80">
        <f>(SUM(Data!CZ71:DF71)*2+Data!DG71)/('Useful Constants'!$B$1*1000000)*$K71/100</f>
        <v>0.58373918519284151</v>
      </c>
      <c r="AH71" s="48">
        <f>Z71*'Useful Constants'!$B$3</f>
        <v>49.036700171268294</v>
      </c>
      <c r="AI71" s="48">
        <f>AA71*'Useful Constants'!$B$3</f>
        <v>48.973927407197742</v>
      </c>
      <c r="AJ71" s="48">
        <f>AB71*'Useful Constants'!$B$3</f>
        <v>48.748490638834497</v>
      </c>
      <c r="AK71" s="48">
        <f>AC71*'Useful Constants'!$B$3</f>
        <v>48.801056762348061</v>
      </c>
      <c r="AL71" s="48">
        <f>AD71*'Useful Constants'!$B$3</f>
        <v>49.201004548183292</v>
      </c>
      <c r="AM71" s="48">
        <f>AE71*'Useful Constants'!$B$3</f>
        <v>49.586370288856294</v>
      </c>
      <c r="AN71" s="48">
        <f>AF71*'Useful Constants'!$B$3</f>
        <v>49.35805331171386</v>
      </c>
      <c r="AO71" s="48">
        <f>AG71*'Useful Constants'!$B$3</f>
        <v>49.034091556198689</v>
      </c>
      <c r="AP71" s="10">
        <f>Z71*'Useful Constants'!$B$4</f>
        <v>16.345566723756097</v>
      </c>
      <c r="AQ71" s="10">
        <f>AA71*'Useful Constants'!$B$4</f>
        <v>16.324642469065914</v>
      </c>
      <c r="AR71" s="10">
        <f>AB71*'Useful Constants'!$B$4</f>
        <v>16.249496879611499</v>
      </c>
      <c r="AS71" s="10">
        <f>AC71*'Useful Constants'!$B$4</f>
        <v>16.267018920782686</v>
      </c>
      <c r="AT71" s="10">
        <f>AD71*'Useful Constants'!$B$4</f>
        <v>16.400334849394433</v>
      </c>
      <c r="AU71" s="10">
        <f>AE71*'Useful Constants'!$B$4</f>
        <v>16.528790096285434</v>
      </c>
      <c r="AV71" s="10">
        <f>AF71*'Useful Constants'!$B$4</f>
        <v>16.452684437237952</v>
      </c>
      <c r="AW71" s="10">
        <f>AG71*'Useful Constants'!$B$4</f>
        <v>16.344697185399561</v>
      </c>
      <c r="AX71" s="48">
        <f>P71/1000000/'Useful Constants'!$B$1*K71/100*'Useful Constants'!$B$3*15</f>
        <v>7522.3946286780611</v>
      </c>
      <c r="AY71" s="48">
        <f>P71/1000000/'Useful Constants'!$B$1*L71/100*'Useful Constants'!$B$3*15</f>
        <v>4179.1081270433679</v>
      </c>
      <c r="AZ71" s="48">
        <f>P71/1000000/'Useful Constants'!$B$1*K71/100*'Useful Constants'!$B$4*15</f>
        <v>2507.4648762260208</v>
      </c>
      <c r="BA71" s="48">
        <f>P71/1000000/'Useful Constants'!$B$1*L71/100*'Useful Constants'!$B$4*15</f>
        <v>1393.0360423477894</v>
      </c>
      <c r="BB71" s="7">
        <f>Data!AN71</f>
        <v>4765.8524500000003</v>
      </c>
      <c r="BC71" s="7">
        <f>Data!AQ71</f>
        <v>4765.8524500000003</v>
      </c>
      <c r="BD71" s="7">
        <f>Data!AT71</f>
        <v>7156.0568000000003</v>
      </c>
      <c r="BE71" s="6">
        <f>Data!AO71</f>
        <v>27529797252.059299</v>
      </c>
      <c r="BF71" s="6">
        <f>Data!AP71</f>
        <v>9256393444.5489006</v>
      </c>
      <c r="BG71" s="6">
        <f>Data!AR71</f>
        <v>3065013750.4731202</v>
      </c>
      <c r="BH71" s="6">
        <f>Data!AS71</f>
        <v>3065013750.4731202</v>
      </c>
      <c r="BI71" s="8">
        <f t="shared" si="100"/>
        <v>0.89981916377194093</v>
      </c>
      <c r="BJ71" s="8">
        <f t="shared" si="101"/>
        <v>0.7512448292666265</v>
      </c>
      <c r="BK71" s="13">
        <f>BB71*'Useful Constants'!$B$5/'Useful Constants'!$B$6*'Useful Constants'!$B$7</f>
        <v>1.2195816419550001</v>
      </c>
      <c r="BL71" s="52">
        <f>1-VLOOKUP($G71,'Useful Constants'!$A$17:$X$23,10,FALSE)</f>
        <v>0</v>
      </c>
      <c r="BM71" s="52">
        <f>1-VLOOKUP($G71,'Useful Constants'!$A$17:$X$23,12,FALSE)</f>
        <v>0</v>
      </c>
      <c r="BN71" s="52">
        <f>1-VLOOKUP($G71,'Useful Constants'!$A$17:$X$23,14,FALSE)</f>
        <v>0</v>
      </c>
      <c r="BO71" s="52">
        <f>1-VLOOKUP($G71,'Useful Constants'!$A$17:$X$23,16,FALSE)</f>
        <v>0</v>
      </c>
      <c r="BP71" s="52">
        <f>1-VLOOKUP($G71,'Useful Constants'!$A$17:$X$23,18,FALSE)</f>
        <v>0</v>
      </c>
      <c r="BQ71" s="52">
        <f>1-VLOOKUP($G71,'Useful Constants'!$A$17:$X$23,20, FALSE)</f>
        <v>0</v>
      </c>
      <c r="BR71" s="52">
        <f>1-VLOOKUP($G71,'Useful Constants'!$A$17:$X$23,22, FALSE)</f>
        <v>0</v>
      </c>
      <c r="BS71" s="52">
        <f>1-VLOOKUP($G71,'Useful Constants'!$A$17:$X$23,24, FALSE)</f>
        <v>0</v>
      </c>
      <c r="BT71" s="13">
        <f t="shared" si="102"/>
        <v>0</v>
      </c>
      <c r="BU71" s="13">
        <f t="shared" si="103"/>
        <v>0</v>
      </c>
      <c r="BV71" s="13">
        <f t="shared" si="104"/>
        <v>0</v>
      </c>
      <c r="BW71" s="13">
        <f t="shared" si="105"/>
        <v>0</v>
      </c>
      <c r="BX71" s="13">
        <f t="shared" si="106"/>
        <v>0</v>
      </c>
      <c r="BY71" s="13">
        <f t="shared" si="107"/>
        <v>0</v>
      </c>
      <c r="BZ71" s="13">
        <f t="shared" si="108"/>
        <v>0</v>
      </c>
      <c r="CA71" s="13">
        <f t="shared" si="109"/>
        <v>0</v>
      </c>
      <c r="CB71" s="59">
        <f>+SUM(Data!BM71:BS71)*2+Data!BT71</f>
        <v>2756.0230823696297</v>
      </c>
      <c r="CC71" s="59">
        <f>+SUM(Data!BN71:BT71)*2+Data!BU71</f>
        <v>2616.7418591976825</v>
      </c>
      <c r="CD71" s="59">
        <f>+SUM(Data!BO71:BU71)*2+Data!BV71</f>
        <v>2311.4965358761519</v>
      </c>
      <c r="CE71" s="59">
        <f>+SUM(Data!BP71:BV71)*2+Data!BW71</f>
        <v>2081.5075077252263</v>
      </c>
      <c r="CF71" s="59">
        <f>+SUM(Data!BQ71:BW71)*2+Data!BX71</f>
        <v>1960.2359868192968</v>
      </c>
      <c r="CG71" s="59">
        <f>+SUM(Data!BR71:BX71)*2+Data!BY71</f>
        <v>1878.1878535733292</v>
      </c>
      <c r="CH71" s="59">
        <f>+SUM(Data!BS71:BY71)*2+Data!BZ71</f>
        <v>1723.5907973277413</v>
      </c>
      <c r="CI71" s="59">
        <f>+SUM(Data!BT71:BZ71)*2+Data!CA71</f>
        <v>1574.6303291596369</v>
      </c>
      <c r="CJ71" s="13">
        <f>+SUM(Data!AW71:BC71)*2+Data!BD71</f>
        <v>15909.572077121145</v>
      </c>
      <c r="CK71" s="13">
        <f>+SUM(Data!AX71:BD71)*2+Data!BE71</f>
        <v>15123.608760932544</v>
      </c>
      <c r="CL71" s="13">
        <f>+SUM(Data!AY71:BE71)*2+Data!BF71</f>
        <v>13375.709441574165</v>
      </c>
      <c r="CM71" s="13">
        <f>+SUM(Data!AZ71:BF71)*2+Data!BG71</f>
        <v>12036.088343749625</v>
      </c>
      <c r="CN71" s="13">
        <f>+SUM(Data!BA71:BG71)*2+Data!BH71</f>
        <v>11315.651461152363</v>
      </c>
      <c r="CO71" s="13">
        <f>+SUM(Data!BB71:BH71)*2+Data!BI71</f>
        <v>10831.574500628909</v>
      </c>
      <c r="CP71" s="13">
        <f>+SUM(Data!BC71:BI71)*2+Data!BJ71</f>
        <v>9935.5464403628503</v>
      </c>
      <c r="CQ71" s="13">
        <f>+SUM(Data!BD71:BJ71)*2+Data!BK71</f>
        <v>9072.1025023372604</v>
      </c>
      <c r="CR71" s="59">
        <f>+SUM(Data!CC71:CI71)*2+Data!CJ71</f>
        <v>5454.8278463519919</v>
      </c>
      <c r="CS71" s="59">
        <f>+SUM(Data!CD71:CJ71)*2+Data!CK71</f>
        <v>5164.5358061897014</v>
      </c>
      <c r="CT71" s="59">
        <f>+SUM(Data!CE71:CK71)*2+Data!CL71</f>
        <v>4582.544878090268</v>
      </c>
      <c r="CU71" s="59">
        <f>+SUM(Data!CF71:CL71)*2+Data!CM71</f>
        <v>4137.9836839044201</v>
      </c>
      <c r="CV71" s="59">
        <f>+SUM(Data!CG71:CM71)*2+Data!CN71</f>
        <v>3863.6973379873307</v>
      </c>
      <c r="CW71" s="59">
        <f>+SUM(Data!CH71:CN71)*2+Data!CO71</f>
        <v>3681.9243565070092</v>
      </c>
      <c r="CX71" s="59">
        <f>+SUM(Data!CI71:CO71)*2+Data!CP71</f>
        <v>3371.4910818871881</v>
      </c>
      <c r="CY71" s="59">
        <f>+SUM(Data!CJ71:CP71)*2+Data!CQ71</f>
        <v>3100.7254258534481</v>
      </c>
      <c r="CZ71" s="60">
        <f t="shared" si="110"/>
        <v>24120.423005842767</v>
      </c>
      <c r="DA71" s="60">
        <f t="shared" si="111"/>
        <v>22904.886426319928</v>
      </c>
      <c r="DB71" s="60">
        <f t="shared" si="112"/>
        <v>20269.750855540588</v>
      </c>
      <c r="DC71" s="60">
        <f t="shared" si="113"/>
        <v>18255.579535379271</v>
      </c>
      <c r="DD71" s="60">
        <f t="shared" si="114"/>
        <v>17139.584785958992</v>
      </c>
      <c r="DE71" s="60">
        <f t="shared" si="115"/>
        <v>16391.686710709248</v>
      </c>
      <c r="DF71" s="60">
        <f t="shared" si="116"/>
        <v>15030.62831957778</v>
      </c>
      <c r="DG71" s="60">
        <f t="shared" si="117"/>
        <v>13747.458257350347</v>
      </c>
      <c r="DH71" s="13">
        <f t="shared" si="118"/>
        <v>0</v>
      </c>
      <c r="DI71" s="13">
        <f t="shared" si="119"/>
        <v>0</v>
      </c>
      <c r="DJ71" s="13">
        <f t="shared" si="120"/>
        <v>0</v>
      </c>
      <c r="DK71" s="13">
        <f t="shared" si="121"/>
        <v>0</v>
      </c>
      <c r="DL71" s="13">
        <f t="shared" si="122"/>
        <v>0</v>
      </c>
      <c r="DM71" s="13">
        <f t="shared" si="123"/>
        <v>0</v>
      </c>
      <c r="DN71" s="13">
        <f t="shared" si="124"/>
        <v>0</v>
      </c>
      <c r="DO71" s="13">
        <f t="shared" si="125"/>
        <v>0</v>
      </c>
      <c r="DP71" s="50">
        <f>DH71*'Useful Constants'!$B$8</f>
        <v>0</v>
      </c>
      <c r="DQ71" s="50">
        <f>DI71*'Useful Constants'!$B$8</f>
        <v>0</v>
      </c>
      <c r="DR71" s="50">
        <f>DJ71*'Useful Constants'!$B$10</f>
        <v>0</v>
      </c>
      <c r="DS71" s="50">
        <f>DK71*'Useful Constants'!$B$10</f>
        <v>0</v>
      </c>
      <c r="DT71" s="50">
        <f>DL71*'Useful Constants'!$B$10</f>
        <v>0</v>
      </c>
      <c r="DU71" s="50">
        <f>DM71*'Useful Constants'!$B$10</f>
        <v>0</v>
      </c>
      <c r="DV71" s="50">
        <f>DN71*'Useful Constants'!$B$10</f>
        <v>0</v>
      </c>
      <c r="DW71" s="50">
        <f>DO71*'Useful Constants'!$B$10</f>
        <v>0</v>
      </c>
      <c r="DX71" s="14">
        <f>DH71*'Useful Constants'!$B$9</f>
        <v>0</v>
      </c>
      <c r="DY71" s="14">
        <f>DI71*'Useful Constants'!$B$9</f>
        <v>0</v>
      </c>
      <c r="DZ71" s="14">
        <f>DJ71*'Useful Constants'!$B$11</f>
        <v>0</v>
      </c>
      <c r="EA71" s="14">
        <f>DK71*'Useful Constants'!$B$11</f>
        <v>0</v>
      </c>
      <c r="EB71" s="14">
        <f>DL71*'Useful Constants'!$B$11</f>
        <v>0</v>
      </c>
      <c r="EC71" s="14">
        <f>DM71*'Useful Constants'!$B$11</f>
        <v>0</v>
      </c>
      <c r="ED71" s="14">
        <f>DN71*'Useful Constants'!$B$11</f>
        <v>0</v>
      </c>
      <c r="EE71" s="14">
        <f>DO71*'Useful Constants'!$B$11</f>
        <v>0</v>
      </c>
      <c r="EF71" s="78">
        <f>(SUM(Data!DI71:DO71)*2+Data!DP71)/('Useful Constants'!$B$1*1000000)*$K71/100</f>
        <v>31.651416677634515</v>
      </c>
      <c r="EG71" s="78">
        <f>(SUM(Data!DJ71:DP71)*2+Data!DQ71)/('Useful Constants'!$B$1*1000000)*$K71/100</f>
        <v>31.648195741416334</v>
      </c>
      <c r="EH71" s="78">
        <f>(SUM(Data!DK71:DQ71)*2+Data!DR71)/('Useful Constants'!$B$1*1000000)*$K71/100</f>
        <v>31.602818398482089</v>
      </c>
      <c r="EI71" s="78">
        <f>(SUM(Data!DL71:DR71)*2+Data!DS71)/('Useful Constants'!$B$1*1000000)*$K71/100</f>
        <v>31.685755389149325</v>
      </c>
      <c r="EJ71" s="78">
        <f>(SUM(Data!DM71:DS71)*2+Data!DT71)/('Useful Constants'!$B$1*1000000)*$K71/100</f>
        <v>32.037630989508777</v>
      </c>
      <c r="EK71" s="78">
        <f>(SUM(Data!DN71:DT71)*2+Data!DU71)/('Useful Constants'!$B$1*1000000)*$K71/100</f>
        <v>32.361156892520306</v>
      </c>
      <c r="EL71" s="78">
        <f>(SUM(Data!DO71:DU71)*2+Data!DV71)/('Useful Constants'!$B$1*1000000)*$K71/100</f>
        <v>32.296246137029868</v>
      </c>
      <c r="EM71" s="78">
        <f>(SUM(Data!DP71:DV71)*2+Data!DW71)/('Useful Constants'!$B$1*1000000)*$K71/100</f>
        <v>32.154861495252838</v>
      </c>
      <c r="EN71" s="79">
        <f>EF71*'Useful Constants'!$B$3</f>
        <v>2658.7190009212991</v>
      </c>
      <c r="EO71" s="79">
        <f>EG71*'Useful Constants'!$B$3</f>
        <v>2658.4484422789719</v>
      </c>
      <c r="EP71" s="79">
        <f>EH71*'Useful Constants'!$B$3</f>
        <v>2654.6367454724955</v>
      </c>
      <c r="EQ71" s="79">
        <f>EI71*'Useful Constants'!$B$3</f>
        <v>2661.6034526885433</v>
      </c>
      <c r="ER71" s="79">
        <f>EJ71*'Useful Constants'!$B$3</f>
        <v>2691.1610031187374</v>
      </c>
      <c r="ES71" s="79">
        <f>EK71*'Useful Constants'!$B$3</f>
        <v>2718.3371789717057</v>
      </c>
      <c r="ET71" s="79">
        <f>EL71*'Useful Constants'!$B$3</f>
        <v>2712.8846755105087</v>
      </c>
      <c r="EU71" s="79">
        <f>EM71*'Useful Constants'!$B$3</f>
        <v>2701.0083656012384</v>
      </c>
      <c r="EV71" s="78">
        <f>EF71*'Useful Constants'!$B$4</f>
        <v>886.23966697376636</v>
      </c>
      <c r="EW71" s="78">
        <f>EG71*'Useful Constants'!$B$4</f>
        <v>886.14948075965731</v>
      </c>
      <c r="EX71" s="78">
        <f>EH71*'Useful Constants'!$B$4</f>
        <v>884.87891515749845</v>
      </c>
      <c r="EY71" s="78">
        <f>EI71*'Useful Constants'!$B$4</f>
        <v>887.20115089618105</v>
      </c>
      <c r="EZ71" s="78">
        <f>EJ71*'Useful Constants'!$B$4</f>
        <v>897.05366770624573</v>
      </c>
      <c r="FA71" s="78">
        <f>EK71*'Useful Constants'!$B$4</f>
        <v>906.11239299056854</v>
      </c>
      <c r="FB71" s="78">
        <f>EL71*'Useful Constants'!$B$4</f>
        <v>904.29489183683631</v>
      </c>
      <c r="FC71" s="78">
        <f>EM71*'Useful Constants'!$B$4</f>
        <v>900.33612186707944</v>
      </c>
      <c r="FD71" s="40">
        <f t="shared" si="126"/>
        <v>5.2719803129570975E-2</v>
      </c>
      <c r="FE71" s="40">
        <f t="shared" si="127"/>
        <v>9.9675275079657788E-2</v>
      </c>
      <c r="FF71" s="40">
        <f t="shared" si="128"/>
        <v>0.20173624556253741</v>
      </c>
      <c r="FG71" s="40">
        <f t="shared" si="129"/>
        <v>0.28002294832894054</v>
      </c>
      <c r="FH71" s="40">
        <f t="shared" si="130"/>
        <v>0.3235211781368672</v>
      </c>
      <c r="FI71" s="40">
        <f t="shared" si="131"/>
        <v>0.35270280346601679</v>
      </c>
      <c r="FJ71" s="40">
        <f t="shared" si="132"/>
        <v>0.40587373547509137</v>
      </c>
      <c r="FK71" s="40">
        <f t="shared" si="133"/>
        <v>0.45608676831949141</v>
      </c>
      <c r="FL71" s="4">
        <f t="shared" si="134"/>
        <v>0.28038897800615059</v>
      </c>
      <c r="FM71" s="4">
        <f t="shared" si="135"/>
        <v>0.31265045058393959</v>
      </c>
      <c r="FN71" s="4">
        <f t="shared" si="136"/>
        <v>0.38279982708661292</v>
      </c>
      <c r="FO71" s="4">
        <f t="shared" si="137"/>
        <v>0.43628696458573396</v>
      </c>
      <c r="FP71" s="4">
        <f t="shared" si="138"/>
        <v>0.46529367852440284</v>
      </c>
      <c r="FQ71" s="4">
        <f t="shared" si="139"/>
        <v>0.48454888142029223</v>
      </c>
      <c r="FR71" s="4">
        <f t="shared" si="140"/>
        <v>0.52108722432866916</v>
      </c>
      <c r="FS71" s="4">
        <f t="shared" si="141"/>
        <v>0.55575459258368154</v>
      </c>
      <c r="FT71" s="38">
        <f t="shared" si="142"/>
        <v>0.14884450423729323</v>
      </c>
      <c r="FU71" s="38">
        <f t="shared" si="143"/>
        <v>0.18961016721942253</v>
      </c>
      <c r="FV71" s="38">
        <f t="shared" si="144"/>
        <v>0.27822187456363501</v>
      </c>
      <c r="FW71" s="38">
        <f t="shared" si="145"/>
        <v>0.34605006365013335</v>
      </c>
      <c r="FX71" s="38">
        <f t="shared" si="146"/>
        <v>0.38343383280553395</v>
      </c>
      <c r="FY71" s="38">
        <f t="shared" si="147"/>
        <v>0.40842622419578994</v>
      </c>
      <c r="FZ71" s="38">
        <f t="shared" si="148"/>
        <v>0.45457603844107103</v>
      </c>
      <c r="GA71" s="38">
        <f t="shared" si="149"/>
        <v>0.49822470213907594</v>
      </c>
    </row>
    <row r="72" spans="1:183" x14ac:dyDescent="0.25">
      <c r="A72" s="1" t="str">
        <f>Data!A72</f>
        <v>OH_COLUMBUS-PORT-COLUMBUS-IAP_724280_TY3A</v>
      </c>
      <c r="B72" s="1" t="str">
        <f>TY3A_REP_CITIES!B72</f>
        <v>Columbus</v>
      </c>
      <c r="C72" s="1" t="str">
        <f>TY3A_REP_CITIES!C72</f>
        <v>Franklin</v>
      </c>
      <c r="D72" s="2" t="str">
        <f>TY3A_REP_CITIES!A72</f>
        <v>OH</v>
      </c>
      <c r="E72" s="42">
        <f>TY3A_REP_CITIES!E72</f>
        <v>1316756</v>
      </c>
      <c r="F72" s="2">
        <f>TY3A_REP_CITIES!G72</f>
        <v>5</v>
      </c>
      <c r="G72" s="2" t="str">
        <f>TY3A_REP_CITIES!H72</f>
        <v>Cold</v>
      </c>
      <c r="H72" s="2" t="str">
        <f>TY3A_REP_CITIES!I72</f>
        <v>Midwest</v>
      </c>
      <c r="I72" s="2">
        <f>Data!B72</f>
        <v>39.979999999999997</v>
      </c>
      <c r="J72" s="2">
        <f>Data!C72</f>
        <v>-82.88</v>
      </c>
      <c r="K72" s="2">
        <f>VLOOKUP(D72,Table1[],2,FALSE)</f>
        <v>0.9</v>
      </c>
      <c r="L72" s="2">
        <v>0.5</v>
      </c>
      <c r="M72" s="10">
        <f>Data!N72</f>
        <v>4746.7687299999998</v>
      </c>
      <c r="N72" s="10">
        <f>Data!Q72</f>
        <v>29308</v>
      </c>
      <c r="O72" s="10">
        <f>Data!O72</f>
        <v>44715047052.8302</v>
      </c>
      <c r="P72" s="10">
        <f>Data!P72</f>
        <v>46578174013.364838</v>
      </c>
      <c r="Q72" s="10">
        <f>Data!S72*15</f>
        <v>35143.883381661377</v>
      </c>
      <c r="R72" s="48">
        <f>SUM(Data!U72:AA72)*2+Data!AB72</f>
        <v>626.02452698989771</v>
      </c>
      <c r="S72" s="48">
        <f>SUM(Data!V72:AB72)*2+Data!AC72</f>
        <v>594.70400692466569</v>
      </c>
      <c r="T72" s="48">
        <f>SUM(Data!W72:AC72)*2+Data!AD72</f>
        <v>527.35299828541713</v>
      </c>
      <c r="U72" s="48">
        <f>SUM(Data!X72:AD72)*2+Data!AE72</f>
        <v>475.75056888262731</v>
      </c>
      <c r="V72" s="48">
        <f>SUM(Data!Y72:AE72)*2+Data!AF72</f>
        <v>448.37354354533193</v>
      </c>
      <c r="W72" s="48">
        <f>SUM(Data!Z72:AF72)*2+Data!AG72</f>
        <v>430.17114849905511</v>
      </c>
      <c r="X72" s="48">
        <f>SUM(Data!AA72:AG72)*2+Data!AH72</f>
        <v>394.60880493434195</v>
      </c>
      <c r="Y72" s="48">
        <f>SUM(Data!AB72:AH72)*2+Data!AI72</f>
        <v>360.04765803789559</v>
      </c>
      <c r="Z72" s="80">
        <f>(SUM(Data!CS72:CY72)*2+Data!CZ72)/('Useful Constants'!$B$1*1000000)*$K72/100</f>
        <v>0.83312918403834657</v>
      </c>
      <c r="AA72" s="80">
        <f>(SUM(Data!CT72:CZ72)*2+Data!DA72)/('Useful Constants'!$B$1*1000000)*$K72/100</f>
        <v>0.83263951677053283</v>
      </c>
      <c r="AB72" s="80">
        <f>(SUM(Data!CU72:DA72)*2+Data!DB72)/('Useful Constants'!$B$1*1000000)*$K72/100</f>
        <v>0.82841777536092709</v>
      </c>
      <c r="AC72" s="80">
        <f>(SUM(Data!CV72:DB72)*2+Data!DC72)/('Useful Constants'!$B$1*1000000)*$K72/100</f>
        <v>0.83065921232840079</v>
      </c>
      <c r="AD72" s="80">
        <f>(SUM(Data!CW72:DC72)*2+Data!DD72)/('Useful Constants'!$B$1*1000000)*$K72/100</f>
        <v>0.83742926263229178</v>
      </c>
      <c r="AE72" s="80">
        <f>(SUM(Data!CX72:DD72)*2+Data!DE72)/('Useful Constants'!$B$1*1000000)*$K72/100</f>
        <v>0.84348899807858846</v>
      </c>
      <c r="AF72" s="80">
        <f>(SUM(Data!CY72:DE72)*2+Data!DF72)/('Useful Constants'!$B$1*1000000)*$K72/100</f>
        <v>0.83926501146984567</v>
      </c>
      <c r="AG72" s="80">
        <f>(SUM(Data!CZ72:DF72)*2+Data!DG72)/('Useful Constants'!$B$1*1000000)*$K72/100</f>
        <v>0.83313262272618105</v>
      </c>
      <c r="AH72" s="48">
        <f>Z72*'Useful Constants'!$B$3</f>
        <v>69.982851459221109</v>
      </c>
      <c r="AI72" s="48">
        <f>AA72*'Useful Constants'!$B$3</f>
        <v>69.941719408724751</v>
      </c>
      <c r="AJ72" s="48">
        <f>AB72*'Useful Constants'!$B$3</f>
        <v>69.587093130317882</v>
      </c>
      <c r="AK72" s="48">
        <f>AC72*'Useful Constants'!$B$3</f>
        <v>69.775373835585668</v>
      </c>
      <c r="AL72" s="48">
        <f>AD72*'Useful Constants'!$B$3</f>
        <v>70.344058061112506</v>
      </c>
      <c r="AM72" s="48">
        <f>AE72*'Useful Constants'!$B$3</f>
        <v>70.853075838601427</v>
      </c>
      <c r="AN72" s="48">
        <f>AF72*'Useful Constants'!$B$3</f>
        <v>70.498260963467033</v>
      </c>
      <c r="AO72" s="48">
        <f>AG72*'Useful Constants'!$B$3</f>
        <v>69.983140308999211</v>
      </c>
      <c r="AP72" s="10">
        <f>Z72*'Useful Constants'!$B$4</f>
        <v>23.327617153073703</v>
      </c>
      <c r="AQ72" s="10">
        <f>AA72*'Useful Constants'!$B$4</f>
        <v>23.313906469574921</v>
      </c>
      <c r="AR72" s="10">
        <f>AB72*'Useful Constants'!$B$4</f>
        <v>23.195697710105957</v>
      </c>
      <c r="AS72" s="10">
        <f>AC72*'Useful Constants'!$B$4</f>
        <v>23.258457945195222</v>
      </c>
      <c r="AT72" s="10">
        <f>AD72*'Useful Constants'!$B$4</f>
        <v>23.448019353704169</v>
      </c>
      <c r="AU72" s="10">
        <f>AE72*'Useful Constants'!$B$4</f>
        <v>23.617691946200477</v>
      </c>
      <c r="AV72" s="10">
        <f>AF72*'Useful Constants'!$B$4</f>
        <v>23.499420321155679</v>
      </c>
      <c r="AW72" s="10">
        <f>AG72*'Useful Constants'!$B$4</f>
        <v>23.32771343633307</v>
      </c>
      <c r="AX72" s="48">
        <f>P72/1000000/'Useful Constants'!$B$1*K72/100*'Useful Constants'!$B$3*15</f>
        <v>10563.929866231143</v>
      </c>
      <c r="AY72" s="48">
        <f>P72/1000000/'Useful Constants'!$B$1*L72/100*'Useful Constants'!$B$3*15</f>
        <v>5868.8499256839696</v>
      </c>
      <c r="AZ72" s="48">
        <f>P72/1000000/'Useful Constants'!$B$1*K72/100*'Useful Constants'!$B$4*15</f>
        <v>3521.309955410381</v>
      </c>
      <c r="BA72" s="48">
        <f>P72/1000000/'Useful Constants'!$B$1*L72/100*'Useful Constants'!$B$4*15</f>
        <v>1956.2833085613229</v>
      </c>
      <c r="BB72" s="7">
        <f>Data!AN72</f>
        <v>4746.7687299999998</v>
      </c>
      <c r="BC72" s="7">
        <f>Data!AQ72</f>
        <v>4746.7687299999998</v>
      </c>
      <c r="BD72" s="7">
        <f>Data!AT72</f>
        <v>7798.2586199999996</v>
      </c>
      <c r="BE72" s="6">
        <f>Data!AO72</f>
        <v>35628131223.894897</v>
      </c>
      <c r="BF72" s="6">
        <f>Data!AP72</f>
        <v>12393445494.937799</v>
      </c>
      <c r="BG72" s="6">
        <f>Data!AR72</f>
        <v>7311447302.1231804</v>
      </c>
      <c r="BH72" s="6">
        <f>Data!AS72</f>
        <v>7311447302.1231804</v>
      </c>
      <c r="BI72" s="8">
        <f t="shared" si="100"/>
        <v>0.82972708272641726</v>
      </c>
      <c r="BJ72" s="8">
        <f t="shared" si="101"/>
        <v>0.62895269832608802</v>
      </c>
      <c r="BK72" s="13">
        <f>BB72*'Useful Constants'!$B$5/'Useful Constants'!$B$6*'Useful Constants'!$B$7</f>
        <v>1.214698118007</v>
      </c>
      <c r="BL72" s="52">
        <f>1-VLOOKUP($G72,'Useful Constants'!$A$17:$X$23,10,FALSE)</f>
        <v>6.6471999999999865E-2</v>
      </c>
      <c r="BM72" s="52">
        <f>1-VLOOKUP($G72,'Useful Constants'!$A$17:$X$23,12,FALSE)</f>
        <v>4.945672000000001E-2</v>
      </c>
      <c r="BN72" s="52">
        <f>1-VLOOKUP($G72,'Useful Constants'!$A$17:$X$23,14,FALSE)</f>
        <v>3.4455679999999989E-2</v>
      </c>
      <c r="BO72" s="52">
        <f>1-VLOOKUP($G72,'Useful Constants'!$A$17:$X$23,16,FALSE)</f>
        <v>2.1468880000000024E-2</v>
      </c>
      <c r="BP72" s="52">
        <f>1-VLOOKUP($G72,'Useful Constants'!$A$17:$X$23,18,FALSE)</f>
        <v>0</v>
      </c>
      <c r="BQ72" s="52">
        <f>1-VLOOKUP($G72,'Useful Constants'!$A$17:$X$23,20, FALSE)</f>
        <v>0</v>
      </c>
      <c r="BR72" s="52">
        <f>1-VLOOKUP($G72,'Useful Constants'!$A$17:$X$23,22, FALSE)</f>
        <v>0</v>
      </c>
      <c r="BS72" s="52">
        <f>1-VLOOKUP($G72,'Useful Constants'!$A$17:$X$23,24, FALSE)</f>
        <v>0</v>
      </c>
      <c r="BT72" s="13">
        <f t="shared" si="102"/>
        <v>8.0743413300161146E-2</v>
      </c>
      <c r="BU72" s="13">
        <f t="shared" si="103"/>
        <v>6.0074984706799166E-2</v>
      </c>
      <c r="BV72" s="13">
        <f t="shared" si="104"/>
        <v>4.1853249650651417E-2</v>
      </c>
      <c r="BW72" s="13">
        <f t="shared" si="105"/>
        <v>2.6078208131718152E-2</v>
      </c>
      <c r="BX72" s="13">
        <f t="shared" si="106"/>
        <v>0</v>
      </c>
      <c r="BY72" s="13">
        <f t="shared" si="107"/>
        <v>0</v>
      </c>
      <c r="BZ72" s="13">
        <f t="shared" si="108"/>
        <v>0</v>
      </c>
      <c r="CA72" s="13">
        <f t="shared" si="109"/>
        <v>0</v>
      </c>
      <c r="CB72" s="59">
        <f>+SUM(Data!BM72:BS72)*2+Data!BT72</f>
        <v>3856.0651773961699</v>
      </c>
      <c r="CC72" s="59">
        <f>+SUM(Data!BN72:BT72)*2+Data!BU72</f>
        <v>3662.8655223984574</v>
      </c>
      <c r="CD72" s="59">
        <f>+SUM(Data!BO72:BU72)*2+Data!BV72</f>
        <v>3247.641577042114</v>
      </c>
      <c r="CE72" s="59">
        <f>+SUM(Data!BP72:BV72)*2+Data!BW72</f>
        <v>2928.3727071204935</v>
      </c>
      <c r="CF72" s="59">
        <f>+SUM(Data!BQ72:BW72)*2+Data!BX72</f>
        <v>2760.1950704510746</v>
      </c>
      <c r="CG72" s="59">
        <f>+SUM(Data!BR72:BX72)*2+Data!BY72</f>
        <v>2647.0475399924007</v>
      </c>
      <c r="CH72" s="59">
        <f>+SUM(Data!BS72:BY72)*2+Data!BZ72</f>
        <v>2427.2251108129317</v>
      </c>
      <c r="CI72" s="59">
        <f>+SUM(Data!BT72:BZ72)*2+Data!CA72</f>
        <v>2214.1519506525156</v>
      </c>
      <c r="CJ72" s="13">
        <f>+SUM(Data!AW72:BC72)*2+Data!BD72</f>
        <v>21249.746295712706</v>
      </c>
      <c r="CK72" s="13">
        <f>+SUM(Data!AX72:BD72)*2+Data!BE72</f>
        <v>20195.76622602421</v>
      </c>
      <c r="CL72" s="13">
        <f>+SUM(Data!AY72:BE72)*2+Data!BF72</f>
        <v>17912.089658304943</v>
      </c>
      <c r="CM72" s="13">
        <f>+SUM(Data!AZ72:BF72)*2+Data!BG72</f>
        <v>16143.023608053963</v>
      </c>
      <c r="CN72" s="13">
        <f>+SUM(Data!BA72:BG72)*2+Data!BH72</f>
        <v>15204.710398963402</v>
      </c>
      <c r="CO72" s="13">
        <f>+SUM(Data!BB72:BH72)*2+Data!BI72</f>
        <v>14572.718993329408</v>
      </c>
      <c r="CP72" s="13">
        <f>+SUM(Data!BC72:BI72)*2+Data!BJ72</f>
        <v>13356.338759759408</v>
      </c>
      <c r="CQ72" s="13">
        <f>+SUM(Data!BD72:BJ72)*2+Data!BK72</f>
        <v>12184.712697284187</v>
      </c>
      <c r="CR72" s="59">
        <f>+SUM(Data!CC72:CI72)*2+Data!CJ72</f>
        <v>12932.796589951735</v>
      </c>
      <c r="CS72" s="59">
        <f>+SUM(Data!CD72:CJ72)*2+Data!CK72</f>
        <v>12324.204114047145</v>
      </c>
      <c r="CT72" s="59">
        <f>+SUM(Data!CE72:CK72)*2+Data!CL72</f>
        <v>10963.64309315523</v>
      </c>
      <c r="CU72" s="59">
        <f>+SUM(Data!CF72:CL72)*2+Data!CM72</f>
        <v>9923.1747400002841</v>
      </c>
      <c r="CV72" s="59">
        <f>+SUM(Data!CG72:CM72)*2+Data!CN72</f>
        <v>9296.4455965401849</v>
      </c>
      <c r="CW72" s="59">
        <f>+SUM(Data!CH72:CN72)*2+Data!CO72</f>
        <v>8917.3498844329206</v>
      </c>
      <c r="CX72" s="59">
        <f>+SUM(Data!CI72:CO72)*2+Data!CP72</f>
        <v>8197.0583867989135</v>
      </c>
      <c r="CY72" s="59">
        <f>+SUM(Data!CJ72:CP72)*2+Data!CQ72</f>
        <v>7490.3526650313124</v>
      </c>
      <c r="CZ72" s="60">
        <f t="shared" si="110"/>
        <v>38038.608063060608</v>
      </c>
      <c r="DA72" s="60">
        <f t="shared" si="111"/>
        <v>36182.835862469816</v>
      </c>
      <c r="DB72" s="60">
        <f t="shared" si="112"/>
        <v>32123.374328502287</v>
      </c>
      <c r="DC72" s="60">
        <f t="shared" si="113"/>
        <v>28994.57105517474</v>
      </c>
      <c r="DD72" s="60">
        <f t="shared" si="114"/>
        <v>27261.351065954659</v>
      </c>
      <c r="DE72" s="60">
        <f t="shared" si="115"/>
        <v>26137.116417754733</v>
      </c>
      <c r="DF72" s="60">
        <f t="shared" si="116"/>
        <v>23980.622257371251</v>
      </c>
      <c r="DG72" s="60">
        <f t="shared" si="117"/>
        <v>21889.217312968016</v>
      </c>
      <c r="DH72" s="13">
        <f t="shared" si="118"/>
        <v>8.301816384779355E-2</v>
      </c>
      <c r="DI72" s="13">
        <f t="shared" si="119"/>
        <v>6.176745222551535E-2</v>
      </c>
      <c r="DJ72" s="13">
        <f t="shared" si="120"/>
        <v>4.3032363818256529E-2</v>
      </c>
      <c r="DK72" s="13">
        <f t="shared" si="121"/>
        <v>2.6812898626017323E-2</v>
      </c>
      <c r="DL72" s="13">
        <f t="shared" si="122"/>
        <v>0</v>
      </c>
      <c r="DM72" s="13">
        <f t="shared" si="123"/>
        <v>0</v>
      </c>
      <c r="DN72" s="13">
        <f t="shared" si="124"/>
        <v>0</v>
      </c>
      <c r="DO72" s="13">
        <f t="shared" si="125"/>
        <v>0</v>
      </c>
      <c r="DP72" s="50">
        <f>DH72*'Useful Constants'!$B$8</f>
        <v>353.65737799160053</v>
      </c>
      <c r="DQ72" s="50">
        <f>DI72*'Useful Constants'!$B$8</f>
        <v>263.1293464806954</v>
      </c>
      <c r="DR72" s="50">
        <f>DJ72*'Useful Constants'!$B$10</f>
        <v>104.56864407836336</v>
      </c>
      <c r="DS72" s="50">
        <f>DK72*'Useful Constants'!$B$10</f>
        <v>65.155343661222091</v>
      </c>
      <c r="DT72" s="50">
        <f>DL72*'Useful Constants'!$B$10</f>
        <v>0</v>
      </c>
      <c r="DU72" s="50">
        <f>DM72*'Useful Constants'!$B$10</f>
        <v>0</v>
      </c>
      <c r="DV72" s="50">
        <f>DN72*'Useful Constants'!$B$10</f>
        <v>0</v>
      </c>
      <c r="DW72" s="50">
        <f>DO72*'Useful Constants'!$B$10</f>
        <v>0</v>
      </c>
      <c r="DX72" s="14">
        <f>DH72*'Useful Constants'!$B$9</f>
        <v>159.7269472431548</v>
      </c>
      <c r="DY72" s="14">
        <f>DI72*'Useful Constants'!$B$9</f>
        <v>118.84057808189154</v>
      </c>
      <c r="DZ72" s="14">
        <f>DJ72*'Useful Constants'!$B$11</f>
        <v>29.132910304959669</v>
      </c>
      <c r="EA72" s="14">
        <f>DK72*'Useful Constants'!$B$11</f>
        <v>18.152332369813728</v>
      </c>
      <c r="EB72" s="14">
        <f>DL72*'Useful Constants'!$B$11</f>
        <v>0</v>
      </c>
      <c r="EC72" s="14">
        <f>DM72*'Useful Constants'!$B$11</f>
        <v>0</v>
      </c>
      <c r="ED72" s="14">
        <f>DN72*'Useful Constants'!$B$11</f>
        <v>0</v>
      </c>
      <c r="EE72" s="14">
        <f>DO72*'Useful Constants'!$B$11</f>
        <v>0</v>
      </c>
      <c r="EF72" s="78">
        <f>(SUM(Data!DI72:DO72)*2+Data!DP72)/('Useful Constants'!$B$1*1000000)*$K72/100</f>
        <v>49.840477938405591</v>
      </c>
      <c r="EG72" s="78">
        <f>(SUM(Data!DJ72:DP72)*2+Data!DQ72)/('Useful Constants'!$B$1*1000000)*$K72/100</f>
        <v>49.87461581625854</v>
      </c>
      <c r="EH72" s="78">
        <f>(SUM(Data!DK72:DQ72)*2+Data!DR72)/('Useful Constants'!$B$1*1000000)*$K72/100</f>
        <v>49.807356513342391</v>
      </c>
      <c r="EI72" s="78">
        <f>(SUM(Data!DL72:DR72)*2+Data!DS72)/('Useful Constants'!$B$1*1000000)*$K72/100</f>
        <v>50.100447925631237</v>
      </c>
      <c r="EJ72" s="78">
        <f>(SUM(Data!DM72:DS72)*2+Data!DT72)/('Useful Constants'!$B$1*1000000)*$K72/100</f>
        <v>50.703528414136365</v>
      </c>
      <c r="EK72" s="78">
        <f>(SUM(Data!DN72:DT72)*2+Data!DU72)/('Useful Constants'!$B$1*1000000)*$K72/100</f>
        <v>51.214152017740659</v>
      </c>
      <c r="EL72" s="78">
        <f>(SUM(Data!DO72:DU72)*2+Data!DV72)/('Useful Constants'!$B$1*1000000)*$K72/100</f>
        <v>51.12885447559502</v>
      </c>
      <c r="EM72" s="78">
        <f>(SUM(Data!DP72:DV72)*2+Data!DW72)/('Useful Constants'!$B$1*1000000)*$K72/100</f>
        <v>50.961275181060138</v>
      </c>
      <c r="EN72" s="79">
        <f>EF72*'Useful Constants'!$B$3</f>
        <v>4186.6001468260692</v>
      </c>
      <c r="EO72" s="79">
        <f>EG72*'Useful Constants'!$B$3</f>
        <v>4189.4677285657172</v>
      </c>
      <c r="EP72" s="79">
        <f>EH72*'Useful Constants'!$B$3</f>
        <v>4183.8179471207604</v>
      </c>
      <c r="EQ72" s="79">
        <f>EI72*'Useful Constants'!$B$3</f>
        <v>4208.4376257530239</v>
      </c>
      <c r="ER72" s="79">
        <f>EJ72*'Useful Constants'!$B$3</f>
        <v>4259.0963867874543</v>
      </c>
      <c r="ES72" s="79">
        <f>EK72*'Useful Constants'!$B$3</f>
        <v>4301.9887694902154</v>
      </c>
      <c r="ET72" s="79">
        <f>EL72*'Useful Constants'!$B$3</f>
        <v>4294.8237759499816</v>
      </c>
      <c r="EU72" s="79">
        <f>EM72*'Useful Constants'!$B$3</f>
        <v>4280.747115209052</v>
      </c>
      <c r="EV72" s="78">
        <f>EF72*'Useful Constants'!$B$4</f>
        <v>1395.5333822753566</v>
      </c>
      <c r="EW72" s="78">
        <f>EG72*'Useful Constants'!$B$4</f>
        <v>1396.4892428552391</v>
      </c>
      <c r="EX72" s="78">
        <f>EH72*'Useful Constants'!$B$4</f>
        <v>1394.605982373587</v>
      </c>
      <c r="EY72" s="78">
        <f>EI72*'Useful Constants'!$B$4</f>
        <v>1402.8125419176747</v>
      </c>
      <c r="EZ72" s="78">
        <f>EJ72*'Useful Constants'!$B$4</f>
        <v>1419.6987955958182</v>
      </c>
      <c r="FA72" s="78">
        <f>EK72*'Useful Constants'!$B$4</f>
        <v>1433.9962564967384</v>
      </c>
      <c r="FB72" s="78">
        <f>EL72*'Useful Constants'!$B$4</f>
        <v>1431.6079253166606</v>
      </c>
      <c r="FC72" s="78">
        <f>EM72*'Useful Constants'!$B$4</f>
        <v>1426.9157050696838</v>
      </c>
      <c r="FD72" s="40">
        <f t="shared" si="126"/>
        <v>-6.342482514081707E-2</v>
      </c>
      <c r="FE72" s="40">
        <f t="shared" si="127"/>
        <v>-1.2430498974496542E-2</v>
      </c>
      <c r="FF72" s="40">
        <f t="shared" si="128"/>
        <v>9.94600247004334E-2</v>
      </c>
      <c r="FG72" s="40">
        <f t="shared" si="129"/>
        <v>0.18599469339207184</v>
      </c>
      <c r="FH72" s="40">
        <f t="shared" si="130"/>
        <v>0.23406511918473033</v>
      </c>
      <c r="FI72" s="40">
        <f t="shared" si="131"/>
        <v>0.26527586571288531</v>
      </c>
      <c r="FJ72" s="40">
        <f t="shared" si="132"/>
        <v>0.32522116775634691</v>
      </c>
      <c r="FK72" s="40">
        <f t="shared" si="133"/>
        <v>0.38347059967832164</v>
      </c>
      <c r="FL72" s="4">
        <f t="shared" si="134"/>
        <v>0.1854469048888433</v>
      </c>
      <c r="FM72" s="4">
        <f t="shared" si="135"/>
        <v>0.22215898121215855</v>
      </c>
      <c r="FN72" s="4">
        <f t="shared" si="136"/>
        <v>0.30210377200201527</v>
      </c>
      <c r="FO72" s="4">
        <f t="shared" si="137"/>
        <v>0.36172742187859247</v>
      </c>
      <c r="FP72" s="4">
        <f t="shared" si="138"/>
        <v>0.39494736416711745</v>
      </c>
      <c r="FQ72" s="4">
        <f t="shared" si="139"/>
        <v>0.41550582009015791</v>
      </c>
      <c r="FR72" s="4">
        <f t="shared" si="140"/>
        <v>0.45667785889662205</v>
      </c>
      <c r="FS72" s="4">
        <f t="shared" si="141"/>
        <v>0.4967962308408736</v>
      </c>
      <c r="FT72" s="38">
        <f t="shared" si="142"/>
        <v>4.0633068110625309E-2</v>
      </c>
      <c r="FU72" s="38">
        <f t="shared" si="143"/>
        <v>8.5872266706653239E-2</v>
      </c>
      <c r="FV72" s="38">
        <f t="shared" si="144"/>
        <v>0.18519643027466762</v>
      </c>
      <c r="FW72" s="38">
        <f t="shared" si="145"/>
        <v>0.26033130611022831</v>
      </c>
      <c r="FX72" s="38">
        <f t="shared" si="146"/>
        <v>0.30205042885568412</v>
      </c>
      <c r="FY72" s="38">
        <f t="shared" si="147"/>
        <v>0.32876605061515268</v>
      </c>
      <c r="FZ72" s="38">
        <f t="shared" si="148"/>
        <v>0.38078734805346265</v>
      </c>
      <c r="GA72" s="38">
        <f t="shared" si="149"/>
        <v>0.43138112025595993</v>
      </c>
    </row>
    <row r="73" spans="1:183" x14ac:dyDescent="0.25">
      <c r="A73" s="1" t="str">
        <f>Data!A73</f>
        <v>OK_OKLAHOMA-CITY-WILEY_723544_TY3A</v>
      </c>
      <c r="B73" s="1" t="str">
        <f>TY3A_REP_CITIES!B73</f>
        <v>Oklahoma-City</v>
      </c>
      <c r="C73" s="1" t="str">
        <f>TY3A_REP_CITIES!C73</f>
        <v>Oklahoma</v>
      </c>
      <c r="D73" s="2" t="str">
        <f>TY3A_REP_CITIES!A73</f>
        <v>OK</v>
      </c>
      <c r="E73" s="42">
        <f>TY3A_REP_CITIES!E73</f>
        <v>797434</v>
      </c>
      <c r="F73" s="2">
        <f>TY3A_REP_CITIES!G73</f>
        <v>3</v>
      </c>
      <c r="G73" s="2" t="str">
        <f>TY3A_REP_CITIES!H73</f>
        <v>Mixed-Humid</v>
      </c>
      <c r="H73" s="2" t="str">
        <f>TY3A_REP_CITIES!I73</f>
        <v>Southwest</v>
      </c>
      <c r="I73" s="2">
        <f>Data!B73</f>
        <v>35.53</v>
      </c>
      <c r="J73" s="2">
        <f>Data!C73</f>
        <v>-97.65</v>
      </c>
      <c r="K73" s="2">
        <f>VLOOKUP(D73,Table1[],2,FALSE)</f>
        <v>2.5</v>
      </c>
      <c r="L73" s="2">
        <v>0.5</v>
      </c>
      <c r="M73" s="10">
        <f>Data!N73</f>
        <v>5890.2442099999998</v>
      </c>
      <c r="N73" s="10">
        <f>Data!Q73</f>
        <v>29308</v>
      </c>
      <c r="O73" s="10">
        <f>Data!O73</f>
        <v>24848290851.983601</v>
      </c>
      <c r="P73" s="10">
        <f>Data!P73</f>
        <v>25883636304.14975</v>
      </c>
      <c r="Q73" s="10">
        <f>Data!S73*15</f>
        <v>19529.565403430497</v>
      </c>
      <c r="R73" s="48">
        <f>SUM(Data!U73:AA73)*2+Data!AB73</f>
        <v>275.6486855198454</v>
      </c>
      <c r="S73" s="48">
        <f>SUM(Data!V73:AB73)*2+Data!AC73</f>
        <v>261.05912201800493</v>
      </c>
      <c r="T73" s="48">
        <f>SUM(Data!W73:AC73)*2+Data!AD73</f>
        <v>209.45182088904463</v>
      </c>
      <c r="U73" s="48">
        <f>SUM(Data!X73:AD73)*2+Data!AE73</f>
        <v>147.25500452760471</v>
      </c>
      <c r="V73" s="48">
        <f>SUM(Data!Y73:AE73)*2+Data!AF73</f>
        <v>108.44983802615202</v>
      </c>
      <c r="W73" s="48">
        <f>SUM(Data!Z73:AF73)*2+Data!AG73</f>
        <v>103.56997459937598</v>
      </c>
      <c r="X73" s="48">
        <f>SUM(Data!AA73:AG73)*2+Data!AH73</f>
        <v>77.342405447235166</v>
      </c>
      <c r="Y73" s="48">
        <f>SUM(Data!AB73:AH73)*2+Data!AI73</f>
        <v>78.831629347377827</v>
      </c>
      <c r="Z73" s="80">
        <f>(SUM(Data!CS73:CY73)*2+Data!CZ73)/('Useful Constants'!$B$1*1000000)*$K73/100</f>
        <v>0.63722838731328924</v>
      </c>
      <c r="AA73" s="80">
        <f>(SUM(Data!CT73:CZ73)*2+Data!DA73)/('Useful Constants'!$B$1*1000000)*$K73/100</f>
        <v>0.46308434920599467</v>
      </c>
      <c r="AB73" s="80">
        <f>(SUM(Data!CU73:DA73)*2+Data!DB73)/('Useful Constants'!$B$1*1000000)*$K73/100</f>
        <v>0.36190695396820449</v>
      </c>
      <c r="AC73" s="80">
        <f>(SUM(Data!CV73:DB73)*2+Data!DC73)/('Useful Constants'!$B$1*1000000)*$K73/100</f>
        <v>0.30042225921211341</v>
      </c>
      <c r="AD73" s="80">
        <f>(SUM(Data!CW73:DC73)*2+Data!DD73)/('Useful Constants'!$B$1*1000000)*$K73/100</f>
        <v>0.24603257668561859</v>
      </c>
      <c r="AE73" s="80">
        <f>(SUM(Data!CX73:DD73)*2+Data!DE73)/('Useful Constants'!$B$1*1000000)*$K73/100</f>
        <v>0.19635821662322975</v>
      </c>
      <c r="AF73" s="80">
        <f>(SUM(Data!CY73:DE73)*2+Data!DF73)/('Useful Constants'!$B$1*1000000)*$K73/100</f>
        <v>0.16053969877970217</v>
      </c>
      <c r="AG73" s="80">
        <f>(SUM(Data!CZ73:DF73)*2+Data!DG73)/('Useful Constants'!$B$1*1000000)*$K73/100</f>
        <v>0.13572786898832043</v>
      </c>
      <c r="AH73" s="48">
        <f>Z73*'Useful Constants'!$B$3</f>
        <v>53.527184534316298</v>
      </c>
      <c r="AI73" s="48">
        <f>AA73*'Useful Constants'!$B$3</f>
        <v>38.899085333303553</v>
      </c>
      <c r="AJ73" s="48">
        <f>AB73*'Useful Constants'!$B$3</f>
        <v>30.400184133329176</v>
      </c>
      <c r="AK73" s="48">
        <f>AC73*'Useful Constants'!$B$3</f>
        <v>25.235469773817528</v>
      </c>
      <c r="AL73" s="48">
        <f>AD73*'Useful Constants'!$B$3</f>
        <v>20.666736441591961</v>
      </c>
      <c r="AM73" s="48">
        <f>AE73*'Useful Constants'!$B$3</f>
        <v>16.494090196351298</v>
      </c>
      <c r="AN73" s="48">
        <f>AF73*'Useful Constants'!$B$3</f>
        <v>13.485334697494983</v>
      </c>
      <c r="AO73" s="48">
        <f>AG73*'Useful Constants'!$B$3</f>
        <v>11.401140995018915</v>
      </c>
      <c r="AP73" s="10">
        <f>Z73*'Useful Constants'!$B$4</f>
        <v>17.842394844772098</v>
      </c>
      <c r="AQ73" s="10">
        <f>AA73*'Useful Constants'!$B$4</f>
        <v>12.966361777767851</v>
      </c>
      <c r="AR73" s="10">
        <f>AB73*'Useful Constants'!$B$4</f>
        <v>10.133394711109727</v>
      </c>
      <c r="AS73" s="10">
        <f>AC73*'Useful Constants'!$B$4</f>
        <v>8.4118232579391758</v>
      </c>
      <c r="AT73" s="10">
        <f>AD73*'Useful Constants'!$B$4</f>
        <v>6.8889121471973205</v>
      </c>
      <c r="AU73" s="10">
        <f>AE73*'Useful Constants'!$B$4</f>
        <v>5.4980300654504326</v>
      </c>
      <c r="AV73" s="10">
        <f>AF73*'Useful Constants'!$B$4</f>
        <v>4.4951115658316612</v>
      </c>
      <c r="AW73" s="10">
        <f>AG73*'Useful Constants'!$B$4</f>
        <v>3.8003803316729718</v>
      </c>
      <c r="AX73" s="48">
        <f>P73/1000000/'Useful Constants'!$B$1*K73/100*'Useful Constants'!$B$3*15</f>
        <v>16306.690871614343</v>
      </c>
      <c r="AY73" s="48">
        <f>P73/1000000/'Useful Constants'!$B$1*L73/100*'Useful Constants'!$B$3*15</f>
        <v>3261.3381743228683</v>
      </c>
      <c r="AZ73" s="48">
        <f>P73/1000000/'Useful Constants'!$B$1*K73/100*'Useful Constants'!$B$4*15</f>
        <v>5435.5636238714478</v>
      </c>
      <c r="BA73" s="48">
        <f>P73/1000000/'Useful Constants'!$B$1*L73/100*'Useful Constants'!$B$4*15</f>
        <v>1087.1127247742895</v>
      </c>
      <c r="BB73" s="7">
        <f>Data!AN73</f>
        <v>5890.2442099999998</v>
      </c>
      <c r="BC73" s="7">
        <f>Data!AQ73</f>
        <v>5890.2442099999998</v>
      </c>
      <c r="BD73" s="7">
        <f>Data!AT73</f>
        <v>6565.1021899999996</v>
      </c>
      <c r="BE73" s="6">
        <f>Data!AO73</f>
        <v>22846794751.971298</v>
      </c>
      <c r="BF73" s="6">
        <f>Data!AP73</f>
        <v>7621614449.85221</v>
      </c>
      <c r="BG73" s="6">
        <f>Data!AR73</f>
        <v>1033376071.81643</v>
      </c>
      <c r="BH73" s="6">
        <f>Data!AS73</f>
        <v>1033376071.81643</v>
      </c>
      <c r="BI73" s="8">
        <f t="shared" si="100"/>
        <v>0.95672660470305126</v>
      </c>
      <c r="BJ73" s="8">
        <f t="shared" si="101"/>
        <v>0.88060344269248259</v>
      </c>
      <c r="BK73" s="13">
        <f>BB73*'Useful Constants'!$B$5/'Useful Constants'!$B$6*'Useful Constants'!$B$7</f>
        <v>1.507313493339</v>
      </c>
      <c r="BL73" s="52">
        <f>1-VLOOKUP($G73,'Useful Constants'!$A$17:$X$23,10,FALSE)</f>
        <v>0</v>
      </c>
      <c r="BM73" s="52">
        <f>1-VLOOKUP($G73,'Useful Constants'!$A$17:$X$23,12,FALSE)</f>
        <v>0</v>
      </c>
      <c r="BN73" s="52">
        <f>1-VLOOKUP($G73,'Useful Constants'!$A$17:$X$23,14,FALSE)</f>
        <v>0</v>
      </c>
      <c r="BO73" s="52">
        <f>1-VLOOKUP($G73,'Useful Constants'!$A$17:$X$23,16,FALSE)</f>
        <v>0</v>
      </c>
      <c r="BP73" s="52">
        <f>1-VLOOKUP($G73,'Useful Constants'!$A$17:$X$23,18,FALSE)</f>
        <v>0</v>
      </c>
      <c r="BQ73" s="52">
        <f>1-VLOOKUP($G73,'Useful Constants'!$A$17:$X$23,20, FALSE)</f>
        <v>0</v>
      </c>
      <c r="BR73" s="52">
        <f>1-VLOOKUP($G73,'Useful Constants'!$A$17:$X$23,22, FALSE)</f>
        <v>0</v>
      </c>
      <c r="BS73" s="52">
        <f>1-VLOOKUP($G73,'Useful Constants'!$A$17:$X$23,24, FALSE)</f>
        <v>0</v>
      </c>
      <c r="BT73" s="13">
        <f t="shared" si="102"/>
        <v>0</v>
      </c>
      <c r="BU73" s="13">
        <f t="shared" si="103"/>
        <v>0</v>
      </c>
      <c r="BV73" s="13">
        <f t="shared" si="104"/>
        <v>0</v>
      </c>
      <c r="BW73" s="13">
        <f t="shared" si="105"/>
        <v>0</v>
      </c>
      <c r="BX73" s="13">
        <f t="shared" si="106"/>
        <v>0</v>
      </c>
      <c r="BY73" s="13">
        <f t="shared" si="107"/>
        <v>0</v>
      </c>
      <c r="BZ73" s="13">
        <f t="shared" si="108"/>
        <v>0</v>
      </c>
      <c r="CA73" s="13">
        <f t="shared" si="109"/>
        <v>0</v>
      </c>
      <c r="CB73" s="59">
        <f>+SUM(Data!BM73:BS73)*2+Data!BT73</f>
        <v>1405.5822352555456</v>
      </c>
      <c r="CC73" s="59">
        <f>+SUM(Data!BN73:BT73)*2+Data!BU73</f>
        <v>1331.1636972174492</v>
      </c>
      <c r="CD73" s="59">
        <f>+SUM(Data!BO73:BU73)*2+Data!BV73</f>
        <v>1068.8686053400702</v>
      </c>
      <c r="CE73" s="59">
        <f>+SUM(Data!BP73:BV73)*2+Data!BW73</f>
        <v>752.63901944419047</v>
      </c>
      <c r="CF73" s="59">
        <f>+SUM(Data!BQ73:BW73)*2+Data!BX73</f>
        <v>553.6772427603172</v>
      </c>
      <c r="CG73" s="59">
        <f>+SUM(Data!BR73:BX73)*2+Data!BY73</f>
        <v>528.98029007756759</v>
      </c>
      <c r="CH73" s="59">
        <f>+SUM(Data!BS73:BY73)*2+Data!BZ73</f>
        <v>396.34226968619174</v>
      </c>
      <c r="CI73" s="59">
        <f>+SUM(Data!BT73:BZ73)*2+Data!CA73</f>
        <v>404.27034654864656</v>
      </c>
      <c r="CJ73" s="13">
        <f>+SUM(Data!AW73:BC73)*2+Data!BD73</f>
        <v>8329.2781309564634</v>
      </c>
      <c r="CK73" s="13">
        <f>+SUM(Data!AX73:BD73)*2+Data!BE73</f>
        <v>7891.0410098179027</v>
      </c>
      <c r="CL73" s="13">
        <f>+SUM(Data!AY73:BE73)*2+Data!BF73</f>
        <v>6313.4485952503546</v>
      </c>
      <c r="CM73" s="13">
        <f>+SUM(Data!AZ73:BF73)*2+Data!BG73</f>
        <v>4427.9355809261706</v>
      </c>
      <c r="CN73" s="13">
        <f>+SUM(Data!BA73:BG73)*2+Data!BH73</f>
        <v>3269.3083065285141</v>
      </c>
      <c r="CO73" s="13">
        <f>+SUM(Data!BB73:BH73)*2+Data!BI73</f>
        <v>3122.878908346273</v>
      </c>
      <c r="CP73" s="13">
        <f>+SUM(Data!BC73:BI73)*2+Data!BJ73</f>
        <v>2315.5555903053801</v>
      </c>
      <c r="CQ73" s="13">
        <f>+SUM(Data!BD73:BJ73)*2+Data!BK73</f>
        <v>2362.6878215351999</v>
      </c>
      <c r="CR73" s="59">
        <f>+SUM(Data!CC73:CI73)*2+Data!CJ73</f>
        <v>1120.2454949720375</v>
      </c>
      <c r="CS73" s="59">
        <f>+SUM(Data!CD73:CJ73)*2+Data!CK73</f>
        <v>1056.8873710767705</v>
      </c>
      <c r="CT73" s="59">
        <f>+SUM(Data!CE73:CK73)*2+Data!CL73</f>
        <v>852.08185959928153</v>
      </c>
      <c r="CU73" s="59">
        <f>+SUM(Data!CF73:CL73)*2+Data!CM73</f>
        <v>587.98107193967053</v>
      </c>
      <c r="CV73" s="59">
        <f>+SUM(Data!CG73:CM73)*2+Data!CN73</f>
        <v>411.65589751191288</v>
      </c>
      <c r="CW73" s="59">
        <f>+SUM(Data!CH73:CN73)*2+Data!CO73</f>
        <v>389.86050704666599</v>
      </c>
      <c r="CX73" s="59">
        <f>+SUM(Data!CI73:CO73)*2+Data!CP73</f>
        <v>290.92962457415507</v>
      </c>
      <c r="CY73" s="59">
        <f>+SUM(Data!CJ73:CP73)*2+Data!CQ73</f>
        <v>293.51604863566348</v>
      </c>
      <c r="CZ73" s="60">
        <f t="shared" si="110"/>
        <v>10855.105861184047</v>
      </c>
      <c r="DA73" s="60">
        <f t="shared" si="111"/>
        <v>10279.092078112122</v>
      </c>
      <c r="DB73" s="60">
        <f t="shared" si="112"/>
        <v>8234.3990601897076</v>
      </c>
      <c r="DC73" s="60">
        <f t="shared" si="113"/>
        <v>5768.5556723100308</v>
      </c>
      <c r="DD73" s="60">
        <f t="shared" si="114"/>
        <v>4234.6414468007442</v>
      </c>
      <c r="DE73" s="60">
        <f t="shared" si="115"/>
        <v>4041.7197054705066</v>
      </c>
      <c r="DF73" s="60">
        <f t="shared" si="116"/>
        <v>3002.827484565727</v>
      </c>
      <c r="DG73" s="60">
        <f t="shared" si="117"/>
        <v>3060.47421671951</v>
      </c>
      <c r="DH73" s="13">
        <f t="shared" si="118"/>
        <v>0</v>
      </c>
      <c r="DI73" s="13">
        <f t="shared" si="119"/>
        <v>0</v>
      </c>
      <c r="DJ73" s="13">
        <f t="shared" si="120"/>
        <v>0</v>
      </c>
      <c r="DK73" s="13">
        <f t="shared" si="121"/>
        <v>0</v>
      </c>
      <c r="DL73" s="13">
        <f t="shared" si="122"/>
        <v>0</v>
      </c>
      <c r="DM73" s="13">
        <f t="shared" si="123"/>
        <v>0</v>
      </c>
      <c r="DN73" s="13">
        <f t="shared" si="124"/>
        <v>0</v>
      </c>
      <c r="DO73" s="13">
        <f t="shared" si="125"/>
        <v>0</v>
      </c>
      <c r="DP73" s="50">
        <f>DH73*'Useful Constants'!$B$8</f>
        <v>0</v>
      </c>
      <c r="DQ73" s="50">
        <f>DI73*'Useful Constants'!$B$8</f>
        <v>0</v>
      </c>
      <c r="DR73" s="50">
        <f>DJ73*'Useful Constants'!$B$10</f>
        <v>0</v>
      </c>
      <c r="DS73" s="50">
        <f>DK73*'Useful Constants'!$B$10</f>
        <v>0</v>
      </c>
      <c r="DT73" s="50">
        <f>DL73*'Useful Constants'!$B$10</f>
        <v>0</v>
      </c>
      <c r="DU73" s="50">
        <f>DM73*'Useful Constants'!$B$10</f>
        <v>0</v>
      </c>
      <c r="DV73" s="50">
        <f>DN73*'Useful Constants'!$B$10</f>
        <v>0</v>
      </c>
      <c r="DW73" s="50">
        <f>DO73*'Useful Constants'!$B$10</f>
        <v>0</v>
      </c>
      <c r="DX73" s="14">
        <f>DH73*'Useful Constants'!$B$9</f>
        <v>0</v>
      </c>
      <c r="DY73" s="14">
        <f>DI73*'Useful Constants'!$B$9</f>
        <v>0</v>
      </c>
      <c r="DZ73" s="14">
        <f>DJ73*'Useful Constants'!$B$11</f>
        <v>0</v>
      </c>
      <c r="EA73" s="14">
        <f>DK73*'Useful Constants'!$B$11</f>
        <v>0</v>
      </c>
      <c r="EB73" s="14">
        <f>DL73*'Useful Constants'!$B$11</f>
        <v>0</v>
      </c>
      <c r="EC73" s="14">
        <f>DM73*'Useful Constants'!$B$11</f>
        <v>0</v>
      </c>
      <c r="ED73" s="14">
        <f>DN73*'Useful Constants'!$B$11</f>
        <v>0</v>
      </c>
      <c r="EE73" s="14">
        <f>DO73*'Useful Constants'!$B$11</f>
        <v>0</v>
      </c>
      <c r="EF73" s="78">
        <f>(SUM(Data!DI73:DO73)*2+Data!DP73)/('Useful Constants'!$B$1*1000000)*$K73/100</f>
        <v>24.902017777396139</v>
      </c>
      <c r="EG73" s="78">
        <f>(SUM(Data!DJ73:DP73)*2+Data!DQ73)/('Useful Constants'!$B$1*1000000)*$K73/100</f>
        <v>18.156604494448494</v>
      </c>
      <c r="EH73" s="78">
        <f>(SUM(Data!DK73:DQ73)*2+Data!DR73)/('Useful Constants'!$B$1*1000000)*$K73/100</f>
        <v>14.264504876230653</v>
      </c>
      <c r="EI73" s="78">
        <f>(SUM(Data!DL73:DR73)*2+Data!DS73)/('Useful Constants'!$B$1*1000000)*$K73/100</f>
        <v>11.894223389586722</v>
      </c>
      <c r="EJ73" s="78">
        <f>(SUM(Data!DM73:DS73)*2+Data!DT73)/('Useful Constants'!$B$1*1000000)*$K73/100</f>
        <v>9.7592017469690457</v>
      </c>
      <c r="EK73" s="78">
        <f>(SUM(Data!DN73:DT73)*2+Data!DU73)/('Useful Constants'!$B$1*1000000)*$K73/100</f>
        <v>7.7869435429173928</v>
      </c>
      <c r="EL73" s="78">
        <f>(SUM(Data!DO73:DU73)*2+Data!DV73)/('Useful Constants'!$B$1*1000000)*$K73/100</f>
        <v>6.3698893706414905</v>
      </c>
      <c r="EM73" s="78">
        <f>(SUM(Data!DP73:DV73)*2+Data!DW73)/('Useful Constants'!$B$1*1000000)*$K73/100</f>
        <v>5.3828407433518848</v>
      </c>
      <c r="EN73" s="79">
        <f>EF73*'Useful Constants'!$B$3</f>
        <v>2091.7694933012758</v>
      </c>
      <c r="EO73" s="79">
        <f>EG73*'Useful Constants'!$B$3</f>
        <v>1525.1547775336735</v>
      </c>
      <c r="EP73" s="79">
        <f>EH73*'Useful Constants'!$B$3</f>
        <v>1198.2184096033748</v>
      </c>
      <c r="EQ73" s="79">
        <f>EI73*'Useful Constants'!$B$3</f>
        <v>999.11476472528466</v>
      </c>
      <c r="ER73" s="79">
        <f>EJ73*'Useful Constants'!$B$3</f>
        <v>819.77294674539985</v>
      </c>
      <c r="ES73" s="79">
        <f>EK73*'Useful Constants'!$B$3</f>
        <v>654.103257605061</v>
      </c>
      <c r="ET73" s="79">
        <f>EL73*'Useful Constants'!$B$3</f>
        <v>535.07070713388521</v>
      </c>
      <c r="EU73" s="79">
        <f>EM73*'Useful Constants'!$B$3</f>
        <v>452.15862244155835</v>
      </c>
      <c r="EV73" s="78">
        <f>EF73*'Useful Constants'!$B$4</f>
        <v>697.2564977670919</v>
      </c>
      <c r="EW73" s="78">
        <f>EG73*'Useful Constants'!$B$4</f>
        <v>508.38492584455787</v>
      </c>
      <c r="EX73" s="78">
        <f>EH73*'Useful Constants'!$B$4</f>
        <v>399.40613653445826</v>
      </c>
      <c r="EY73" s="78">
        <f>EI73*'Useful Constants'!$B$4</f>
        <v>333.0382549084282</v>
      </c>
      <c r="EZ73" s="78">
        <f>EJ73*'Useful Constants'!$B$4</f>
        <v>273.2576489151333</v>
      </c>
      <c r="FA73" s="78">
        <f>EK73*'Useful Constants'!$B$4</f>
        <v>218.034419201687</v>
      </c>
      <c r="FB73" s="78">
        <f>EL73*'Useful Constants'!$B$4</f>
        <v>178.35690237796175</v>
      </c>
      <c r="FC73" s="78">
        <f>EM73*'Useful Constants'!$B$4</f>
        <v>150.71954081385277</v>
      </c>
      <c r="FD73" s="40">
        <f t="shared" si="126"/>
        <v>0.45190666395066686</v>
      </c>
      <c r="FE73" s="40">
        <f t="shared" si="127"/>
        <v>0.48060799875747362</v>
      </c>
      <c r="FF73" s="40">
        <f t="shared" si="128"/>
        <v>0.58283642155980897</v>
      </c>
      <c r="FG73" s="40">
        <f t="shared" si="129"/>
        <v>0.70683496862242068</v>
      </c>
      <c r="FH73" s="40">
        <f t="shared" si="130"/>
        <v>0.78436510030498174</v>
      </c>
      <c r="FI73" s="40">
        <f t="shared" si="131"/>
        <v>0.7941378375053979</v>
      </c>
      <c r="FJ73" s="40">
        <f t="shared" si="132"/>
        <v>0.8468484926926575</v>
      </c>
      <c r="FK73" s="40">
        <f t="shared" si="133"/>
        <v>0.84392022399365196</v>
      </c>
      <c r="FL73" s="4">
        <f t="shared" si="134"/>
        <v>0.67162221887326101</v>
      </c>
      <c r="FM73" s="4">
        <f t="shared" si="135"/>
        <v>0.70038121508462148</v>
      </c>
      <c r="FN73" s="4">
        <f t="shared" si="136"/>
        <v>0.76021276620662814</v>
      </c>
      <c r="FO73" s="4">
        <f t="shared" si="137"/>
        <v>0.82766346316311989</v>
      </c>
      <c r="FP73" s="4">
        <f t="shared" si="138"/>
        <v>0.87114865708534883</v>
      </c>
      <c r="FQ73" s="4">
        <f t="shared" si="139"/>
        <v>0.88026253629140883</v>
      </c>
      <c r="FR73" s="4">
        <f t="shared" si="140"/>
        <v>0.90972083094872802</v>
      </c>
      <c r="FS73" s="4">
        <f t="shared" si="141"/>
        <v>0.91036418478964987</v>
      </c>
      <c r="FT73" s="38">
        <f t="shared" si="142"/>
        <v>0.56150916611717383</v>
      </c>
      <c r="FU73" s="38">
        <f t="shared" si="143"/>
        <v>0.59023902221665026</v>
      </c>
      <c r="FV73" s="38">
        <f t="shared" si="144"/>
        <v>0.671366395365393</v>
      </c>
      <c r="FW73" s="38">
        <f t="shared" si="145"/>
        <v>0.76718501178278153</v>
      </c>
      <c r="FX73" s="38">
        <f t="shared" si="146"/>
        <v>0.82772961774863585</v>
      </c>
      <c r="FY73" s="38">
        <f t="shared" si="147"/>
        <v>0.83717351446539967</v>
      </c>
      <c r="FZ73" s="38">
        <f t="shared" si="148"/>
        <v>0.87827448006915976</v>
      </c>
      <c r="GA73" s="38">
        <f t="shared" si="149"/>
        <v>0.87712993042145504</v>
      </c>
    </row>
    <row r="74" spans="1:183" x14ac:dyDescent="0.25">
      <c r="A74" s="1" t="str">
        <f>Data!A74</f>
        <v>OR_PORTLAND-IAP_726980_TY3A</v>
      </c>
      <c r="B74" s="1" t="str">
        <f>TY3A_REP_CITIES!B74</f>
        <v>Portland</v>
      </c>
      <c r="C74" s="1" t="str">
        <f>TY3A_REP_CITIES!C74</f>
        <v>Multnomah</v>
      </c>
      <c r="D74" s="2" t="str">
        <f>TY3A_REP_CITIES!A74</f>
        <v>OR</v>
      </c>
      <c r="E74" s="42">
        <f>TY3A_REP_CITIES!E74</f>
        <v>812855</v>
      </c>
      <c r="F74" s="2">
        <f>TY3A_REP_CITIES!G74</f>
        <v>4</v>
      </c>
      <c r="G74" s="2" t="str">
        <f>TY3A_REP_CITIES!H74</f>
        <v>Marine</v>
      </c>
      <c r="H74" s="2" t="str">
        <f>TY3A_REP_CITIES!I74</f>
        <v>Pacific</v>
      </c>
      <c r="I74" s="2">
        <f>Data!B74</f>
        <v>45.6</v>
      </c>
      <c r="J74" s="2">
        <f>Data!C74</f>
        <v>-122.62</v>
      </c>
      <c r="K74" s="2">
        <f>VLOOKUP(D74,Table1[],2,FALSE)</f>
        <v>1.9</v>
      </c>
      <c r="L74" s="2">
        <v>0.5</v>
      </c>
      <c r="M74" s="10">
        <f>Data!N74</f>
        <v>3980.7408799999998</v>
      </c>
      <c r="N74" s="10">
        <f>Data!Q74</f>
        <v>29308</v>
      </c>
      <c r="O74" s="10">
        <f>Data!O74</f>
        <v>26709377826.4986</v>
      </c>
      <c r="P74" s="10">
        <f>Data!P74</f>
        <v>27822268569.269333</v>
      </c>
      <c r="Q74" s="10">
        <f>Data!S74*15</f>
        <v>20992.29054645</v>
      </c>
      <c r="R74" s="48">
        <f>SUM(Data!U74:AA74)*2+Data!AB74</f>
        <v>111.91633058688427</v>
      </c>
      <c r="S74" s="48">
        <f>SUM(Data!V74:AB74)*2+Data!AC74</f>
        <v>99.986435072404049</v>
      </c>
      <c r="T74" s="48">
        <f>SUM(Data!W74:AC74)*2+Data!AD74</f>
        <v>102.00314628641149</v>
      </c>
      <c r="U74" s="48">
        <f>SUM(Data!X74:AD74)*2+Data!AE74</f>
        <v>102.29740511036209</v>
      </c>
      <c r="V74" s="48">
        <f>SUM(Data!Y74:AE74)*2+Data!AF74</f>
        <v>100.76554665132436</v>
      </c>
      <c r="W74" s="48">
        <f>SUM(Data!Z74:AF74)*2+Data!AG74</f>
        <v>98.604069917334158</v>
      </c>
      <c r="X74" s="48">
        <f>SUM(Data!AA74:AG74)*2+Data!AH74</f>
        <v>103.93148771355202</v>
      </c>
      <c r="Y74" s="48">
        <f>SUM(Data!AB74:AH74)*2+Data!AI74</f>
        <v>94.535838749290505</v>
      </c>
      <c r="Z74" s="80">
        <f>(SUM(Data!CS74:CY74)*2+Data!CZ74)/('Useful Constants'!$B$1*1000000)*$K74/100</f>
        <v>0.40957240358473984</v>
      </c>
      <c r="AA74" s="80">
        <f>(SUM(Data!CT74:CZ74)*2+Data!DA74)/('Useful Constants'!$B$1*1000000)*$K74/100</f>
        <v>0.37767684204561797</v>
      </c>
      <c r="AB74" s="80">
        <f>(SUM(Data!CU74:DA74)*2+Data!DB74)/('Useful Constants'!$B$1*1000000)*$K74/100</f>
        <v>0.34554533137601307</v>
      </c>
      <c r="AC74" s="80">
        <f>(SUM(Data!CV74:DB74)*2+Data!DC74)/('Useful Constants'!$B$1*1000000)*$K74/100</f>
        <v>0.32883197987002516</v>
      </c>
      <c r="AD74" s="80">
        <f>(SUM(Data!CW74:DC74)*2+Data!DD74)/('Useful Constants'!$B$1*1000000)*$K74/100</f>
        <v>0.316446449673085</v>
      </c>
      <c r="AE74" s="80">
        <f>(SUM(Data!CX74:DD74)*2+Data!DE74)/('Useful Constants'!$B$1*1000000)*$K74/100</f>
        <v>0.30520151729866885</v>
      </c>
      <c r="AF74" s="80">
        <f>(SUM(Data!CY74:DE74)*2+Data!DF74)/('Useful Constants'!$B$1*1000000)*$K74/100</f>
        <v>0.28844223726352258</v>
      </c>
      <c r="AG74" s="80">
        <f>(SUM(Data!CZ74:DF74)*2+Data!DG74)/('Useful Constants'!$B$1*1000000)*$K74/100</f>
        <v>0.27485357892964879</v>
      </c>
      <c r="AH74" s="48">
        <f>Z74*'Useful Constants'!$B$3</f>
        <v>34.404081901118147</v>
      </c>
      <c r="AI74" s="48">
        <f>AA74*'Useful Constants'!$B$3</f>
        <v>31.724854731831908</v>
      </c>
      <c r="AJ74" s="48">
        <f>AB74*'Useful Constants'!$B$3</f>
        <v>29.025807835585098</v>
      </c>
      <c r="AK74" s="48">
        <f>AC74*'Useful Constants'!$B$3</f>
        <v>27.621886309082115</v>
      </c>
      <c r="AL74" s="48">
        <f>AD74*'Useful Constants'!$B$3</f>
        <v>26.581501772539141</v>
      </c>
      <c r="AM74" s="48">
        <f>AE74*'Useful Constants'!$B$3</f>
        <v>25.636927453088184</v>
      </c>
      <c r="AN74" s="48">
        <f>AF74*'Useful Constants'!$B$3</f>
        <v>24.229147930135898</v>
      </c>
      <c r="AO74" s="48">
        <f>AG74*'Useful Constants'!$B$3</f>
        <v>23.087700630090499</v>
      </c>
      <c r="AP74" s="10">
        <f>Z74*'Useful Constants'!$B$4</f>
        <v>11.468027300372716</v>
      </c>
      <c r="AQ74" s="10">
        <f>AA74*'Useful Constants'!$B$4</f>
        <v>10.574951577277304</v>
      </c>
      <c r="AR74" s="10">
        <f>AB74*'Useful Constants'!$B$4</f>
        <v>9.6752692785283649</v>
      </c>
      <c r="AS74" s="10">
        <f>AC74*'Useful Constants'!$B$4</f>
        <v>9.2072954363607042</v>
      </c>
      <c r="AT74" s="10">
        <f>AD74*'Useful Constants'!$B$4</f>
        <v>8.8605005908463799</v>
      </c>
      <c r="AU74" s="10">
        <f>AE74*'Useful Constants'!$B$4</f>
        <v>8.5456424843627268</v>
      </c>
      <c r="AV74" s="10">
        <f>AF74*'Useful Constants'!$B$4</f>
        <v>8.0763826433786328</v>
      </c>
      <c r="AW74" s="10">
        <f>AG74*'Useful Constants'!$B$4</f>
        <v>7.6959002100301657</v>
      </c>
      <c r="AX74" s="48">
        <f>P74/1000000/'Useful Constants'!$B$1*K74/100*'Useful Constants'!$B$3*15</f>
        <v>13321.302190966158</v>
      </c>
      <c r="AY74" s="48">
        <f>P74/1000000/'Useful Constants'!$B$1*L74/100*'Useful Constants'!$B$3*15</f>
        <v>3505.6058397279362</v>
      </c>
      <c r="AZ74" s="48">
        <f>P74/1000000/'Useful Constants'!$B$1*K74/100*'Useful Constants'!$B$4*15</f>
        <v>4440.4340636553861</v>
      </c>
      <c r="BA74" s="48">
        <f>P74/1000000/'Useful Constants'!$B$1*L74/100*'Useful Constants'!$B$4*15</f>
        <v>1168.5352799093121</v>
      </c>
      <c r="BB74" s="7">
        <f>Data!AN74</f>
        <v>3980.7408799999998</v>
      </c>
      <c r="BC74" s="7">
        <f>Data!AQ74</f>
        <v>3980.7408799999998</v>
      </c>
      <c r="BD74" s="7">
        <f>Data!AT74</f>
        <v>5083.1571999999996</v>
      </c>
      <c r="BE74" s="6">
        <f>Data!AO74</f>
        <v>24726384994.344799</v>
      </c>
      <c r="BF74" s="6">
        <f>Data!AP74</f>
        <v>6542150102.9493704</v>
      </c>
      <c r="BG74" s="6">
        <f>Data!AR74</f>
        <v>758904712.04296899</v>
      </c>
      <c r="BH74" s="6">
        <f>Data!AS74</f>
        <v>758904712.04296899</v>
      </c>
      <c r="BI74" s="8">
        <f t="shared" si="100"/>
        <v>0.97022185265358185</v>
      </c>
      <c r="BJ74" s="8">
        <f t="shared" si="101"/>
        <v>0.89605546989120022</v>
      </c>
      <c r="BK74" s="13">
        <f>BB74*'Useful Constants'!$B$5/'Useful Constants'!$B$6*'Useful Constants'!$B$7</f>
        <v>1.0186715911919999</v>
      </c>
      <c r="BL74" s="52">
        <f>1-VLOOKUP($G74,'Useful Constants'!$A$17:$X$23,10,FALSE)</f>
        <v>0.32857738000000003</v>
      </c>
      <c r="BM74" s="52">
        <f>1-VLOOKUP($G74,'Useful Constants'!$A$17:$X$23,12,FALSE)</f>
        <v>0.29242681999999998</v>
      </c>
      <c r="BN74" s="52">
        <f>1-VLOOKUP($G74,'Useful Constants'!$A$17:$X$23,14,FALSE)</f>
        <v>0.25829049999999998</v>
      </c>
      <c r="BO74" s="52">
        <f>1-VLOOKUP($G74,'Useful Constants'!$A$17:$X$23,16,FALSE)</f>
        <v>0.22616842000000004</v>
      </c>
      <c r="BP74" s="52">
        <f>1-VLOOKUP($G74,'Useful Constants'!$A$17:$X$23,18,FALSE)</f>
        <v>0.19606057999999993</v>
      </c>
      <c r="BQ74" s="52">
        <f>1-VLOOKUP($G74,'Useful Constants'!$A$17:$X$23,20, FALSE)</f>
        <v>0.1679669800000001</v>
      </c>
      <c r="BR74" s="52">
        <f>1-VLOOKUP($G74,'Useful Constants'!$A$17:$X$23,22, FALSE)</f>
        <v>0.14188761999999999</v>
      </c>
      <c r="BS74" s="52">
        <f>1-VLOOKUP($G74,'Useful Constants'!$A$17:$X$23,24, FALSE)</f>
        <v>0.11782250000000005</v>
      </c>
      <c r="BT74" s="13">
        <f t="shared" si="102"/>
        <v>0.33471244251429844</v>
      </c>
      <c r="BU74" s="13">
        <f t="shared" si="103"/>
        <v>0.2978868940366165</v>
      </c>
      <c r="BV74" s="13">
        <f t="shared" si="104"/>
        <v>0.26311319462477722</v>
      </c>
      <c r="BW74" s="13">
        <f t="shared" si="105"/>
        <v>0.23039134427878058</v>
      </c>
      <c r="BX74" s="13">
        <f t="shared" si="106"/>
        <v>0.19972134299862632</v>
      </c>
      <c r="BY74" s="13">
        <f t="shared" si="107"/>
        <v>0.17110319078431493</v>
      </c>
      <c r="BZ74" s="13">
        <f t="shared" si="108"/>
        <v>0.14453688763584582</v>
      </c>
      <c r="CA74" s="13">
        <f t="shared" si="109"/>
        <v>0.12002243355321947</v>
      </c>
      <c r="CB74" s="59">
        <f>+SUM(Data!BM74:BS74)*2+Data!BT74</f>
        <v>856.35627518765477</v>
      </c>
      <c r="CC74" s="59">
        <f>+SUM(Data!BN74:BT74)*2+Data!BU74</f>
        <v>765.58527284532784</v>
      </c>
      <c r="CD74" s="59">
        <f>+SUM(Data!BO74:BU74)*2+Data!BV74</f>
        <v>779.65078169785352</v>
      </c>
      <c r="CE74" s="59">
        <f>+SUM(Data!BP74:BV74)*2+Data!BW74</f>
        <v>781.33215378178272</v>
      </c>
      <c r="CF74" s="59">
        <f>+SUM(Data!BQ74:BW74)*2+Data!BX74</f>
        <v>769.259991634107</v>
      </c>
      <c r="CG74" s="59">
        <f>+SUM(Data!BR74:BX74)*2+Data!BY74</f>
        <v>752.32147488935425</v>
      </c>
      <c r="CH74" s="59">
        <f>+SUM(Data!BS74:BY74)*2+Data!BZ74</f>
        <v>792.97739489154264</v>
      </c>
      <c r="CI74" s="59">
        <f>+SUM(Data!BT74:BZ74)*2+Data!CA74</f>
        <v>720.90434514752565</v>
      </c>
      <c r="CJ74" s="13">
        <f>+SUM(Data!AW74:BC74)*2+Data!BD74</f>
        <v>3647.2256940968678</v>
      </c>
      <c r="CK74" s="13">
        <f>+SUM(Data!AX74:BD74)*2+Data!BE74</f>
        <v>3266.2398118762771</v>
      </c>
      <c r="CL74" s="13">
        <f>+SUM(Data!AY74:BE74)*2+Data!BF74</f>
        <v>3320.8739493755829</v>
      </c>
      <c r="CM74" s="13">
        <f>+SUM(Data!AZ74:BF74)*2+Data!BG74</f>
        <v>3326.0694905066107</v>
      </c>
      <c r="CN74" s="13">
        <f>+SUM(Data!BA74:BG74)*2+Data!BH74</f>
        <v>3271.2613758448219</v>
      </c>
      <c r="CO74" s="13">
        <f>+SUM(Data!BB74:BH74)*2+Data!BI74</f>
        <v>3200.5703202659461</v>
      </c>
      <c r="CP74" s="13">
        <f>+SUM(Data!BC74:BI74)*2+Data!BJ74</f>
        <v>3373.5223571457777</v>
      </c>
      <c r="CQ74" s="13">
        <f>+SUM(Data!BD74:BJ74)*2+Data!BK74</f>
        <v>3065.3983856185159</v>
      </c>
      <c r="CR74" s="59">
        <f>+SUM(Data!CC74:CI74)*2+Data!CJ74</f>
        <v>451.26831395833165</v>
      </c>
      <c r="CS74" s="59">
        <f>+SUM(Data!CD74:CJ74)*2+Data!CK74</f>
        <v>407.00002734415739</v>
      </c>
      <c r="CT74" s="59">
        <f>+SUM(Data!CE74:CK74)*2+Data!CL74</f>
        <v>410.45807847323994</v>
      </c>
      <c r="CU74" s="59">
        <f>+SUM(Data!CF74:CL74)*2+Data!CM74</f>
        <v>411.37447160256568</v>
      </c>
      <c r="CV74" s="59">
        <f>+SUM(Data!CG74:CM74)*2+Data!CN74</f>
        <v>399.42163291598382</v>
      </c>
      <c r="CW74" s="59">
        <f>+SUM(Data!CH74:CN74)*2+Data!CO74</f>
        <v>392.04490800120641</v>
      </c>
      <c r="CX74" s="59">
        <f>+SUM(Data!CI74:CO74)*2+Data!CP74</f>
        <v>412.95047208951888</v>
      </c>
      <c r="CY74" s="59">
        <f>+SUM(Data!CJ74:CP74)*2+Data!CQ74</f>
        <v>371.84461674169512</v>
      </c>
      <c r="CZ74" s="60">
        <f t="shared" si="110"/>
        <v>4954.8502832428539</v>
      </c>
      <c r="DA74" s="60">
        <f t="shared" si="111"/>
        <v>4438.8251120657624</v>
      </c>
      <c r="DB74" s="60">
        <f t="shared" si="112"/>
        <v>4510.9828095466764</v>
      </c>
      <c r="DC74" s="60">
        <f t="shared" si="113"/>
        <v>4518.7761158909589</v>
      </c>
      <c r="DD74" s="60">
        <f t="shared" si="114"/>
        <v>4439.9430003949128</v>
      </c>
      <c r="DE74" s="60">
        <f t="shared" si="115"/>
        <v>4344.9367031565071</v>
      </c>
      <c r="DF74" s="60">
        <f t="shared" si="116"/>
        <v>4579.4502241268392</v>
      </c>
      <c r="DG74" s="60">
        <f t="shared" si="117"/>
        <v>4158.1473475077364</v>
      </c>
      <c r="DH74" s="13">
        <f t="shared" si="118"/>
        <v>0.34414215672613568</v>
      </c>
      <c r="DI74" s="13">
        <f t="shared" si="119"/>
        <v>0.3062791374116059</v>
      </c>
      <c r="DJ74" s="13">
        <f t="shared" si="120"/>
        <v>0.27052577305191228</v>
      </c>
      <c r="DK74" s="13">
        <f t="shared" si="121"/>
        <v>0.23688206364705475</v>
      </c>
      <c r="DL74" s="13">
        <f t="shared" si="122"/>
        <v>0.20534800919703308</v>
      </c>
      <c r="DM74" s="13">
        <f t="shared" si="123"/>
        <v>0.17592360970184781</v>
      </c>
      <c r="DN74" s="13">
        <f t="shared" si="124"/>
        <v>0.14860886516149827</v>
      </c>
      <c r="DO74" s="13">
        <f t="shared" si="125"/>
        <v>0.12340377557598498</v>
      </c>
      <c r="DP74" s="50">
        <f>DH74*'Useful Constants'!$B$8</f>
        <v>1466.0455876533381</v>
      </c>
      <c r="DQ74" s="50">
        <f>DI74*'Useful Constants'!$B$8</f>
        <v>1304.7491253734411</v>
      </c>
      <c r="DR74" s="50">
        <f>DJ74*'Useful Constants'!$B$10</f>
        <v>657.37762851614684</v>
      </c>
      <c r="DS74" s="50">
        <f>DK74*'Useful Constants'!$B$10</f>
        <v>575.62341466234307</v>
      </c>
      <c r="DT74" s="50">
        <f>DL74*'Useful Constants'!$B$10</f>
        <v>498.9956623487904</v>
      </c>
      <c r="DU74" s="50">
        <f>DM74*'Useful Constants'!$B$10</f>
        <v>427.49437157549016</v>
      </c>
      <c r="DV74" s="50">
        <f>DN74*'Useful Constants'!$B$10</f>
        <v>361.11954234244081</v>
      </c>
      <c r="DW74" s="50">
        <f>DO74*'Useful Constants'!$B$10</f>
        <v>299.87117464964348</v>
      </c>
      <c r="DX74" s="14">
        <f>DH74*'Useful Constants'!$B$9</f>
        <v>662.1295095410851</v>
      </c>
      <c r="DY74" s="14">
        <f>DI74*'Useful Constants'!$B$9</f>
        <v>589.28106037992973</v>
      </c>
      <c r="DZ74" s="14">
        <f>DJ74*'Useful Constants'!$B$11</f>
        <v>183.1459483561446</v>
      </c>
      <c r="EA74" s="14">
        <f>DK74*'Useful Constants'!$B$11</f>
        <v>160.36915708905607</v>
      </c>
      <c r="EB74" s="14">
        <f>DL74*'Useful Constants'!$B$11</f>
        <v>139.02060222639139</v>
      </c>
      <c r="EC74" s="14">
        <f>DM74*'Useful Constants'!$B$11</f>
        <v>119.10028376815097</v>
      </c>
      <c r="ED74" s="14">
        <f>DN74*'Useful Constants'!$B$11</f>
        <v>100.60820171433433</v>
      </c>
      <c r="EE74" s="14">
        <f>DO74*'Useful Constants'!$B$11</f>
        <v>83.544356064941823</v>
      </c>
      <c r="EF74" s="78">
        <f>(SUM(Data!DI74:DO74)*2+Data!DP74)/('Useful Constants'!$B$1*1000000)*$K74/100</f>
        <v>17.879138535293734</v>
      </c>
      <c r="EG74" s="78">
        <f>(SUM(Data!DJ74:DP74)*2+Data!DQ74)/('Useful Constants'!$B$1*1000000)*$K74/100</f>
        <v>16.566554425468688</v>
      </c>
      <c r="EH74" s="78">
        <f>(SUM(Data!DK74:DQ74)*2+Data!DR74)/('Useful Constants'!$B$1*1000000)*$K74/100</f>
        <v>15.215974541405062</v>
      </c>
      <c r="EI74" s="78">
        <f>(SUM(Data!DL74:DR74)*2+Data!DS74)/('Useful Constants'!$B$1*1000000)*$K74/100</f>
        <v>14.465931978610934</v>
      </c>
      <c r="EJ74" s="78">
        <f>(SUM(Data!DM74:DS74)*2+Data!DT74)/('Useful Constants'!$B$1*1000000)*$K74/100</f>
        <v>13.892277703285892</v>
      </c>
      <c r="EK74" s="78">
        <f>(SUM(Data!DN74:DT74)*2+Data!DU74)/('Useful Constants'!$B$1*1000000)*$K74/100</f>
        <v>13.377478435665109</v>
      </c>
      <c r="EL74" s="78">
        <f>(SUM(Data!DO74:DU74)*2+Data!DV74)/('Useful Constants'!$B$1*1000000)*$K74/100</f>
        <v>12.61287985494331</v>
      </c>
      <c r="EM74" s="78">
        <f>(SUM(Data!DP74:DV74)*2+Data!DW74)/('Useful Constants'!$B$1*1000000)*$K74/100</f>
        <v>11.98298621279613</v>
      </c>
      <c r="EN74" s="79">
        <f>EF74*'Useful Constants'!$B$3</f>
        <v>1501.8476369646737</v>
      </c>
      <c r="EO74" s="79">
        <f>EG74*'Useful Constants'!$B$3</f>
        <v>1391.5905717393698</v>
      </c>
      <c r="EP74" s="79">
        <f>EH74*'Useful Constants'!$B$3</f>
        <v>1278.1418614780252</v>
      </c>
      <c r="EQ74" s="79">
        <f>EI74*'Useful Constants'!$B$3</f>
        <v>1215.1382862033186</v>
      </c>
      <c r="ER74" s="79">
        <f>EJ74*'Useful Constants'!$B$3</f>
        <v>1166.9513270760149</v>
      </c>
      <c r="ES74" s="79">
        <f>EK74*'Useful Constants'!$B$3</f>
        <v>1123.7081885958692</v>
      </c>
      <c r="ET74" s="79">
        <f>EL74*'Useful Constants'!$B$3</f>
        <v>1059.4819078152382</v>
      </c>
      <c r="EU74" s="79">
        <f>EM74*'Useful Constants'!$B$3</f>
        <v>1006.5708418748749</v>
      </c>
      <c r="EV74" s="78">
        <f>EF74*'Useful Constants'!$B$4</f>
        <v>500.61587898822455</v>
      </c>
      <c r="EW74" s="78">
        <f>EG74*'Useful Constants'!$B$4</f>
        <v>463.86352391312323</v>
      </c>
      <c r="EX74" s="78">
        <f>EH74*'Useful Constants'!$B$4</f>
        <v>426.04728715934175</v>
      </c>
      <c r="EY74" s="78">
        <f>EI74*'Useful Constants'!$B$4</f>
        <v>405.04609540110613</v>
      </c>
      <c r="EZ74" s="78">
        <f>EJ74*'Useful Constants'!$B$4</f>
        <v>388.983775692005</v>
      </c>
      <c r="FA74" s="78">
        <f>EK74*'Useful Constants'!$B$4</f>
        <v>374.56939619862305</v>
      </c>
      <c r="FB74" s="78">
        <f>EL74*'Useful Constants'!$B$4</f>
        <v>353.16063593841267</v>
      </c>
      <c r="FC74" s="78">
        <f>EM74*'Useful Constants'!$B$4</f>
        <v>335.52361395829161</v>
      </c>
      <c r="FD74" s="40">
        <f t="shared" si="126"/>
        <v>0.76521978238214972</v>
      </c>
      <c r="FE74" s="40">
        <f t="shared" si="127"/>
        <v>0.78955211350797583</v>
      </c>
      <c r="FF74" s="40">
        <f t="shared" si="128"/>
        <v>0.78615151209827028</v>
      </c>
      <c r="FG74" s="40">
        <f t="shared" si="129"/>
        <v>0.78578504940378768</v>
      </c>
      <c r="FH74" s="40">
        <f t="shared" si="130"/>
        <v>0.78950688886438625</v>
      </c>
      <c r="FI74" s="40">
        <f t="shared" si="131"/>
        <v>0.79398992872570362</v>
      </c>
      <c r="FJ74" s="40">
        <f t="shared" si="132"/>
        <v>0.78292557706726806</v>
      </c>
      <c r="FK74" s="40">
        <f t="shared" si="133"/>
        <v>0.8028082902780328</v>
      </c>
      <c r="FL74" s="4">
        <f t="shared" si="134"/>
        <v>0.79131739223624298</v>
      </c>
      <c r="FM74" s="4">
        <f t="shared" si="135"/>
        <v>0.81198962464421365</v>
      </c>
      <c r="FN74" s="4">
        <f t="shared" si="136"/>
        <v>0.83013271016017598</v>
      </c>
      <c r="FO74" s="4">
        <f t="shared" si="137"/>
        <v>0.83373690427773173</v>
      </c>
      <c r="FP74" s="4">
        <f t="shared" si="138"/>
        <v>0.83909233662350435</v>
      </c>
      <c r="FQ74" s="4">
        <f t="shared" si="139"/>
        <v>0.84460714870751652</v>
      </c>
      <c r="FR74" s="4">
        <f t="shared" si="140"/>
        <v>0.84188486896704595</v>
      </c>
      <c r="FS74" s="4">
        <f t="shared" si="141"/>
        <v>0.85595553187750695</v>
      </c>
      <c r="FT74" s="38">
        <f t="shared" si="142"/>
        <v>0.7710878537792909</v>
      </c>
      <c r="FU74" s="38">
        <f t="shared" si="143"/>
        <v>0.79439927964939483</v>
      </c>
      <c r="FV74" s="38">
        <f t="shared" si="144"/>
        <v>0.80832598845958137</v>
      </c>
      <c r="FW74" s="38">
        <f t="shared" si="145"/>
        <v>0.80967183867679693</v>
      </c>
      <c r="FX74" s="38">
        <f t="shared" si="146"/>
        <v>0.81401038550413951</v>
      </c>
      <c r="FY74" s="38">
        <f t="shared" si="147"/>
        <v>0.8188358477666331</v>
      </c>
      <c r="FZ74" s="38">
        <f t="shared" si="148"/>
        <v>0.81158355065619403</v>
      </c>
      <c r="GA74" s="38">
        <f t="shared" si="149"/>
        <v>0.82859113028632692</v>
      </c>
    </row>
    <row r="75" spans="1:183" x14ac:dyDescent="0.25">
      <c r="A75" s="1" t="str">
        <f>Data!A75</f>
        <v>OR_REDMOND-ROBERTS-FIELD_726835_TY3A</v>
      </c>
      <c r="B75" s="1" t="str">
        <f>TY3A_REP_CITIES!B75</f>
        <v>Redmond</v>
      </c>
      <c r="C75" s="1" t="str">
        <f>TY3A_REP_CITIES!C75</f>
        <v>Deschutes</v>
      </c>
      <c r="D75" s="2" t="str">
        <f>TY3A_REP_CITIES!A75</f>
        <v>OR</v>
      </c>
      <c r="E75" s="42">
        <f>TY3A_REP_CITIES!E75</f>
        <v>197692</v>
      </c>
      <c r="F75" s="2">
        <f>TY3A_REP_CITIES!G75</f>
        <v>5</v>
      </c>
      <c r="G75" s="2" t="str">
        <f>TY3A_REP_CITIES!H75</f>
        <v>Cold</v>
      </c>
      <c r="H75" s="2" t="str">
        <f>TY3A_REP_CITIES!I75</f>
        <v>Pacific</v>
      </c>
      <c r="I75" s="2">
        <f>Data!B75</f>
        <v>44.25</v>
      </c>
      <c r="J75" s="2">
        <f>Data!C75</f>
        <v>-121.17</v>
      </c>
      <c r="K75" s="2">
        <f>VLOOKUP(D75,Table1[],2,FALSE)</f>
        <v>1.9</v>
      </c>
      <c r="L75" s="2">
        <v>0.5</v>
      </c>
      <c r="M75" s="10">
        <f>Data!N75</f>
        <v>3659.0720299999998</v>
      </c>
      <c r="N75" s="10">
        <f>Data!Q75</f>
        <v>29308</v>
      </c>
      <c r="O75" s="10">
        <f>Data!O75</f>
        <v>39987178685.676804</v>
      </c>
      <c r="P75" s="10">
        <f>Data!P75</f>
        <v>41653311130.91317</v>
      </c>
      <c r="Q75" s="10">
        <f>Data!S75*15</f>
        <v>31428.005495123874</v>
      </c>
      <c r="R75" s="48">
        <f>SUM(Data!U75:AA75)*2+Data!AB75</f>
        <v>165.03321982611692</v>
      </c>
      <c r="S75" s="48">
        <f>SUM(Data!V75:AB75)*2+Data!AC75</f>
        <v>146.05349277551747</v>
      </c>
      <c r="T75" s="48">
        <f>SUM(Data!W75:AC75)*2+Data!AD75</f>
        <v>148.27513966579212</v>
      </c>
      <c r="U75" s="48">
        <f>SUM(Data!X75:AD75)*2+Data!AE75</f>
        <v>148.27482852447139</v>
      </c>
      <c r="V75" s="48">
        <f>SUM(Data!Y75:AE75)*2+Data!AF75</f>
        <v>145.86582033470216</v>
      </c>
      <c r="W75" s="48">
        <f>SUM(Data!Z75:AF75)*2+Data!AG75</f>
        <v>142.05260549145788</v>
      </c>
      <c r="X75" s="48">
        <f>SUM(Data!AA75:AG75)*2+Data!AH75</f>
        <v>149.57613330113901</v>
      </c>
      <c r="Y75" s="48">
        <f>SUM(Data!AB75:AH75)*2+Data!AI75</f>
        <v>135.58705783047063</v>
      </c>
      <c r="Z75" s="80">
        <f>(SUM(Data!CS75:CY75)*2+Data!CZ75)/('Useful Constants'!$B$1*1000000)*$K75/100</f>
        <v>0.605459050902318</v>
      </c>
      <c r="AA75" s="80">
        <f>(SUM(Data!CT75:CZ75)*2+Data!DA75)/('Useful Constants'!$B$1*1000000)*$K75/100</f>
        <v>0.55330730971978381</v>
      </c>
      <c r="AB75" s="80">
        <f>(SUM(Data!CU75:DA75)*2+Data!DB75)/('Useful Constants'!$B$1*1000000)*$K75/100</f>
        <v>0.50174741863977201</v>
      </c>
      <c r="AC75" s="80">
        <f>(SUM(Data!CV75:DB75)*2+Data!DC75)/('Useful Constants'!$B$1*1000000)*$K75/100</f>
        <v>0.47822217392317384</v>
      </c>
      <c r="AD75" s="80">
        <f>(SUM(Data!CW75:DC75)*2+Data!DD75)/('Useful Constants'!$B$1*1000000)*$K75/100</f>
        <v>0.46155890332514687</v>
      </c>
      <c r="AE75" s="80">
        <f>(SUM(Data!CX75:DD75)*2+Data!DE75)/('Useful Constants'!$B$1*1000000)*$K75/100</f>
        <v>0.44556401592119438</v>
      </c>
      <c r="AF75" s="80">
        <f>(SUM(Data!CY75:DE75)*2+Data!DF75)/('Useful Constants'!$B$1*1000000)*$K75/100</f>
        <v>0.42282240431166257</v>
      </c>
      <c r="AG75" s="80">
        <f>(SUM(Data!CZ75:DF75)*2+Data!DG75)/('Useful Constants'!$B$1*1000000)*$K75/100</f>
        <v>0.40441862922294547</v>
      </c>
      <c r="AH75" s="48">
        <f>Z75*'Useful Constants'!$B$3</f>
        <v>50.858560275794709</v>
      </c>
      <c r="AI75" s="48">
        <f>AA75*'Useful Constants'!$B$3</f>
        <v>46.477814016461842</v>
      </c>
      <c r="AJ75" s="48">
        <f>AB75*'Useful Constants'!$B$3</f>
        <v>42.14678316574085</v>
      </c>
      <c r="AK75" s="48">
        <f>AC75*'Useful Constants'!$B$3</f>
        <v>40.170662609546604</v>
      </c>
      <c r="AL75" s="48">
        <f>AD75*'Useful Constants'!$B$3</f>
        <v>38.770947879312338</v>
      </c>
      <c r="AM75" s="48">
        <f>AE75*'Useful Constants'!$B$3</f>
        <v>37.427377337380328</v>
      </c>
      <c r="AN75" s="48">
        <f>AF75*'Useful Constants'!$B$3</f>
        <v>35.517081962179653</v>
      </c>
      <c r="AO75" s="48">
        <f>AG75*'Useful Constants'!$B$3</f>
        <v>33.971164854727419</v>
      </c>
      <c r="AP75" s="10">
        <f>Z75*'Useful Constants'!$B$4</f>
        <v>16.952853425264905</v>
      </c>
      <c r="AQ75" s="10">
        <f>AA75*'Useful Constants'!$B$4</f>
        <v>15.492604672153947</v>
      </c>
      <c r="AR75" s="10">
        <f>AB75*'Useful Constants'!$B$4</f>
        <v>14.048927721913616</v>
      </c>
      <c r="AS75" s="10">
        <f>AC75*'Useful Constants'!$B$4</f>
        <v>13.390220869848868</v>
      </c>
      <c r="AT75" s="10">
        <f>AD75*'Useful Constants'!$B$4</f>
        <v>12.923649293104113</v>
      </c>
      <c r="AU75" s="10">
        <f>AE75*'Useful Constants'!$B$4</f>
        <v>12.475792445793443</v>
      </c>
      <c r="AV75" s="10">
        <f>AF75*'Useful Constants'!$B$4</f>
        <v>11.839027320726553</v>
      </c>
      <c r="AW75" s="10">
        <f>AG75*'Useful Constants'!$B$4</f>
        <v>11.323721618242473</v>
      </c>
      <c r="AX75" s="48">
        <f>P75/1000000/'Useful Constants'!$B$1*K75/100*'Useful Constants'!$B$3*15</f>
        <v>19943.605369481225</v>
      </c>
      <c r="AY75" s="48">
        <f>P75/1000000/'Useful Constants'!$B$1*L75/100*'Useful Constants'!$B$3*15</f>
        <v>5248.31720249506</v>
      </c>
      <c r="AZ75" s="48">
        <f>P75/1000000/'Useful Constants'!$B$1*K75/100*'Useful Constants'!$B$4*15</f>
        <v>6647.8684564937421</v>
      </c>
      <c r="BA75" s="48">
        <f>P75/1000000/'Useful Constants'!$B$1*L75/100*'Useful Constants'!$B$4*15</f>
        <v>1749.4390674983531</v>
      </c>
      <c r="BB75" s="7">
        <f>Data!AN75</f>
        <v>3659.0720299999998</v>
      </c>
      <c r="BC75" s="7">
        <f>Data!AQ75</f>
        <v>3659.0720299999998</v>
      </c>
      <c r="BD75" s="7">
        <f>Data!AT75</f>
        <v>7177.1648500000001</v>
      </c>
      <c r="BE75" s="6">
        <f>Data!AO75</f>
        <v>33391006921.9384</v>
      </c>
      <c r="BF75" s="6">
        <f>Data!AP75</f>
        <v>10930730269.070801</v>
      </c>
      <c r="BG75" s="6">
        <f>Data!AR75</f>
        <v>4491048576.8269901</v>
      </c>
      <c r="BH75" s="6">
        <f>Data!AS75</f>
        <v>4491048576.8269901</v>
      </c>
      <c r="BI75" s="8">
        <f t="shared" si="100"/>
        <v>0.88144654460544369</v>
      </c>
      <c r="BJ75" s="67">
        <f t="shared" si="101"/>
        <v>0.70878530799178119</v>
      </c>
      <c r="BK75" s="13">
        <f>BB75*'Useful Constants'!$B$5/'Useful Constants'!$B$6*'Useful Constants'!$B$7</f>
        <v>0.93635653247700013</v>
      </c>
      <c r="BL75" s="52">
        <f>1-VLOOKUP($G75,'Useful Constants'!$A$17:$X$23,10,FALSE)</f>
        <v>6.6471999999999865E-2</v>
      </c>
      <c r="BM75" s="52">
        <f>1-VLOOKUP($G75,'Useful Constants'!$A$17:$X$23,12,FALSE)</f>
        <v>4.945672000000001E-2</v>
      </c>
      <c r="BN75" s="52">
        <f>1-VLOOKUP($G75,'Useful Constants'!$A$17:$X$23,14,FALSE)</f>
        <v>3.4455679999999989E-2</v>
      </c>
      <c r="BO75" s="52">
        <f>1-VLOOKUP($G75,'Useful Constants'!$A$17:$X$23,16,FALSE)</f>
        <v>2.1468880000000024E-2</v>
      </c>
      <c r="BP75" s="52">
        <f>1-VLOOKUP($G75,'Useful Constants'!$A$17:$X$23,18,FALSE)</f>
        <v>0</v>
      </c>
      <c r="BQ75" s="52">
        <f>1-VLOOKUP($G75,'Useful Constants'!$A$17:$X$23,20, FALSE)</f>
        <v>0</v>
      </c>
      <c r="BR75" s="52">
        <f>1-VLOOKUP($G75,'Useful Constants'!$A$17:$X$23,22, FALSE)</f>
        <v>0</v>
      </c>
      <c r="BS75" s="52">
        <f>1-VLOOKUP($G75,'Useful Constants'!$A$17:$X$23,24, FALSE)</f>
        <v>0</v>
      </c>
      <c r="BT75" s="13">
        <f t="shared" si="102"/>
        <v>6.2241491426811027E-2</v>
      </c>
      <c r="BU75" s="13">
        <f t="shared" si="103"/>
        <v>4.630912284688591E-2</v>
      </c>
      <c r="BV75" s="13">
        <f t="shared" si="104"/>
        <v>3.2262801048937112E-2</v>
      </c>
      <c r="BW75" s="13">
        <f t="shared" si="105"/>
        <v>2.0102526032964842E-2</v>
      </c>
      <c r="BX75" s="13">
        <f t="shared" si="106"/>
        <v>0</v>
      </c>
      <c r="BY75" s="13">
        <f t="shared" si="107"/>
        <v>0</v>
      </c>
      <c r="BZ75" s="13">
        <f t="shared" si="108"/>
        <v>0</v>
      </c>
      <c r="CA75" s="13">
        <f t="shared" si="109"/>
        <v>0</v>
      </c>
      <c r="CB75" s="59">
        <f>+SUM(Data!BM75:BS75)*2+Data!BT75</f>
        <v>1331.0296747903938</v>
      </c>
      <c r="CC75" s="59">
        <f>+SUM(Data!BN75:BT75)*2+Data!BU75</f>
        <v>1177.8305503946801</v>
      </c>
      <c r="CD75" s="59">
        <f>+SUM(Data!BO75:BU75)*2+Data!BV75</f>
        <v>1196.5146953052497</v>
      </c>
      <c r="CE75" s="59">
        <f>+SUM(Data!BP75:BV75)*2+Data!BW75</f>
        <v>1195.1942369998062</v>
      </c>
      <c r="CF75" s="59">
        <f>+SUM(Data!BQ75:BW75)*2+Data!BX75</f>
        <v>1177.5358418249698</v>
      </c>
      <c r="CG75" s="59">
        <f>+SUM(Data!BR75:BX75)*2+Data!BY75</f>
        <v>1145.7279257975949</v>
      </c>
      <c r="CH75" s="59">
        <f>+SUM(Data!BS75:BY75)*2+Data!BZ75</f>
        <v>1206.1427730382829</v>
      </c>
      <c r="CI75" s="59">
        <f>+SUM(Data!BT75:BZ75)*2+Data!CA75</f>
        <v>1093.6227306301626</v>
      </c>
      <c r="CJ75" s="13">
        <f>+SUM(Data!AW75:BC75)*2+Data!BD75</f>
        <v>5713.2113965982517</v>
      </c>
      <c r="CK75" s="13">
        <f>+SUM(Data!AX75:BD75)*2+Data!BE75</f>
        <v>5066.2287280561814</v>
      </c>
      <c r="CL75" s="13">
        <f>+SUM(Data!AY75:BE75)*2+Data!BF75</f>
        <v>5140.4778946871565</v>
      </c>
      <c r="CM75" s="13">
        <f>+SUM(Data!AZ75:BF75)*2+Data!BG75</f>
        <v>5130.4063754113758</v>
      </c>
      <c r="CN75" s="13">
        <f>+SUM(Data!BA75:BG75)*2+Data!BH75</f>
        <v>5050.7805401124078</v>
      </c>
      <c r="CO75" s="13">
        <f>+SUM(Data!BB75:BH75)*2+Data!BI75</f>
        <v>4913.4910995108958</v>
      </c>
      <c r="CP75" s="13">
        <f>+SUM(Data!BC75:BI75)*2+Data!BJ75</f>
        <v>5173.0543871850859</v>
      </c>
      <c r="CQ75" s="13">
        <f>+SUM(Data!BD75:BJ75)*2+Data!BK75</f>
        <v>4689.4533159696684</v>
      </c>
      <c r="CR75" s="59">
        <f>+SUM(Data!CC75:CI75)*2+Data!CJ75</f>
        <v>2709.733419062175</v>
      </c>
      <c r="CS75" s="59">
        <f>+SUM(Data!CD75:CJ75)*2+Data!CK75</f>
        <v>2458.969169715735</v>
      </c>
      <c r="CT75" s="59">
        <f>+SUM(Data!CE75:CK75)*2+Data!CL75</f>
        <v>2456.2919126872903</v>
      </c>
      <c r="CU75" s="59">
        <f>+SUM(Data!CF75:CL75)*2+Data!CM75</f>
        <v>2458.3403347349054</v>
      </c>
      <c r="CV75" s="59">
        <f>+SUM(Data!CG75:CM75)*2+Data!CN75</f>
        <v>2379.9151190738944</v>
      </c>
      <c r="CW75" s="59">
        <f>+SUM(Data!CH75:CN75)*2+Data!CO75</f>
        <v>2335.6058391773249</v>
      </c>
      <c r="CX75" s="59">
        <f>+SUM(Data!CI75:CO75)*2+Data!CP75</f>
        <v>2472.5917625725783</v>
      </c>
      <c r="CY75" s="59">
        <f>+SUM(Data!CJ75:CP75)*2+Data!CQ75</f>
        <v>2231.2882951335755</v>
      </c>
      <c r="CZ75" s="60">
        <f t="shared" si="110"/>
        <v>9753.9744904508207</v>
      </c>
      <c r="DA75" s="60">
        <f t="shared" si="111"/>
        <v>8703.0284481665967</v>
      </c>
      <c r="DB75" s="60">
        <f t="shared" si="112"/>
        <v>8793.2845026796967</v>
      </c>
      <c r="DC75" s="60">
        <f t="shared" si="113"/>
        <v>8783.9409471460876</v>
      </c>
      <c r="DD75" s="60">
        <f t="shared" si="114"/>
        <v>8608.2315010112725</v>
      </c>
      <c r="DE75" s="60">
        <f t="shared" si="115"/>
        <v>8394.8248644858159</v>
      </c>
      <c r="DF75" s="60">
        <f t="shared" si="116"/>
        <v>8851.7889227959477</v>
      </c>
      <c r="DG75" s="60">
        <f t="shared" si="117"/>
        <v>8014.364341733406</v>
      </c>
      <c r="DH75" s="13">
        <f t="shared" si="118"/>
        <v>6.399499503684869E-2</v>
      </c>
      <c r="DI75" s="13">
        <f t="shared" si="119"/>
        <v>4.7613770473866023E-2</v>
      </c>
      <c r="DJ75" s="13">
        <f t="shared" si="120"/>
        <v>3.3171727503178032E-2</v>
      </c>
      <c r="DK75" s="13">
        <f t="shared" si="121"/>
        <v>2.066886612478494E-2</v>
      </c>
      <c r="DL75" s="13">
        <f t="shared" si="122"/>
        <v>0</v>
      </c>
      <c r="DM75" s="13">
        <f t="shared" si="123"/>
        <v>0</v>
      </c>
      <c r="DN75" s="13">
        <f t="shared" si="124"/>
        <v>0</v>
      </c>
      <c r="DO75" s="13">
        <f t="shared" si="125"/>
        <v>0</v>
      </c>
      <c r="DP75" s="50">
        <f>DH75*'Useful Constants'!$B$8</f>
        <v>272.61867885697541</v>
      </c>
      <c r="DQ75" s="50">
        <f>DI75*'Useful Constants'!$B$8</f>
        <v>202.83466221866925</v>
      </c>
      <c r="DR75" s="50">
        <f>DJ75*'Useful Constants'!$B$10</f>
        <v>80.607297832722622</v>
      </c>
      <c r="DS75" s="50">
        <f>DK75*'Useful Constants'!$B$10</f>
        <v>50.225344683227405</v>
      </c>
      <c r="DT75" s="50">
        <f>DL75*'Useful Constants'!$B$10</f>
        <v>0</v>
      </c>
      <c r="DU75" s="50">
        <f>DM75*'Useful Constants'!$B$10</f>
        <v>0</v>
      </c>
      <c r="DV75" s="50">
        <f>DN75*'Useful Constants'!$B$10</f>
        <v>0</v>
      </c>
      <c r="DW75" s="50">
        <f>DO75*'Useful Constants'!$B$10</f>
        <v>0</v>
      </c>
      <c r="DX75" s="14">
        <f>DH75*'Useful Constants'!$B$9</f>
        <v>123.12637045089689</v>
      </c>
      <c r="DY75" s="14">
        <f>DI75*'Useful Constants'!$B$9</f>
        <v>91.608894391718223</v>
      </c>
      <c r="DZ75" s="14">
        <f>DJ75*'Useful Constants'!$B$11</f>
        <v>22.457259519651529</v>
      </c>
      <c r="EA75" s="14">
        <f>DK75*'Useful Constants'!$B$11</f>
        <v>13.992822366479405</v>
      </c>
      <c r="EB75" s="14">
        <f>DL75*'Useful Constants'!$B$11</f>
        <v>0</v>
      </c>
      <c r="EC75" s="14">
        <f>DM75*'Useful Constants'!$B$11</f>
        <v>0</v>
      </c>
      <c r="ED75" s="14">
        <f>DN75*'Useful Constants'!$B$11</f>
        <v>0</v>
      </c>
      <c r="EE75" s="14">
        <f>DO75*'Useful Constants'!$B$11</f>
        <v>0</v>
      </c>
      <c r="EF75" s="78">
        <f>(SUM(Data!DI75:DO75)*2+Data!DP75)/('Useful Constants'!$B$1*1000000)*$K75/100</f>
        <v>35.599312154038323</v>
      </c>
      <c r="EG75" s="78">
        <f>(SUM(Data!DJ75:DP75)*2+Data!DQ75)/('Useful Constants'!$B$1*1000000)*$K75/100</f>
        <v>32.953813911970727</v>
      </c>
      <c r="EH75" s="78">
        <f>(SUM(Data!DK75:DQ75)*2+Data!DR75)/('Useful Constants'!$B$1*1000000)*$K75/100</f>
        <v>30.271768111048399</v>
      </c>
      <c r="EI75" s="78">
        <f>(SUM(Data!DL75:DR75)*2+Data!DS75)/('Useful Constants'!$B$1*1000000)*$K75/100</f>
        <v>29.062879987465177</v>
      </c>
      <c r="EJ75" s="78">
        <f>(SUM(Data!DM75:DS75)*2+Data!DT75)/('Useful Constants'!$B$1*1000000)*$K75/100</f>
        <v>28.098958197611786</v>
      </c>
      <c r="EK75" s="78">
        <f>(SUM(Data!DN75:DT75)*2+Data!DU75)/('Useful Constants'!$B$1*1000000)*$K75/100</f>
        <v>27.157344514170113</v>
      </c>
      <c r="EL75" s="78">
        <f>(SUM(Data!DO75:DU75)*2+Data!DV75)/('Useful Constants'!$B$1*1000000)*$K75/100</f>
        <v>25.869257735448809</v>
      </c>
      <c r="EM75" s="78">
        <f>(SUM(Data!DP75:DV75)*2+Data!DW75)/('Useful Constants'!$B$1*1000000)*$K75/100</f>
        <v>24.836188899691315</v>
      </c>
      <c r="EN75" s="79">
        <f>EF75*'Useful Constants'!$B$3</f>
        <v>2990.3422209392193</v>
      </c>
      <c r="EO75" s="79">
        <f>EG75*'Useful Constants'!$B$3</f>
        <v>2768.120368605541</v>
      </c>
      <c r="EP75" s="79">
        <f>EH75*'Useful Constants'!$B$3</f>
        <v>2542.8285213280656</v>
      </c>
      <c r="EQ75" s="79">
        <f>EI75*'Useful Constants'!$B$3</f>
        <v>2441.2819189470747</v>
      </c>
      <c r="ER75" s="79">
        <f>EJ75*'Useful Constants'!$B$3</f>
        <v>2360.3124885993902</v>
      </c>
      <c r="ES75" s="79">
        <f>EK75*'Useful Constants'!$B$3</f>
        <v>2281.2169391902894</v>
      </c>
      <c r="ET75" s="79">
        <f>EL75*'Useful Constants'!$B$3</f>
        <v>2173.0176497776997</v>
      </c>
      <c r="EU75" s="79">
        <f>EM75*'Useful Constants'!$B$3</f>
        <v>2086.2398675740706</v>
      </c>
      <c r="EV75" s="78">
        <f>EF75*'Useful Constants'!$B$4</f>
        <v>996.78074031307301</v>
      </c>
      <c r="EW75" s="78">
        <f>EG75*'Useful Constants'!$B$4</f>
        <v>922.70678953518041</v>
      </c>
      <c r="EX75" s="78">
        <f>EH75*'Useful Constants'!$B$4</f>
        <v>847.60950710935515</v>
      </c>
      <c r="EY75" s="78">
        <f>EI75*'Useful Constants'!$B$4</f>
        <v>813.76063964902494</v>
      </c>
      <c r="EZ75" s="78">
        <f>EJ75*'Useful Constants'!$B$4</f>
        <v>786.77082953313004</v>
      </c>
      <c r="FA75" s="78">
        <f>EK75*'Useful Constants'!$B$4</f>
        <v>760.40564639676313</v>
      </c>
      <c r="FB75" s="78">
        <f>EL75*'Useful Constants'!$B$4</f>
        <v>724.33921659256669</v>
      </c>
      <c r="FC75" s="78">
        <f>EM75*'Useful Constants'!$B$4</f>
        <v>695.41328919135685</v>
      </c>
      <c r="FD75" s="40">
        <f t="shared" si="126"/>
        <v>0.6912619080913166</v>
      </c>
      <c r="FE75" s="40">
        <f t="shared" si="127"/>
        <v>0.72436143064463177</v>
      </c>
      <c r="FF75" s="40">
        <f t="shared" si="128"/>
        <v>0.72152247427800109</v>
      </c>
      <c r="FG75" s="40">
        <f t="shared" si="129"/>
        <v>0.72181837578356067</v>
      </c>
      <c r="FH75" s="40">
        <f t="shared" si="130"/>
        <v>0.72736217820724824</v>
      </c>
      <c r="FI75" s="40">
        <f t="shared" si="131"/>
        <v>0.73408902708600998</v>
      </c>
      <c r="FJ75" s="40">
        <f t="shared" si="132"/>
        <v>0.71968122743041585</v>
      </c>
      <c r="FK75" s="40">
        <f t="shared" si="133"/>
        <v>0.74608833489762993</v>
      </c>
      <c r="FL75" s="4">
        <f t="shared" si="134"/>
        <v>0.77097303381491</v>
      </c>
      <c r="FM75" s="4">
        <f t="shared" si="135"/>
        <v>0.79451719556510658</v>
      </c>
      <c r="FN75" s="4">
        <f t="shared" si="136"/>
        <v>0.79903802170090787</v>
      </c>
      <c r="FO75" s="4">
        <f t="shared" si="137"/>
        <v>0.80151784843447516</v>
      </c>
      <c r="FP75" s="4">
        <f t="shared" si="138"/>
        <v>0.80690734941090936</v>
      </c>
      <c r="FQ75" s="4">
        <f t="shared" si="139"/>
        <v>0.81203955868181887</v>
      </c>
      <c r="FR75" s="4">
        <f t="shared" si="140"/>
        <v>0.80591845010017504</v>
      </c>
      <c r="FS75" s="4">
        <f t="shared" si="141"/>
        <v>0.82213953903780512</v>
      </c>
      <c r="FT75" s="38">
        <f t="shared" si="142"/>
        <v>0.7282025568357019</v>
      </c>
      <c r="FU75" s="38">
        <f t="shared" si="143"/>
        <v>0.75698656141591503</v>
      </c>
      <c r="FV75" s="38">
        <f t="shared" si="144"/>
        <v>0.75834152819771872</v>
      </c>
      <c r="FW75" s="38">
        <f t="shared" si="145"/>
        <v>0.75962938752976705</v>
      </c>
      <c r="FX75" s="38">
        <f t="shared" si="146"/>
        <v>0.76503155639946485</v>
      </c>
      <c r="FY75" s="38">
        <f t="shared" si="147"/>
        <v>0.77100383127139027</v>
      </c>
      <c r="FZ75" s="38">
        <f t="shared" si="148"/>
        <v>0.76051733724388704</v>
      </c>
      <c r="GA75" s="38">
        <f t="shared" si="149"/>
        <v>0.78210425132170125</v>
      </c>
    </row>
    <row r="76" spans="1:183" x14ac:dyDescent="0.25">
      <c r="A76" s="1" t="str">
        <f>Data!A76</f>
        <v>PA_BRADFORD-RGNL-AP_725266_TY3A</v>
      </c>
      <c r="B76" s="1" t="str">
        <f>TY3A_REP_CITIES!B76</f>
        <v>Bradford</v>
      </c>
      <c r="C76" s="1" t="str">
        <f>TY3A_REP_CITIES!C76</f>
        <v>McKean</v>
      </c>
      <c r="D76" s="2" t="str">
        <f>TY3A_REP_CITIES!A76</f>
        <v>PA</v>
      </c>
      <c r="E76" s="42">
        <f>TY3A_REP_CITIES!E76</f>
        <v>40625</v>
      </c>
      <c r="F76" s="2">
        <f>TY3A_REP_CITIES!G76</f>
        <v>6</v>
      </c>
      <c r="G76" s="2" t="str">
        <f>TY3A_REP_CITIES!H76</f>
        <v>Cold</v>
      </c>
      <c r="H76" s="2" t="str">
        <f>TY3A_REP_CITIES!I76</f>
        <v>Northeast</v>
      </c>
      <c r="I76" s="2">
        <f>Data!B76</f>
        <v>41.8</v>
      </c>
      <c r="J76" s="2">
        <f>Data!C76</f>
        <v>-78.63</v>
      </c>
      <c r="K76" s="2">
        <f>VLOOKUP(D76,Table1[],2,FALSE)</f>
        <v>0.9</v>
      </c>
      <c r="L76" s="2">
        <v>0.5</v>
      </c>
      <c r="M76" s="10">
        <f>Data!N76</f>
        <v>5003.1549500000001</v>
      </c>
      <c r="N76" s="10">
        <f>Data!Q76</f>
        <v>29308</v>
      </c>
      <c r="O76" s="10">
        <f>Data!O76</f>
        <v>76656101226.616104</v>
      </c>
      <c r="P76" s="10">
        <f>Data!P76</f>
        <v>79850105444.39151</v>
      </c>
      <c r="Q76" s="10">
        <f>Data!S76*15</f>
        <v>60248.020734901635</v>
      </c>
      <c r="R76" s="48">
        <f>SUM(Data!U76:AA76)*2+Data!AB76</f>
        <v>960.42332265440132</v>
      </c>
      <c r="S76" s="48">
        <f>SUM(Data!V76:AB76)*2+Data!AC76</f>
        <v>978.57596136837606</v>
      </c>
      <c r="T76" s="48">
        <f>SUM(Data!W76:AC76)*2+Data!AD76</f>
        <v>837.65933072642144</v>
      </c>
      <c r="U76" s="48">
        <f>SUM(Data!X76:AD76)*2+Data!AE76</f>
        <v>709.88248215613896</v>
      </c>
      <c r="V76" s="48">
        <f>SUM(Data!Y76:AE76)*2+Data!AF76</f>
        <v>740.89543998631848</v>
      </c>
      <c r="W76" s="48">
        <f>SUM(Data!Z76:AF76)*2+Data!AG76</f>
        <v>676.13849964039991</v>
      </c>
      <c r="X76" s="48">
        <f>SUM(Data!AA76:AG76)*2+Data!AH76</f>
        <v>604.11975453553464</v>
      </c>
      <c r="Y76" s="48">
        <f>SUM(Data!AB76:AH76)*2+Data!AI76</f>
        <v>499.24357967216883</v>
      </c>
      <c r="Z76" s="80">
        <f>(SUM(Data!CS76:CY76)*2+Data!CZ76)/('Useful Constants'!$B$1*1000000)*$K76/100</f>
        <v>1.7442194518163217</v>
      </c>
      <c r="AA76" s="80">
        <f>(SUM(Data!CT76:CZ76)*2+Data!DA76)/('Useful Constants'!$B$1*1000000)*$K76/100</f>
        <v>1.6779055126922318</v>
      </c>
      <c r="AB76" s="80">
        <f>(SUM(Data!CU76:DA76)*2+Data!DB76)/('Useful Constants'!$B$1*1000000)*$K76/100</f>
        <v>1.6077709903608022</v>
      </c>
      <c r="AC76" s="80">
        <f>(SUM(Data!CV76:DB76)*2+Data!DC76)/('Useful Constants'!$B$1*1000000)*$K76/100</f>
        <v>1.5376190171473132</v>
      </c>
      <c r="AD76" s="80">
        <f>(SUM(Data!CW76:DC76)*2+Data!DD76)/('Useful Constants'!$B$1*1000000)*$K76/100</f>
        <v>1.4800544522043217</v>
      </c>
      <c r="AE76" s="80">
        <f>(SUM(Data!CX76:DD76)*2+Data!DE76)/('Useful Constants'!$B$1*1000000)*$K76/100</f>
        <v>1.4432254224923236</v>
      </c>
      <c r="AF76" s="80">
        <f>(SUM(Data!CY76:DE76)*2+Data!DF76)/('Useful Constants'!$B$1*1000000)*$K76/100</f>
        <v>1.4171603214657671</v>
      </c>
      <c r="AG76" s="80">
        <f>(SUM(Data!CZ76:DF76)*2+Data!DG76)/('Useful Constants'!$B$1*1000000)*$K76/100</f>
        <v>1.3847774436029576</v>
      </c>
      <c r="AH76" s="48">
        <f>Z76*'Useful Constants'!$B$3</f>
        <v>146.51443395257101</v>
      </c>
      <c r="AI76" s="48">
        <f>AA76*'Useful Constants'!$B$3</f>
        <v>140.94406306614746</v>
      </c>
      <c r="AJ76" s="48">
        <f>AB76*'Useful Constants'!$B$3</f>
        <v>135.05276319030739</v>
      </c>
      <c r="AK76" s="48">
        <f>AC76*'Useful Constants'!$B$3</f>
        <v>129.1599974403743</v>
      </c>
      <c r="AL76" s="48">
        <f>AD76*'Useful Constants'!$B$3</f>
        <v>124.32457398516303</v>
      </c>
      <c r="AM76" s="48">
        <f>AE76*'Useful Constants'!$B$3</f>
        <v>121.23093548935518</v>
      </c>
      <c r="AN76" s="48">
        <f>AF76*'Useful Constants'!$B$3</f>
        <v>119.04146700312444</v>
      </c>
      <c r="AO76" s="48">
        <f>AG76*'Useful Constants'!$B$3</f>
        <v>116.32130526264844</v>
      </c>
      <c r="AP76" s="10">
        <f>Z76*'Useful Constants'!$B$4</f>
        <v>48.838144650857004</v>
      </c>
      <c r="AQ76" s="10">
        <f>AA76*'Useful Constants'!$B$4</f>
        <v>46.981354355382493</v>
      </c>
      <c r="AR76" s="10">
        <f>AB76*'Useful Constants'!$B$4</f>
        <v>45.017587730102463</v>
      </c>
      <c r="AS76" s="10">
        <f>AC76*'Useful Constants'!$B$4</f>
        <v>43.053332480124766</v>
      </c>
      <c r="AT76" s="10">
        <f>AD76*'Useful Constants'!$B$4</f>
        <v>41.441524661721012</v>
      </c>
      <c r="AU76" s="10">
        <f>AE76*'Useful Constants'!$B$4</f>
        <v>40.410311829785059</v>
      </c>
      <c r="AV76" s="10">
        <f>AF76*'Useful Constants'!$B$4</f>
        <v>39.680489001041479</v>
      </c>
      <c r="AW76" s="10">
        <f>AG76*'Useful Constants'!$B$4</f>
        <v>38.773768420882817</v>
      </c>
      <c r="AX76" s="48">
        <f>P76/1000000/'Useful Constants'!$B$1*K76/100*'Useful Constants'!$B$3*15</f>
        <v>18110.003914787994</v>
      </c>
      <c r="AY76" s="48">
        <f>P76/1000000/'Useful Constants'!$B$1*L76/100*'Useful Constants'!$B$3*15</f>
        <v>10061.113285993331</v>
      </c>
      <c r="AZ76" s="48">
        <f>P76/1000000/'Useful Constants'!$B$1*K76/100*'Useful Constants'!$B$4*15</f>
        <v>6036.6679715959981</v>
      </c>
      <c r="BA76" s="48">
        <f>P76/1000000/'Useful Constants'!$B$1*L76/100*'Useful Constants'!$B$4*15</f>
        <v>3353.7044286644436</v>
      </c>
      <c r="BB76" s="7">
        <f>Data!AN76</f>
        <v>5003.1549500000001</v>
      </c>
      <c r="BC76" s="7">
        <f>Data!AQ76</f>
        <v>5003.1549500000001</v>
      </c>
      <c r="BD76" s="7">
        <f>Data!AT76</f>
        <v>8756.3261399999992</v>
      </c>
      <c r="BE76" s="6">
        <f>Data!AO76</f>
        <v>54381763646.968498</v>
      </c>
      <c r="BF76" s="6">
        <f>Data!AP76</f>
        <v>19985337287.563202</v>
      </c>
      <c r="BG76" s="6">
        <f>Data!AR76</f>
        <v>19135603100.085899</v>
      </c>
      <c r="BH76" s="6">
        <f>Data!AS76</f>
        <v>19135603100.085899</v>
      </c>
      <c r="BI76" s="8">
        <f t="shared" si="100"/>
        <v>0.73971315966845885</v>
      </c>
      <c r="BJ76" s="8">
        <f t="shared" si="101"/>
        <v>0.51086034971369931</v>
      </c>
      <c r="BK76" s="13">
        <f>BB76*'Useful Constants'!$B$5/'Useful Constants'!$B$6*'Useful Constants'!$B$7</f>
        <v>1.2803073517050001</v>
      </c>
      <c r="BL76" s="52">
        <f>1-VLOOKUP($G76,'Useful Constants'!$A$17:$X$23,10,FALSE)</f>
        <v>6.6471999999999865E-2</v>
      </c>
      <c r="BM76" s="52">
        <f>1-VLOOKUP($G76,'Useful Constants'!$A$17:$X$23,12,FALSE)</f>
        <v>4.945672000000001E-2</v>
      </c>
      <c r="BN76" s="52">
        <f>1-VLOOKUP($G76,'Useful Constants'!$A$17:$X$23,14,FALSE)</f>
        <v>3.4455679999999989E-2</v>
      </c>
      <c r="BO76" s="52">
        <f>1-VLOOKUP($G76,'Useful Constants'!$A$17:$X$23,16,FALSE)</f>
        <v>2.1468880000000024E-2</v>
      </c>
      <c r="BP76" s="52">
        <f>1-VLOOKUP($G76,'Useful Constants'!$A$17:$X$23,18,FALSE)</f>
        <v>0</v>
      </c>
      <c r="BQ76" s="52">
        <f>1-VLOOKUP($G76,'Useful Constants'!$A$17:$X$23,20, FALSE)</f>
        <v>0</v>
      </c>
      <c r="BR76" s="52">
        <f>1-VLOOKUP($G76,'Useful Constants'!$A$17:$X$23,22, FALSE)</f>
        <v>0</v>
      </c>
      <c r="BS76" s="52">
        <f>1-VLOOKUP($G76,'Useful Constants'!$A$17:$X$23,24, FALSE)</f>
        <v>0</v>
      </c>
      <c r="BT76" s="13">
        <f t="shared" si="102"/>
        <v>8.5104590282534587E-2</v>
      </c>
      <c r="BU76" s="13">
        <f t="shared" si="103"/>
        <v>6.3319802207215725E-2</v>
      </c>
      <c r="BV76" s="13">
        <f t="shared" si="104"/>
        <v>4.4113860411994922E-2</v>
      </c>
      <c r="BW76" s="13">
        <f t="shared" si="105"/>
        <v>2.7486764896872472E-2</v>
      </c>
      <c r="BX76" s="13">
        <f t="shared" si="106"/>
        <v>0</v>
      </c>
      <c r="BY76" s="13">
        <f t="shared" si="107"/>
        <v>0</v>
      </c>
      <c r="BZ76" s="13">
        <f t="shared" si="108"/>
        <v>0</v>
      </c>
      <c r="CA76" s="13">
        <f t="shared" si="109"/>
        <v>0</v>
      </c>
      <c r="CB76" s="59">
        <f>+SUM(Data!BM76:BS76)*2+Data!BT76</f>
        <v>5328.3919044702443</v>
      </c>
      <c r="CC76" s="59">
        <f>+SUM(Data!BN76:BT76)*2+Data!BU76</f>
        <v>5434.874265167894</v>
      </c>
      <c r="CD76" s="59">
        <f>+SUM(Data!BO76:BU76)*2+Data!BV76</f>
        <v>4668.0215622905434</v>
      </c>
      <c r="CE76" s="59">
        <f>+SUM(Data!BP76:BV76)*2+Data!BW76</f>
        <v>3947.5151258971232</v>
      </c>
      <c r="CF76" s="59">
        <f>+SUM(Data!BQ76:BW76)*2+Data!BX76</f>
        <v>4122.7820635081625</v>
      </c>
      <c r="CG76" s="59">
        <f>+SUM(Data!BR76:BX76)*2+Data!BY76</f>
        <v>3761.3342675315612</v>
      </c>
      <c r="CH76" s="59">
        <f>+SUM(Data!BS76:BY76)*2+Data!BZ76</f>
        <v>3353.6047885132539</v>
      </c>
      <c r="CI76" s="59">
        <f>+SUM(Data!BT76:BZ76)*2+Data!CA76</f>
        <v>2781.6313995780356</v>
      </c>
      <c r="CJ76" s="13">
        <f>+SUM(Data!AW76:BC76)*2+Data!BD76</f>
        <v>26628.211631505437</v>
      </c>
      <c r="CK76" s="13">
        <f>+SUM(Data!AX76:BD76)*2+Data!BE76</f>
        <v>27151.542976118595</v>
      </c>
      <c r="CL76" s="13">
        <f>+SUM(Data!AY76:BE76)*2+Data!BF76</f>
        <v>23269.487180651646</v>
      </c>
      <c r="CM76" s="13">
        <f>+SUM(Data!AZ76:BF76)*2+Data!BG76</f>
        <v>19673.912162521709</v>
      </c>
      <c r="CN76" s="13">
        <f>+SUM(Data!BA76:BG76)*2+Data!BH76</f>
        <v>20533.050778719982</v>
      </c>
      <c r="CO76" s="13">
        <f>+SUM(Data!BB76:BH76)*2+Data!BI76</f>
        <v>18745.475402164469</v>
      </c>
      <c r="CP76" s="13">
        <f>+SUM(Data!BC76:BI76)*2+Data!BJ76</f>
        <v>16721.894848330503</v>
      </c>
      <c r="CQ76" s="13">
        <f>+SUM(Data!BD76:BJ76)*2+Data!BK76</f>
        <v>13853.043101162795</v>
      </c>
      <c r="CR76" s="59">
        <f>+SUM(Data!CC76:CI76)*2+Data!CJ76</f>
        <v>26309.208889426871</v>
      </c>
      <c r="CS76" s="59">
        <f>+SUM(Data!CD76:CJ76)*2+Data!CK76</f>
        <v>26608.725545617057</v>
      </c>
      <c r="CT76" s="59">
        <f>+SUM(Data!CE76:CK76)*2+Data!CL76</f>
        <v>22217.931884879901</v>
      </c>
      <c r="CU76" s="59">
        <f>+SUM(Data!CF76:CL76)*2+Data!CM76</f>
        <v>18960.042828478665</v>
      </c>
      <c r="CV76" s="59">
        <f>+SUM(Data!CG76:CM76)*2+Data!CN76</f>
        <v>19675.844602119261</v>
      </c>
      <c r="CW76" s="59">
        <f>+SUM(Data!CH76:CN76)*2+Data!CO76</f>
        <v>17923.567511336729</v>
      </c>
      <c r="CX76" s="59">
        <f>+SUM(Data!CI76:CO76)*2+Data!CP76</f>
        <v>16182.480650280604</v>
      </c>
      <c r="CY76" s="59">
        <f>+SUM(Data!CJ76:CP76)*2+Data!CQ76</f>
        <v>13116.288096173996</v>
      </c>
      <c r="CZ76" s="60">
        <f t="shared" si="110"/>
        <v>58265.812425402553</v>
      </c>
      <c r="DA76" s="60">
        <f t="shared" si="111"/>
        <v>59195.142786903547</v>
      </c>
      <c r="DB76" s="60">
        <f t="shared" si="112"/>
        <v>50155.440627822092</v>
      </c>
      <c r="DC76" s="60">
        <f t="shared" si="113"/>
        <v>42581.470116897501</v>
      </c>
      <c r="DD76" s="60">
        <f t="shared" si="114"/>
        <v>44331.677444347406</v>
      </c>
      <c r="DE76" s="60">
        <f t="shared" si="115"/>
        <v>40430.37718103276</v>
      </c>
      <c r="DF76" s="60">
        <f t="shared" si="116"/>
        <v>36257.980287124359</v>
      </c>
      <c r="DG76" s="60">
        <f t="shared" si="117"/>
        <v>29750.962596914826</v>
      </c>
      <c r="DH76" s="13">
        <f t="shared" si="118"/>
        <v>8.7502206452556477E-2</v>
      </c>
      <c r="DI76" s="13">
        <f t="shared" si="119"/>
        <v>6.5103684617677945E-2</v>
      </c>
      <c r="DJ76" s="13">
        <f t="shared" si="120"/>
        <v>4.5356661824877041E-2</v>
      </c>
      <c r="DK76" s="13">
        <f t="shared" si="121"/>
        <v>2.8261138074154028E-2</v>
      </c>
      <c r="DL76" s="13">
        <f t="shared" si="122"/>
        <v>0</v>
      </c>
      <c r="DM76" s="13">
        <f t="shared" si="123"/>
        <v>0</v>
      </c>
      <c r="DN76" s="13">
        <f t="shared" si="124"/>
        <v>0</v>
      </c>
      <c r="DO76" s="13">
        <f t="shared" si="125"/>
        <v>0</v>
      </c>
      <c r="DP76" s="50">
        <f>DH76*'Useful Constants'!$B$8</f>
        <v>372.75939948789062</v>
      </c>
      <c r="DQ76" s="50">
        <f>DI76*'Useful Constants'!$B$8</f>
        <v>277.34169647130807</v>
      </c>
      <c r="DR76" s="50">
        <f>DJ76*'Useful Constants'!$B$10</f>
        <v>110.21668823445121</v>
      </c>
      <c r="DS76" s="50">
        <f>DK76*'Useful Constants'!$B$10</f>
        <v>68.674565520194292</v>
      </c>
      <c r="DT76" s="50">
        <f>DL76*'Useful Constants'!$B$10</f>
        <v>0</v>
      </c>
      <c r="DU76" s="50">
        <f>DM76*'Useful Constants'!$B$10</f>
        <v>0</v>
      </c>
      <c r="DV76" s="50">
        <f>DN76*'Useful Constants'!$B$10</f>
        <v>0</v>
      </c>
      <c r="DW76" s="50">
        <f>DO76*'Useful Constants'!$B$10</f>
        <v>0</v>
      </c>
      <c r="DX76" s="14">
        <f>DH76*'Useful Constants'!$B$9</f>
        <v>168.35424521471867</v>
      </c>
      <c r="DY76" s="14">
        <f>DI76*'Useful Constants'!$B$9</f>
        <v>125.25948920441236</v>
      </c>
      <c r="DZ76" s="14">
        <f>DJ76*'Useful Constants'!$B$11</f>
        <v>30.706460055441756</v>
      </c>
      <c r="EA76" s="14">
        <f>DK76*'Useful Constants'!$B$11</f>
        <v>19.132790476202278</v>
      </c>
      <c r="EB76" s="14">
        <f>DL76*'Useful Constants'!$B$11</f>
        <v>0</v>
      </c>
      <c r="EC76" s="14">
        <f>DM76*'Useful Constants'!$B$11</f>
        <v>0</v>
      </c>
      <c r="ED76" s="14">
        <f>DN76*'Useful Constants'!$B$11</f>
        <v>0</v>
      </c>
      <c r="EE76" s="14">
        <f>DO76*'Useful Constants'!$B$11</f>
        <v>0</v>
      </c>
      <c r="EF76" s="78">
        <f>(SUM(Data!DI76:DO76)*2+Data!DP76)/('Useful Constants'!$B$1*1000000)*$K76/100</f>
        <v>104.37985285631059</v>
      </c>
      <c r="EG76" s="78">
        <f>(SUM(Data!DJ76:DP76)*2+Data!DQ76)/('Useful Constants'!$B$1*1000000)*$K76/100</f>
        <v>100.61330271774986</v>
      </c>
      <c r="EH76" s="78">
        <f>(SUM(Data!DK76:DQ76)*2+Data!DR76)/('Useful Constants'!$B$1*1000000)*$K76/100</f>
        <v>96.642597404909878</v>
      </c>
      <c r="EI76" s="78">
        <f>(SUM(Data!DL76:DR76)*2+Data!DS76)/('Useful Constants'!$B$1*1000000)*$K76/100</f>
        <v>92.586966350202715</v>
      </c>
      <c r="EJ76" s="78">
        <f>(SUM(Data!DM76:DS76)*2+Data!DT76)/('Useful Constants'!$B$1*1000000)*$K76/100</f>
        <v>89.316165293241625</v>
      </c>
      <c r="EK76" s="78">
        <f>(SUM(Data!DN76:DT76)*2+Data!DU76)/('Useful Constants'!$B$1*1000000)*$K76/100</f>
        <v>87.279163894528011</v>
      </c>
      <c r="EL76" s="78">
        <f>(SUM(Data!DO76:DU76)*2+Data!DV76)/('Useful Constants'!$B$1*1000000)*$K76/100</f>
        <v>85.806718632998056</v>
      </c>
      <c r="EM76" s="78">
        <f>(SUM(Data!DP76:DV76)*2+Data!DW76)/('Useful Constants'!$B$1*1000000)*$K76/100</f>
        <v>83.900915616971162</v>
      </c>
      <c r="EN76" s="79">
        <f>EF76*'Useful Constants'!$B$3</f>
        <v>8767.9076399300902</v>
      </c>
      <c r="EO76" s="79">
        <f>EG76*'Useful Constants'!$B$3</f>
        <v>8451.5174282909884</v>
      </c>
      <c r="EP76" s="79">
        <f>EH76*'Useful Constants'!$B$3</f>
        <v>8117.9781820124299</v>
      </c>
      <c r="EQ76" s="79">
        <f>EI76*'Useful Constants'!$B$3</f>
        <v>7777.3051734170276</v>
      </c>
      <c r="ER76" s="79">
        <f>EJ76*'Useful Constants'!$B$3</f>
        <v>7502.5578846322969</v>
      </c>
      <c r="ES76" s="79">
        <f>EK76*'Useful Constants'!$B$3</f>
        <v>7331.4497671403533</v>
      </c>
      <c r="ET76" s="79">
        <f>EL76*'Useful Constants'!$B$3</f>
        <v>7207.7643651718363</v>
      </c>
      <c r="EU76" s="79">
        <f>EM76*'Useful Constants'!$B$3</f>
        <v>7047.6769118255779</v>
      </c>
      <c r="EV76" s="78">
        <f>EF76*'Useful Constants'!$B$4</f>
        <v>2922.6358799766967</v>
      </c>
      <c r="EW76" s="78">
        <f>EG76*'Useful Constants'!$B$4</f>
        <v>2817.172476096996</v>
      </c>
      <c r="EX76" s="78">
        <f>EH76*'Useful Constants'!$B$4</f>
        <v>2705.9927273374765</v>
      </c>
      <c r="EY76" s="78">
        <f>EI76*'Useful Constants'!$B$4</f>
        <v>2592.435057805676</v>
      </c>
      <c r="EZ76" s="78">
        <f>EJ76*'Useful Constants'!$B$4</f>
        <v>2500.8526282107655</v>
      </c>
      <c r="FA76" s="78">
        <f>EK76*'Useful Constants'!$B$4</f>
        <v>2443.8165890467844</v>
      </c>
      <c r="FB76" s="78">
        <f>EL76*'Useful Constants'!$B$4</f>
        <v>2402.5881217239457</v>
      </c>
      <c r="FC76" s="78">
        <f>EM76*'Useful Constants'!$B$4</f>
        <v>2349.2256372751926</v>
      </c>
      <c r="FD76" s="40">
        <f t="shared" si="126"/>
        <v>4.8075582992870118E-2</v>
      </c>
      <c r="FE76" s="40">
        <f t="shared" si="127"/>
        <v>3.3179272064459246E-2</v>
      </c>
      <c r="FF76" s="40">
        <f t="shared" si="128"/>
        <v>0.17893292545917378</v>
      </c>
      <c r="FG76" s="40">
        <f t="shared" si="129"/>
        <v>0.30146104328303103</v>
      </c>
      <c r="FH76" s="40">
        <f t="shared" si="130"/>
        <v>0.27311911368903991</v>
      </c>
      <c r="FI76" s="40">
        <f t="shared" si="131"/>
        <v>0.33638186084133864</v>
      </c>
      <c r="FJ76" s="40">
        <f t="shared" si="132"/>
        <v>0.40416261456870051</v>
      </c>
      <c r="FK76" s="40">
        <f t="shared" si="133"/>
        <v>0.51025016628152409</v>
      </c>
      <c r="FL76" s="4">
        <f t="shared" si="134"/>
        <v>0.24707434182077484</v>
      </c>
      <c r="FM76" s="4">
        <f t="shared" si="135"/>
        <v>0.24140026822916283</v>
      </c>
      <c r="FN76" s="4">
        <f t="shared" si="136"/>
        <v>0.34687965984889196</v>
      </c>
      <c r="FO76" s="4">
        <f t="shared" si="137"/>
        <v>0.43503833910552803</v>
      </c>
      <c r="FP76" s="4">
        <f t="shared" si="138"/>
        <v>0.41944774516709943</v>
      </c>
      <c r="FQ76" s="4">
        <f t="shared" si="139"/>
        <v>0.46465258105588597</v>
      </c>
      <c r="FR76" s="4">
        <f t="shared" si="140"/>
        <v>0.5124004533960359</v>
      </c>
      <c r="FS76" s="4">
        <f t="shared" si="141"/>
        <v>0.5866932966252465</v>
      </c>
      <c r="FT76" s="38">
        <f t="shared" si="142"/>
        <v>0.13150970268089957</v>
      </c>
      <c r="FU76" s="38">
        <f t="shared" si="143"/>
        <v>0.12066089773182193</v>
      </c>
      <c r="FV76" s="38">
        <f t="shared" si="144"/>
        <v>0.24998103722759676</v>
      </c>
      <c r="FW76" s="38">
        <f t="shared" si="145"/>
        <v>0.35797436077091055</v>
      </c>
      <c r="FX76" s="38">
        <f t="shared" si="146"/>
        <v>0.33496102630318436</v>
      </c>
      <c r="FY76" s="38">
        <f t="shared" si="147"/>
        <v>0.39060153297259809</v>
      </c>
      <c r="FZ76" s="38">
        <f t="shared" si="148"/>
        <v>0.44992370684086136</v>
      </c>
      <c r="GA76" s="38">
        <f t="shared" si="149"/>
        <v>0.54257865266777239</v>
      </c>
    </row>
    <row r="77" spans="1:183" x14ac:dyDescent="0.25">
      <c r="A77" s="1" t="str">
        <f>Data!A77</f>
        <v>PA_PHILADELPHIA-IAP_724080_TY3A</v>
      </c>
      <c r="B77" s="1" t="str">
        <f>TY3A_REP_CITIES!B77</f>
        <v>Philadelphia</v>
      </c>
      <c r="C77" s="1" t="str">
        <f>TY3A_REP_CITIES!C77</f>
        <v>Philadelphia</v>
      </c>
      <c r="D77" s="2" t="str">
        <f>TY3A_REP_CITIES!A77</f>
        <v>PA</v>
      </c>
      <c r="E77" s="42">
        <f>TY3A_REP_CITIES!E77</f>
        <v>1584064</v>
      </c>
      <c r="F77" s="2">
        <f>TY3A_REP_CITIES!G77</f>
        <v>4</v>
      </c>
      <c r="G77" s="2" t="str">
        <f>TY3A_REP_CITIES!H77</f>
        <v>Mixed-Humid</v>
      </c>
      <c r="H77" s="2" t="str">
        <f>TY3A_REP_CITIES!I77</f>
        <v>Northeast</v>
      </c>
      <c r="I77" s="2">
        <f>Data!B77</f>
        <v>39.869999999999997</v>
      </c>
      <c r="J77" s="2">
        <f>Data!C77</f>
        <v>-75.23</v>
      </c>
      <c r="K77" s="2">
        <f>VLOOKUP(D77,Table1[],2,FALSE)</f>
        <v>0.9</v>
      </c>
      <c r="L77" s="2">
        <v>0.5</v>
      </c>
      <c r="M77" s="10">
        <f>Data!N77</f>
        <v>5247.9552199999998</v>
      </c>
      <c r="N77" s="10">
        <f>Data!Q77</f>
        <v>29308</v>
      </c>
      <c r="O77" s="10">
        <f>Data!O77</f>
        <v>38188138782.1035</v>
      </c>
      <c r="P77" s="10">
        <f>Data!P77</f>
        <v>39779311231.358086</v>
      </c>
      <c r="Q77" s="10">
        <f>Data!S77*15</f>
        <v>30014.046375380127</v>
      </c>
      <c r="R77" s="48">
        <f>SUM(Data!U77:AA77)*2+Data!AB77</f>
        <v>451.24420291652001</v>
      </c>
      <c r="S77" s="48">
        <f>SUM(Data!V77:AB77)*2+Data!AC77</f>
        <v>458.75618796993274</v>
      </c>
      <c r="T77" s="48">
        <f>SUM(Data!W77:AC77)*2+Data!AD77</f>
        <v>388.65227564153685</v>
      </c>
      <c r="U77" s="48">
        <f>SUM(Data!X77:AD77)*2+Data!AE77</f>
        <v>329.59560835970728</v>
      </c>
      <c r="V77" s="48">
        <f>SUM(Data!Y77:AE77)*2+Data!AF77</f>
        <v>342.5945002004421</v>
      </c>
      <c r="W77" s="48">
        <f>SUM(Data!Z77:AF77)*2+Data!AG77</f>
        <v>312.44359225678812</v>
      </c>
      <c r="X77" s="48">
        <f>SUM(Data!AA77:AG77)*2+Data!AH77</f>
        <v>280.04458357566779</v>
      </c>
      <c r="Y77" s="48">
        <f>SUM(Data!AB77:AH77)*2+Data!AI77</f>
        <v>230.16863493328484</v>
      </c>
      <c r="Z77" s="80">
        <f>(SUM(Data!CS77:CY77)*2+Data!CZ77)/('Useful Constants'!$B$1*1000000)*$K77/100</f>
        <v>0.80879478451162068</v>
      </c>
      <c r="AA77" s="80">
        <f>(SUM(Data!CT77:CZ77)*2+Data!DA77)/('Useful Constants'!$B$1*1000000)*$K77/100</f>
        <v>0.77995853642500479</v>
      </c>
      <c r="AB77" s="80">
        <f>(SUM(Data!CU77:DA77)*2+Data!DB77)/('Useful Constants'!$B$1*1000000)*$K77/100</f>
        <v>0.75007318257769884</v>
      </c>
      <c r="AC77" s="80">
        <f>(SUM(Data!CV77:DB77)*2+Data!DC77)/('Useful Constants'!$B$1*1000000)*$K77/100</f>
        <v>0.71915463340541352</v>
      </c>
      <c r="AD77" s="80">
        <f>(SUM(Data!CW77:DC77)*2+Data!DD77)/('Useful Constants'!$B$1*1000000)*$K77/100</f>
        <v>0.69427967227424259</v>
      </c>
      <c r="AE77" s="80">
        <f>(SUM(Data!CX77:DD77)*2+Data!DE77)/('Useful Constants'!$B$1*1000000)*$K77/100</f>
        <v>0.6789372243593863</v>
      </c>
      <c r="AF77" s="80">
        <f>(SUM(Data!CY77:DE77)*2+Data!DF77)/('Useful Constants'!$B$1*1000000)*$K77/100</f>
        <v>0.66936409528050189</v>
      </c>
      <c r="AG77" s="80">
        <f>(SUM(Data!CZ77:DF77)*2+Data!DG77)/('Useful Constants'!$B$1*1000000)*$K77/100</f>
        <v>0.65631026884627586</v>
      </c>
      <c r="AH77" s="48">
        <f>Z77*'Useful Constants'!$B$3</f>
        <v>67.938761898976139</v>
      </c>
      <c r="AI77" s="48">
        <f>AA77*'Useful Constants'!$B$3</f>
        <v>65.516517059700405</v>
      </c>
      <c r="AJ77" s="48">
        <f>AB77*'Useful Constants'!$B$3</f>
        <v>63.006147336526702</v>
      </c>
      <c r="AK77" s="48">
        <f>AC77*'Useful Constants'!$B$3</f>
        <v>60.408989206054734</v>
      </c>
      <c r="AL77" s="48">
        <f>AD77*'Useful Constants'!$B$3</f>
        <v>58.319492471036376</v>
      </c>
      <c r="AM77" s="48">
        <f>AE77*'Useful Constants'!$B$3</f>
        <v>57.03072684618845</v>
      </c>
      <c r="AN77" s="48">
        <f>AF77*'Useful Constants'!$B$3</f>
        <v>56.226584003562159</v>
      </c>
      <c r="AO77" s="48">
        <f>AG77*'Useful Constants'!$B$3</f>
        <v>55.130062583087174</v>
      </c>
      <c r="AP77" s="10">
        <f>Z77*'Useful Constants'!$B$4</f>
        <v>22.646253966325379</v>
      </c>
      <c r="AQ77" s="10">
        <f>AA77*'Useful Constants'!$B$4</f>
        <v>21.838839019900135</v>
      </c>
      <c r="AR77" s="10">
        <f>AB77*'Useful Constants'!$B$4</f>
        <v>21.002049112175566</v>
      </c>
      <c r="AS77" s="10">
        <f>AC77*'Useful Constants'!$B$4</f>
        <v>20.13632973535158</v>
      </c>
      <c r="AT77" s="10">
        <f>AD77*'Useful Constants'!$B$4</f>
        <v>19.439830823678793</v>
      </c>
      <c r="AU77" s="10">
        <f>AE77*'Useful Constants'!$B$4</f>
        <v>19.010242282062816</v>
      </c>
      <c r="AV77" s="10">
        <f>AF77*'Useful Constants'!$B$4</f>
        <v>18.742194667854054</v>
      </c>
      <c r="AW77" s="10">
        <f>AG77*'Useful Constants'!$B$4</f>
        <v>18.376687527695722</v>
      </c>
      <c r="AX77" s="48">
        <f>P77/1000000/'Useful Constants'!$B$1*K77/100*'Useful Constants'!$B$3*15</f>
        <v>9021.9477872720145</v>
      </c>
      <c r="AY77" s="48">
        <f>P77/1000000/'Useful Constants'!$B$1*L77/100*'Useful Constants'!$B$3*15</f>
        <v>5012.1932151511191</v>
      </c>
      <c r="AZ77" s="48">
        <f>P77/1000000/'Useful Constants'!$B$1*K77/100*'Useful Constants'!$B$4*15</f>
        <v>3007.3159290906719</v>
      </c>
      <c r="BA77" s="48">
        <f>P77/1000000/'Useful Constants'!$B$1*L77/100*'Useful Constants'!$B$4*15</f>
        <v>1670.7310717170396</v>
      </c>
      <c r="BB77" s="7">
        <f>Data!AN77</f>
        <v>5247.9552199999998</v>
      </c>
      <c r="BC77" s="7">
        <f>Data!AQ77</f>
        <v>5247.9552199999998</v>
      </c>
      <c r="BD77" s="7">
        <f>Data!AT77</f>
        <v>6934.2871500000001</v>
      </c>
      <c r="BE77" s="6">
        <f>Data!AO77</f>
        <v>34379624062.894798</v>
      </c>
      <c r="BF77" s="6">
        <f>Data!AP77</f>
        <v>11178732903.316601</v>
      </c>
      <c r="BG77" s="6">
        <f>Data!AR77</f>
        <v>2342787740.3117299</v>
      </c>
      <c r="BH77" s="6">
        <f>Data!AS77</f>
        <v>2342787740.3117299</v>
      </c>
      <c r="BI77" s="8">
        <f t="shared" si="100"/>
        <v>0.93620278120983436</v>
      </c>
      <c r="BJ77" s="8">
        <f t="shared" si="101"/>
        <v>0.82673637070430328</v>
      </c>
      <c r="BK77" s="13">
        <f>BB77*'Useful Constants'!$B$5/'Useful Constants'!$B$6*'Useful Constants'!$B$7</f>
        <v>1.3429517407980001</v>
      </c>
      <c r="BL77" s="52">
        <f>1-VLOOKUP($G77,'Useful Constants'!$A$17:$X$23,10,FALSE)</f>
        <v>0</v>
      </c>
      <c r="BM77" s="52">
        <f>1-VLOOKUP($G77,'Useful Constants'!$A$17:$X$23,12,FALSE)</f>
        <v>0</v>
      </c>
      <c r="BN77" s="52">
        <f>1-VLOOKUP($G77,'Useful Constants'!$A$17:$X$23,14,FALSE)</f>
        <v>0</v>
      </c>
      <c r="BO77" s="52">
        <f>1-VLOOKUP($G77,'Useful Constants'!$A$17:$X$23,16,FALSE)</f>
        <v>0</v>
      </c>
      <c r="BP77" s="52">
        <f>1-VLOOKUP($G77,'Useful Constants'!$A$17:$X$23,18,FALSE)</f>
        <v>0</v>
      </c>
      <c r="BQ77" s="52">
        <f>1-VLOOKUP($G77,'Useful Constants'!$A$17:$X$23,20, FALSE)</f>
        <v>0</v>
      </c>
      <c r="BR77" s="52">
        <f>1-VLOOKUP($G77,'Useful Constants'!$A$17:$X$23,22, FALSE)</f>
        <v>0</v>
      </c>
      <c r="BS77" s="52">
        <f>1-VLOOKUP($G77,'Useful Constants'!$A$17:$X$23,24, FALSE)</f>
        <v>0</v>
      </c>
      <c r="BT77" s="13">
        <f t="shared" si="102"/>
        <v>0</v>
      </c>
      <c r="BU77" s="13">
        <f t="shared" si="103"/>
        <v>0</v>
      </c>
      <c r="BV77" s="13">
        <f t="shared" si="104"/>
        <v>0</v>
      </c>
      <c r="BW77" s="13">
        <f t="shared" si="105"/>
        <v>0</v>
      </c>
      <c r="BX77" s="13">
        <f t="shared" si="106"/>
        <v>0</v>
      </c>
      <c r="BY77" s="13">
        <f t="shared" si="107"/>
        <v>0</v>
      </c>
      <c r="BZ77" s="13">
        <f t="shared" si="108"/>
        <v>0</v>
      </c>
      <c r="CA77" s="13">
        <f t="shared" si="109"/>
        <v>0</v>
      </c>
      <c r="CB77" s="59">
        <f>+SUM(Data!BM77:BS77)*2+Data!BT77</f>
        <v>2619.7808930852711</v>
      </c>
      <c r="CC77" s="59">
        <f>+SUM(Data!BN77:BT77)*2+Data!BU77</f>
        <v>2663.3471517682683</v>
      </c>
      <c r="CD77" s="59">
        <f>+SUM(Data!BO77:BU77)*2+Data!BV77</f>
        <v>2255.3779441056126</v>
      </c>
      <c r="CE77" s="59">
        <f>+SUM(Data!BP77:BV77)*2+Data!BW77</f>
        <v>1913.2526397050515</v>
      </c>
      <c r="CF77" s="59">
        <f>+SUM(Data!BQ77:BW77)*2+Data!BX77</f>
        <v>1988.311186773361</v>
      </c>
      <c r="CG77" s="59">
        <f>+SUM(Data!BR77:BX77)*2+Data!BY77</f>
        <v>1813.4659320034864</v>
      </c>
      <c r="CH77" s="59">
        <f>+SUM(Data!BS77:BY77)*2+Data!BZ77</f>
        <v>1625.8556736267922</v>
      </c>
      <c r="CI77" s="59">
        <f>+SUM(Data!BT77:BZ77)*2+Data!CA77</f>
        <v>1336.1549735797753</v>
      </c>
      <c r="CJ77" s="13">
        <f>+SUM(Data!AW77:BC77)*2+Data!BD77</f>
        <v>15239.947233103829</v>
      </c>
      <c r="CK77" s="13">
        <f>+SUM(Data!AX77:BD77)*2+Data!BE77</f>
        <v>15477.052652591887</v>
      </c>
      <c r="CL77" s="13">
        <f>+SUM(Data!AY77:BE77)*2+Data!BF77</f>
        <v>13068.710161400753</v>
      </c>
      <c r="CM77" s="13">
        <f>+SUM(Data!AZ77:BF77)*2+Data!BG77</f>
        <v>11084.996141939891</v>
      </c>
      <c r="CN77" s="13">
        <f>+SUM(Data!BA77:BG77)*2+Data!BH77</f>
        <v>11503.323889092128</v>
      </c>
      <c r="CO77" s="13">
        <f>+SUM(Data!BB77:BH77)*2+Data!BI77</f>
        <v>10492.613331432396</v>
      </c>
      <c r="CP77" s="13">
        <f>+SUM(Data!BC77:BI77)*2+Data!BJ77</f>
        <v>9430.3804338516093</v>
      </c>
      <c r="CQ77" s="13">
        <f>+SUM(Data!BD77:BJ77)*2+Data!BK77</f>
        <v>7731.1022019567845</v>
      </c>
      <c r="CR77" s="59">
        <f>+SUM(Data!CC77:CI77)*2+Data!CJ77</f>
        <v>3198.893883977802</v>
      </c>
      <c r="CS77" s="59">
        <f>+SUM(Data!CD77:CJ77)*2+Data!CK77</f>
        <v>3216.7110595782378</v>
      </c>
      <c r="CT77" s="59">
        <f>+SUM(Data!CE77:CK77)*2+Data!CL77</f>
        <v>2711.622417574602</v>
      </c>
      <c r="CU77" s="59">
        <f>+SUM(Data!CF77:CL77)*2+Data!CM77</f>
        <v>2312.7547371748369</v>
      </c>
      <c r="CV77" s="59">
        <f>+SUM(Data!CG77:CM77)*2+Data!CN77</f>
        <v>2379.5403676533815</v>
      </c>
      <c r="CW77" s="59">
        <f>+SUM(Data!CH77:CN77)*2+Data!CO77</f>
        <v>2198.7497916067905</v>
      </c>
      <c r="CX77" s="59">
        <f>+SUM(Data!CI77:CO77)*2+Data!CP77</f>
        <v>1998.6477189329112</v>
      </c>
      <c r="CY77" s="59">
        <f>+SUM(Data!CJ77:CP77)*2+Data!CQ77</f>
        <v>1601.8325676595764</v>
      </c>
      <c r="CZ77" s="60">
        <f t="shared" si="110"/>
        <v>21058.622010166902</v>
      </c>
      <c r="DA77" s="60">
        <f t="shared" si="111"/>
        <v>21357.110863938389</v>
      </c>
      <c r="DB77" s="60">
        <f t="shared" si="112"/>
        <v>18035.710523080968</v>
      </c>
      <c r="DC77" s="60">
        <f t="shared" si="113"/>
        <v>15311.00351881978</v>
      </c>
      <c r="DD77" s="60">
        <f t="shared" si="114"/>
        <v>15871.17544351887</v>
      </c>
      <c r="DE77" s="60">
        <f t="shared" si="115"/>
        <v>14504.829055042672</v>
      </c>
      <c r="DF77" s="60">
        <f t="shared" si="116"/>
        <v>13054.883826411313</v>
      </c>
      <c r="DG77" s="60">
        <f t="shared" si="117"/>
        <v>10669.089743196137</v>
      </c>
      <c r="DH77" s="13">
        <f t="shared" si="118"/>
        <v>0</v>
      </c>
      <c r="DI77" s="13">
        <f t="shared" si="119"/>
        <v>0</v>
      </c>
      <c r="DJ77" s="13">
        <f t="shared" si="120"/>
        <v>0</v>
      </c>
      <c r="DK77" s="13">
        <f t="shared" si="121"/>
        <v>0</v>
      </c>
      <c r="DL77" s="13">
        <f t="shared" si="122"/>
        <v>0</v>
      </c>
      <c r="DM77" s="13">
        <f t="shared" si="123"/>
        <v>0</v>
      </c>
      <c r="DN77" s="13">
        <f t="shared" si="124"/>
        <v>0</v>
      </c>
      <c r="DO77" s="13">
        <f t="shared" si="125"/>
        <v>0</v>
      </c>
      <c r="DP77" s="50">
        <f>DH77*'Useful Constants'!$B$8</f>
        <v>0</v>
      </c>
      <c r="DQ77" s="50">
        <f>DI77*'Useful Constants'!$B$8</f>
        <v>0</v>
      </c>
      <c r="DR77" s="50">
        <f>DJ77*'Useful Constants'!$B$10</f>
        <v>0</v>
      </c>
      <c r="DS77" s="50">
        <f>DK77*'Useful Constants'!$B$10</f>
        <v>0</v>
      </c>
      <c r="DT77" s="50">
        <f>DL77*'Useful Constants'!$B$10</f>
        <v>0</v>
      </c>
      <c r="DU77" s="50">
        <f>DM77*'Useful Constants'!$B$10</f>
        <v>0</v>
      </c>
      <c r="DV77" s="50">
        <f>DN77*'Useful Constants'!$B$10</f>
        <v>0</v>
      </c>
      <c r="DW77" s="50">
        <f>DO77*'Useful Constants'!$B$10</f>
        <v>0</v>
      </c>
      <c r="DX77" s="14">
        <f>DH77*'Useful Constants'!$B$9</f>
        <v>0</v>
      </c>
      <c r="DY77" s="14">
        <f>DI77*'Useful Constants'!$B$9</f>
        <v>0</v>
      </c>
      <c r="DZ77" s="14">
        <f>DJ77*'Useful Constants'!$B$11</f>
        <v>0</v>
      </c>
      <c r="EA77" s="14">
        <f>DK77*'Useful Constants'!$B$11</f>
        <v>0</v>
      </c>
      <c r="EB77" s="14">
        <f>DL77*'Useful Constants'!$B$11</f>
        <v>0</v>
      </c>
      <c r="EC77" s="14">
        <f>DM77*'Useful Constants'!$B$11</f>
        <v>0</v>
      </c>
      <c r="ED77" s="14">
        <f>DN77*'Useful Constants'!$B$11</f>
        <v>0</v>
      </c>
      <c r="EE77" s="14">
        <f>DO77*'Useful Constants'!$B$11</f>
        <v>0</v>
      </c>
      <c r="EF77" s="78">
        <f>(SUM(Data!DI77:DO77)*2+Data!DP77)/('Useful Constants'!$B$1*1000000)*$K77/100</f>
        <v>37.66428962850064</v>
      </c>
      <c r="EG77" s="78">
        <f>(SUM(Data!DJ77:DP77)*2+Data!DQ77)/('Useful Constants'!$B$1*1000000)*$K77/100</f>
        <v>36.405329618024609</v>
      </c>
      <c r="EH77" s="78">
        <f>(SUM(Data!DK77:DQ77)*2+Data!DR77)/('Useful Constants'!$B$1*1000000)*$K77/100</f>
        <v>35.098378199623525</v>
      </c>
      <c r="EI77" s="78">
        <f>(SUM(Data!DL77:DR77)*2+Data!DS77)/('Useful Constants'!$B$1*1000000)*$K77/100</f>
        <v>33.717581256135112</v>
      </c>
      <c r="EJ77" s="78">
        <f>(SUM(Data!DM77:DS77)*2+Data!DT77)/('Useful Constants'!$B$1*1000000)*$K77/100</f>
        <v>32.633776423816215</v>
      </c>
      <c r="EK77" s="78">
        <f>(SUM(Data!DN77:DT77)*2+Data!DU77)/('Useful Constants'!$B$1*1000000)*$K77/100</f>
        <v>31.973599920219627</v>
      </c>
      <c r="EL77" s="78">
        <f>(SUM(Data!DO77:DU77)*2+Data!DV77)/('Useful Constants'!$B$1*1000000)*$K77/100</f>
        <v>31.571689018541182</v>
      </c>
      <c r="EM77" s="78">
        <f>(SUM(Data!DP77:DV77)*2+Data!DW77)/('Useful Constants'!$B$1*1000000)*$K77/100</f>
        <v>31.001316214160219</v>
      </c>
      <c r="EN77" s="79">
        <f>EF77*'Useful Constants'!$B$3</f>
        <v>3163.8003287940537</v>
      </c>
      <c r="EO77" s="79">
        <f>EG77*'Useful Constants'!$B$3</f>
        <v>3058.047687914067</v>
      </c>
      <c r="EP77" s="79">
        <f>EH77*'Useful Constants'!$B$3</f>
        <v>2948.2637687683759</v>
      </c>
      <c r="EQ77" s="79">
        <f>EI77*'Useful Constants'!$B$3</f>
        <v>2832.2768255153496</v>
      </c>
      <c r="ER77" s="79">
        <f>EJ77*'Useful Constants'!$B$3</f>
        <v>2741.2372196005622</v>
      </c>
      <c r="ES77" s="79">
        <f>EK77*'Useful Constants'!$B$3</f>
        <v>2685.7823932984488</v>
      </c>
      <c r="ET77" s="79">
        <f>EL77*'Useful Constants'!$B$3</f>
        <v>2652.0218775574594</v>
      </c>
      <c r="EU77" s="79">
        <f>EM77*'Useful Constants'!$B$3</f>
        <v>2604.1105619894583</v>
      </c>
      <c r="EV77" s="78">
        <f>EF77*'Useful Constants'!$B$4</f>
        <v>1054.600109598018</v>
      </c>
      <c r="EW77" s="78">
        <f>EG77*'Useful Constants'!$B$4</f>
        <v>1019.3492293046891</v>
      </c>
      <c r="EX77" s="78">
        <f>EH77*'Useful Constants'!$B$4</f>
        <v>982.75458958945865</v>
      </c>
      <c r="EY77" s="78">
        <f>EI77*'Useful Constants'!$B$4</f>
        <v>944.09227517178317</v>
      </c>
      <c r="EZ77" s="78">
        <f>EJ77*'Useful Constants'!$B$4</f>
        <v>913.74573986685402</v>
      </c>
      <c r="FA77" s="78">
        <f>EK77*'Useful Constants'!$B$4</f>
        <v>895.26079776614961</v>
      </c>
      <c r="FB77" s="78">
        <f>EL77*'Useful Constants'!$B$4</f>
        <v>884.00729251915311</v>
      </c>
      <c r="FC77" s="78">
        <f>EM77*'Useful Constants'!$B$4</f>
        <v>868.03685399648612</v>
      </c>
      <c r="FD77" s="40">
        <f t="shared" si="126"/>
        <v>0.30876674371295898</v>
      </c>
      <c r="FE77" s="40">
        <f t="shared" si="127"/>
        <v>0.29914188826121302</v>
      </c>
      <c r="FF77" s="40">
        <f t="shared" si="128"/>
        <v>0.40677271020890476</v>
      </c>
      <c r="FG77" s="40">
        <f t="shared" si="129"/>
        <v>0.4954131238753593</v>
      </c>
      <c r="FH77" s="40">
        <f t="shared" si="130"/>
        <v>0.47717616357592674</v>
      </c>
      <c r="FI77" s="40">
        <f t="shared" si="131"/>
        <v>0.52171091773160749</v>
      </c>
      <c r="FJ77" s="40">
        <f t="shared" si="132"/>
        <v>0.5690617076413077</v>
      </c>
      <c r="FK77" s="40">
        <f t="shared" si="133"/>
        <v>0.64723535593309567</v>
      </c>
      <c r="FL77" s="4">
        <f t="shared" si="134"/>
        <v>0.45649873096062832</v>
      </c>
      <c r="FM77" s="4">
        <f t="shared" si="135"/>
        <v>0.4522366836723925</v>
      </c>
      <c r="FN77" s="4">
        <f t="shared" si="136"/>
        <v>0.52844838191594568</v>
      </c>
      <c r="FO77" s="4">
        <f t="shared" si="137"/>
        <v>0.59171875502064775</v>
      </c>
      <c r="FP77" s="4">
        <f t="shared" si="138"/>
        <v>0.58126459052594692</v>
      </c>
      <c r="FQ77" s="4">
        <f t="shared" si="139"/>
        <v>0.61297801839175892</v>
      </c>
      <c r="FR77" s="4">
        <f t="shared" si="140"/>
        <v>0.64611699187658944</v>
      </c>
      <c r="FS77" s="4">
        <f t="shared" si="141"/>
        <v>0.70060553590044072</v>
      </c>
      <c r="FT77" s="38">
        <f t="shared" si="142"/>
        <v>0.37117578667117307</v>
      </c>
      <c r="FU77" s="38">
        <f t="shared" si="143"/>
        <v>0.36381149382878908</v>
      </c>
      <c r="FV77" s="38">
        <f t="shared" si="144"/>
        <v>0.45819036491563969</v>
      </c>
      <c r="FW77" s="38">
        <f t="shared" si="145"/>
        <v>0.53612302874627782</v>
      </c>
      <c r="FX77" s="38">
        <f t="shared" si="146"/>
        <v>0.52117133469755583</v>
      </c>
      <c r="FY77" s="38">
        <f t="shared" si="147"/>
        <v>0.56029325755752624</v>
      </c>
      <c r="FZ77" s="38">
        <f t="shared" si="148"/>
        <v>0.60164216911916701</v>
      </c>
      <c r="GA77" s="38">
        <f t="shared" si="149"/>
        <v>0.66980779324910356</v>
      </c>
    </row>
    <row r="78" spans="1:183" x14ac:dyDescent="0.25">
      <c r="A78" s="1" t="str">
        <f>Data!A78</f>
        <v>PA_PITTSBURGH-IAP_725200_TY3A</v>
      </c>
      <c r="B78" s="1" t="str">
        <f>TY3A_REP_CITIES!B78</f>
        <v>Pittsburgh</v>
      </c>
      <c r="C78" s="1" t="str">
        <f>TY3A_REP_CITIES!C78</f>
        <v>Allegheny</v>
      </c>
      <c r="D78" s="2" t="str">
        <f>TY3A_REP_CITIES!A78</f>
        <v>PA</v>
      </c>
      <c r="E78" s="42">
        <f>TY3A_REP_CITIES!E78</f>
        <v>1216045</v>
      </c>
      <c r="F78" s="2">
        <f>TY3A_REP_CITIES!G78</f>
        <v>5</v>
      </c>
      <c r="G78" s="2" t="str">
        <f>TY3A_REP_CITIES!H78</f>
        <v>Cold</v>
      </c>
      <c r="H78" s="2" t="str">
        <f>TY3A_REP_CITIES!I78</f>
        <v>Northeast</v>
      </c>
      <c r="I78" s="2">
        <f>Data!B78</f>
        <v>40.5</v>
      </c>
      <c r="J78" s="2">
        <f>Data!C78</f>
        <v>-80.23</v>
      </c>
      <c r="K78" s="2">
        <f>VLOOKUP(D78,Table1[],2,FALSE)</f>
        <v>0.9</v>
      </c>
      <c r="L78" s="2">
        <v>0.5</v>
      </c>
      <c r="M78" s="10">
        <f>Data!N78</f>
        <v>4596.1539499999999</v>
      </c>
      <c r="N78" s="10">
        <f>Data!Q78</f>
        <v>29308</v>
      </c>
      <c r="O78" s="10">
        <f>Data!O78</f>
        <v>47652535317.238403</v>
      </c>
      <c r="P78" s="10">
        <f>Data!P78</f>
        <v>49638057622.123329</v>
      </c>
      <c r="Q78" s="10">
        <f>Data!S78*15</f>
        <v>37452.608336761754</v>
      </c>
      <c r="R78" s="48">
        <f>SUM(Data!U78:AA78)*2+Data!AB78</f>
        <v>521.44470512936641</v>
      </c>
      <c r="S78" s="48">
        <f>SUM(Data!V78:AB78)*2+Data!AC78</f>
        <v>530.46766848342361</v>
      </c>
      <c r="T78" s="48">
        <f>SUM(Data!W78:AC78)*2+Data!AD78</f>
        <v>450.68504531927908</v>
      </c>
      <c r="U78" s="48">
        <f>SUM(Data!X78:AD78)*2+Data!AE78</f>
        <v>382.08820730736733</v>
      </c>
      <c r="V78" s="48">
        <f>SUM(Data!Y78:AE78)*2+Data!AF78</f>
        <v>398.42192586781158</v>
      </c>
      <c r="W78" s="48">
        <f>SUM(Data!Z78:AF78)*2+Data!AG78</f>
        <v>363.12854648161897</v>
      </c>
      <c r="X78" s="48">
        <f>SUM(Data!AA78:AG78)*2+Data!AH78</f>
        <v>324.69745749550833</v>
      </c>
      <c r="Y78" s="48">
        <f>SUM(Data!AB78:AH78)*2+Data!AI78</f>
        <v>266.99019306160591</v>
      </c>
      <c r="Z78" s="80">
        <f>(SUM(Data!CS78:CY78)*2+Data!CZ78)/('Useful Constants'!$B$1*1000000)*$K78/100</f>
        <v>0.93693120433451293</v>
      </c>
      <c r="AA78" s="80">
        <f>(SUM(Data!CT78:CZ78)*2+Data!DA78)/('Useful Constants'!$B$1*1000000)*$K78/100</f>
        <v>0.90320723021424631</v>
      </c>
      <c r="AB78" s="80">
        <f>(SUM(Data!CU78:DA78)*2+Data!DB78)/('Useful Constants'!$B$1*1000000)*$K78/100</f>
        <v>0.86771400464218673</v>
      </c>
      <c r="AC78" s="80">
        <f>(SUM(Data!CV78:DB78)*2+Data!DC78)/('Useful Constants'!$B$1*1000000)*$K78/100</f>
        <v>0.83195167864463315</v>
      </c>
      <c r="AD78" s="80">
        <f>(SUM(Data!CW78:DC78)*2+Data!DD78)/('Useful Constants'!$B$1*1000000)*$K78/100</f>
        <v>0.80271610999456189</v>
      </c>
      <c r="AE78" s="80">
        <f>(SUM(Data!CX78:DD78)*2+Data!DE78)/('Useful Constants'!$B$1*1000000)*$K78/100</f>
        <v>0.78462147634155188</v>
      </c>
      <c r="AF78" s="80">
        <f>(SUM(Data!CY78:DE78)*2+Data!DF78)/('Useful Constants'!$B$1*1000000)*$K78/100</f>
        <v>0.77169499446770684</v>
      </c>
      <c r="AG78" s="80">
        <f>(SUM(Data!CZ78:DF78)*2+Data!DG78)/('Useful Constants'!$B$1*1000000)*$K78/100</f>
        <v>0.75482245007433268</v>
      </c>
      <c r="AH78" s="48">
        <f>Z78*'Useful Constants'!$B$3</f>
        <v>78.702221164099086</v>
      </c>
      <c r="AI78" s="48">
        <f>AA78*'Useful Constants'!$B$3</f>
        <v>75.869407337996691</v>
      </c>
      <c r="AJ78" s="48">
        <f>AB78*'Useful Constants'!$B$3</f>
        <v>72.887976389943688</v>
      </c>
      <c r="AK78" s="48">
        <f>AC78*'Useful Constants'!$B$3</f>
        <v>69.883941006149186</v>
      </c>
      <c r="AL78" s="48">
        <f>AD78*'Useful Constants'!$B$3</f>
        <v>67.428153239543192</v>
      </c>
      <c r="AM78" s="48">
        <f>AE78*'Useful Constants'!$B$3</f>
        <v>65.908204012690362</v>
      </c>
      <c r="AN78" s="48">
        <f>AF78*'Useful Constants'!$B$3</f>
        <v>64.822379535287368</v>
      </c>
      <c r="AO78" s="48">
        <f>AG78*'Useful Constants'!$B$3</f>
        <v>63.405085806243946</v>
      </c>
      <c r="AP78" s="10">
        <f>Z78*'Useful Constants'!$B$4</f>
        <v>26.234073721366361</v>
      </c>
      <c r="AQ78" s="10">
        <f>AA78*'Useful Constants'!$B$4</f>
        <v>25.289802445998898</v>
      </c>
      <c r="AR78" s="10">
        <f>AB78*'Useful Constants'!$B$4</f>
        <v>24.295992129981229</v>
      </c>
      <c r="AS78" s="10">
        <f>AC78*'Useful Constants'!$B$4</f>
        <v>23.294647002049729</v>
      </c>
      <c r="AT78" s="10">
        <f>AD78*'Useful Constants'!$B$4</f>
        <v>22.476051079847732</v>
      </c>
      <c r="AU78" s="10">
        <f>AE78*'Useful Constants'!$B$4</f>
        <v>21.969401337563454</v>
      </c>
      <c r="AV78" s="10">
        <f>AF78*'Useful Constants'!$B$4</f>
        <v>21.607459845095793</v>
      </c>
      <c r="AW78" s="10">
        <f>AG78*'Useful Constants'!$B$4</f>
        <v>21.135028602081317</v>
      </c>
      <c r="AX78" s="48">
        <f>P78/1000000/'Useful Constants'!$B$1*K78/100*'Useful Constants'!$B$3*15</f>
        <v>11257.911468697574</v>
      </c>
      <c r="AY78" s="48">
        <f>P78/1000000/'Useful Constants'!$B$1*L78/100*'Useful Constants'!$B$3*15</f>
        <v>6254.3952603875396</v>
      </c>
      <c r="AZ78" s="48">
        <f>P78/1000000/'Useful Constants'!$B$1*K78/100*'Useful Constants'!$B$4*15</f>
        <v>3752.6371562325244</v>
      </c>
      <c r="BA78" s="48">
        <f>P78/1000000/'Useful Constants'!$B$1*L78/100*'Useful Constants'!$B$4*15</f>
        <v>2084.7984201291802</v>
      </c>
      <c r="BB78" s="7">
        <f>Data!AN78</f>
        <v>4596.1539499999999</v>
      </c>
      <c r="BC78" s="7">
        <f>Data!AQ78</f>
        <v>4596.1539499999999</v>
      </c>
      <c r="BD78" s="7">
        <f>Data!AT78</f>
        <v>7811.6511700000001</v>
      </c>
      <c r="BE78" s="6">
        <f>Data!AO78</f>
        <v>38180286966.1828</v>
      </c>
      <c r="BF78" s="6">
        <f>Data!AP78</f>
        <v>13045510145.848</v>
      </c>
      <c r="BG78" s="6">
        <f>Data!AR78</f>
        <v>7560070789.0332298</v>
      </c>
      <c r="BH78" s="6">
        <f>Data!AS78</f>
        <v>7560070789.0332298</v>
      </c>
      <c r="BI78" s="8">
        <f t="shared" si="100"/>
        <v>0.83471771625635971</v>
      </c>
      <c r="BJ78" s="8">
        <f t="shared" si="101"/>
        <v>0.6331056710837254</v>
      </c>
      <c r="BK78" s="13">
        <f>BB78*'Useful Constants'!$B$5/'Useful Constants'!$B$6*'Useful Constants'!$B$7</f>
        <v>1.176155795805</v>
      </c>
      <c r="BL78" s="52">
        <f>1-VLOOKUP($G78,'Useful Constants'!$A$17:$X$23,10,FALSE)</f>
        <v>6.6471999999999865E-2</v>
      </c>
      <c r="BM78" s="52">
        <f>1-VLOOKUP($G78,'Useful Constants'!$A$17:$X$23,12,FALSE)</f>
        <v>4.945672000000001E-2</v>
      </c>
      <c r="BN78" s="52">
        <f>1-VLOOKUP($G78,'Useful Constants'!$A$17:$X$23,14,FALSE)</f>
        <v>3.4455679999999989E-2</v>
      </c>
      <c r="BO78" s="52">
        <f>1-VLOOKUP($G78,'Useful Constants'!$A$17:$X$23,16,FALSE)</f>
        <v>2.1468880000000024E-2</v>
      </c>
      <c r="BP78" s="52">
        <f>1-VLOOKUP($G78,'Useful Constants'!$A$17:$X$23,18,FALSE)</f>
        <v>0</v>
      </c>
      <c r="BQ78" s="52">
        <f>1-VLOOKUP($G78,'Useful Constants'!$A$17:$X$23,20, FALSE)</f>
        <v>0</v>
      </c>
      <c r="BR78" s="52">
        <f>1-VLOOKUP($G78,'Useful Constants'!$A$17:$X$23,22, FALSE)</f>
        <v>0</v>
      </c>
      <c r="BS78" s="52">
        <f>1-VLOOKUP($G78,'Useful Constants'!$A$17:$X$23,24, FALSE)</f>
        <v>0</v>
      </c>
      <c r="BT78" s="13">
        <f t="shared" si="102"/>
        <v>7.8181428058749794E-2</v>
      </c>
      <c r="BU78" s="13">
        <f t="shared" si="103"/>
        <v>5.8168807869505068E-2</v>
      </c>
      <c r="BV78" s="13">
        <f t="shared" si="104"/>
        <v>4.0525247730402406E-2</v>
      </c>
      <c r="BW78" s="13">
        <f t="shared" si="105"/>
        <v>2.5250747641442074E-2</v>
      </c>
      <c r="BX78" s="13">
        <f t="shared" si="106"/>
        <v>0</v>
      </c>
      <c r="BY78" s="13">
        <f t="shared" si="107"/>
        <v>0</v>
      </c>
      <c r="BZ78" s="13">
        <f t="shared" si="108"/>
        <v>0</v>
      </c>
      <c r="CA78" s="13">
        <f t="shared" si="109"/>
        <v>0</v>
      </c>
      <c r="CB78" s="59">
        <f>+SUM(Data!BM78:BS78)*2+Data!BT78</f>
        <v>3267.4768993025427</v>
      </c>
      <c r="CC78" s="59">
        <f>+SUM(Data!BN78:BT78)*2+Data!BU78</f>
        <v>3324.9473886686619</v>
      </c>
      <c r="CD78" s="59">
        <f>+SUM(Data!BO78:BU78)*2+Data!BV78</f>
        <v>2827.3905702835973</v>
      </c>
      <c r="CE78" s="59">
        <f>+SUM(Data!BP78:BV78)*2+Data!BW78</f>
        <v>2394.6816195697493</v>
      </c>
      <c r="CF78" s="59">
        <f>+SUM(Data!BQ78:BW78)*2+Data!BX78</f>
        <v>2497.2179813223597</v>
      </c>
      <c r="CG78" s="59">
        <f>+SUM(Data!BR78:BX78)*2+Data!BY78</f>
        <v>2277.2727772312073</v>
      </c>
      <c r="CH78" s="59">
        <f>+SUM(Data!BS78:BY78)*2+Data!BZ78</f>
        <v>2033.7031123220659</v>
      </c>
      <c r="CI78" s="59">
        <f>+SUM(Data!BT78:BZ78)*2+Data!CA78</f>
        <v>1674.0088996997238</v>
      </c>
      <c r="CJ78" s="13">
        <f>+SUM(Data!AW78:BC78)*2+Data!BD78</f>
        <v>17661.580965768735</v>
      </c>
      <c r="CK78" s="13">
        <f>+SUM(Data!AX78:BD78)*2+Data!BE78</f>
        <v>17957.369593501266</v>
      </c>
      <c r="CL78" s="13">
        <f>+SUM(Data!AY78:BE78)*2+Data!BF78</f>
        <v>15222.358772189113</v>
      </c>
      <c r="CM78" s="13">
        <f>+SUM(Data!AZ78:BF78)*2+Data!BG78</f>
        <v>12896.473695244478</v>
      </c>
      <c r="CN78" s="13">
        <f>+SUM(Data!BA78:BG78)*2+Data!BH78</f>
        <v>13439.954561598803</v>
      </c>
      <c r="CO78" s="13">
        <f>+SUM(Data!BB78:BH78)*2+Data!BI78</f>
        <v>12253.900188938809</v>
      </c>
      <c r="CP78" s="13">
        <f>+SUM(Data!BC78:BI78)*2+Data!BJ78</f>
        <v>10952.649913311483</v>
      </c>
      <c r="CQ78" s="13">
        <f>+SUM(Data!BD78:BJ78)*2+Data!BK78</f>
        <v>8996.9952193330228</v>
      </c>
      <c r="CR78" s="59">
        <f>+SUM(Data!CC78:CI78)*2+Data!CJ78</f>
        <v>10523.745912052333</v>
      </c>
      <c r="CS78" s="59">
        <f>+SUM(Data!CD78:CJ78)*2+Data!CK78</f>
        <v>10632.109106089429</v>
      </c>
      <c r="CT78" s="59">
        <f>+SUM(Data!CE78:CK78)*2+Data!CL78</f>
        <v>8876.0794412316864</v>
      </c>
      <c r="CU78" s="59">
        <f>+SUM(Data!CF78:CL78)*2+Data!CM78</f>
        <v>7599.2809525279581</v>
      </c>
      <c r="CV78" s="59">
        <f>+SUM(Data!CG78:CM78)*2+Data!CN78</f>
        <v>7892.6479373943566</v>
      </c>
      <c r="CW78" s="59">
        <f>+SUM(Data!CH78:CN78)*2+Data!CO78</f>
        <v>7155.4131860508987</v>
      </c>
      <c r="CX78" s="59">
        <f>+SUM(Data!CI78:CO78)*2+Data!CP78</f>
        <v>6495.8748166288087</v>
      </c>
      <c r="CY78" s="59">
        <f>+SUM(Data!CJ78:CP78)*2+Data!CQ78</f>
        <v>5251.9643096305635</v>
      </c>
      <c r="CZ78" s="60">
        <f t="shared" si="110"/>
        <v>31452.803777123612</v>
      </c>
      <c r="DA78" s="60">
        <f t="shared" si="111"/>
        <v>31914.426088259355</v>
      </c>
      <c r="DB78" s="60">
        <f t="shared" si="112"/>
        <v>26925.828783704397</v>
      </c>
      <c r="DC78" s="60">
        <f t="shared" si="113"/>
        <v>22890.436267342186</v>
      </c>
      <c r="DD78" s="60">
        <f t="shared" si="114"/>
        <v>23829.820480315517</v>
      </c>
      <c r="DE78" s="60">
        <f t="shared" si="115"/>
        <v>21686.586152220916</v>
      </c>
      <c r="DF78" s="60">
        <f t="shared" si="116"/>
        <v>19482.227842262357</v>
      </c>
      <c r="DG78" s="60">
        <f t="shared" si="117"/>
        <v>15922.968428663309</v>
      </c>
      <c r="DH78" s="13">
        <f t="shared" si="118"/>
        <v>8.0384000863421762E-2</v>
      </c>
      <c r="DI78" s="13">
        <f t="shared" si="119"/>
        <v>5.9807573462239999E-2</v>
      </c>
      <c r="DJ78" s="13">
        <f t="shared" si="120"/>
        <v>4.1666948653113926E-2</v>
      </c>
      <c r="DK78" s="13">
        <f t="shared" si="121"/>
        <v>2.5962126436043804E-2</v>
      </c>
      <c r="DL78" s="13">
        <f t="shared" si="122"/>
        <v>0</v>
      </c>
      <c r="DM78" s="13">
        <f t="shared" si="123"/>
        <v>0</v>
      </c>
      <c r="DN78" s="13">
        <f t="shared" si="124"/>
        <v>0</v>
      </c>
      <c r="DO78" s="13">
        <f t="shared" si="125"/>
        <v>0</v>
      </c>
      <c r="DP78" s="50">
        <f>DH78*'Useful Constants'!$B$8</f>
        <v>342.4358436781767</v>
      </c>
      <c r="DQ78" s="50">
        <f>DI78*'Useful Constants'!$B$8</f>
        <v>254.78026294914238</v>
      </c>
      <c r="DR78" s="50">
        <f>DJ78*'Useful Constants'!$B$10</f>
        <v>101.25068522706684</v>
      </c>
      <c r="DS78" s="50">
        <f>DK78*'Useful Constants'!$B$10</f>
        <v>63.08796723958644</v>
      </c>
      <c r="DT78" s="50">
        <f>DL78*'Useful Constants'!$B$10</f>
        <v>0</v>
      </c>
      <c r="DU78" s="50">
        <f>DM78*'Useful Constants'!$B$10</f>
        <v>0</v>
      </c>
      <c r="DV78" s="50">
        <f>DN78*'Useful Constants'!$B$10</f>
        <v>0</v>
      </c>
      <c r="DW78" s="50">
        <f>DO78*'Useful Constants'!$B$10</f>
        <v>0</v>
      </c>
      <c r="DX78" s="14">
        <f>DH78*'Useful Constants'!$B$9</f>
        <v>154.65881766122348</v>
      </c>
      <c r="DY78" s="14">
        <f>DI78*'Useful Constants'!$B$9</f>
        <v>115.06977134134976</v>
      </c>
      <c r="DZ78" s="14">
        <f>DJ78*'Useful Constants'!$B$11</f>
        <v>28.208524238158127</v>
      </c>
      <c r="EA78" s="14">
        <f>DK78*'Useful Constants'!$B$11</f>
        <v>17.576359597201655</v>
      </c>
      <c r="EB78" s="14">
        <f>DL78*'Useful Constants'!$B$11</f>
        <v>0</v>
      </c>
      <c r="EC78" s="14">
        <f>DM78*'Useful Constants'!$B$11</f>
        <v>0</v>
      </c>
      <c r="ED78" s="14">
        <f>DN78*'Useful Constants'!$B$11</f>
        <v>0</v>
      </c>
      <c r="EE78" s="14">
        <f>DO78*'Useful Constants'!$B$11</f>
        <v>0</v>
      </c>
      <c r="EF78" s="78">
        <f>(SUM(Data!DI78:DO78)*2+Data!DP78)/('Useful Constants'!$B$1*1000000)*$K78/100</f>
        <v>55.949759207667284</v>
      </c>
      <c r="EG78" s="78">
        <f>(SUM(Data!DJ78:DP78)*2+Data!DQ78)/('Useful Constants'!$B$1*1000000)*$K78/100</f>
        <v>54.064355495615473</v>
      </c>
      <c r="EH78" s="78">
        <f>(SUM(Data!DK78:DQ78)*2+Data!DR78)/('Useful Constants'!$B$1*1000000)*$K78/100</f>
        <v>52.051960990578415</v>
      </c>
      <c r="EI78" s="78">
        <f>(SUM(Data!DL78:DR78)*2+Data!DS78)/('Useful Constants'!$B$1*1000000)*$K78/100</f>
        <v>49.999172568187831</v>
      </c>
      <c r="EJ78" s="78">
        <f>(SUM(Data!DM78:DS78)*2+Data!DT78)/('Useful Constants'!$B$1*1000000)*$K78/100</f>
        <v>48.346012796635065</v>
      </c>
      <c r="EK78" s="78">
        <f>(SUM(Data!DN78:DT78)*2+Data!DU78)/('Useful Constants'!$B$1*1000000)*$K78/100</f>
        <v>47.355961602548376</v>
      </c>
      <c r="EL78" s="78">
        <f>(SUM(Data!DO78:DU78)*2+Data!DV78)/('Useful Constants'!$B$1*1000000)*$K78/100</f>
        <v>46.622709753784171</v>
      </c>
      <c r="EM78" s="78">
        <f>(SUM(Data!DP78:DV78)*2+Data!DW78)/('Useful Constants'!$B$1*1000000)*$K78/100</f>
        <v>45.65541578516288</v>
      </c>
      <c r="EN78" s="79">
        <f>EF78*'Useful Constants'!$B$3</f>
        <v>4699.7797734440519</v>
      </c>
      <c r="EO78" s="79">
        <f>EG78*'Useful Constants'!$B$3</f>
        <v>4541.4058616316997</v>
      </c>
      <c r="EP78" s="79">
        <f>EH78*'Useful Constants'!$B$3</f>
        <v>4372.3647232085868</v>
      </c>
      <c r="EQ78" s="79">
        <f>EI78*'Useful Constants'!$B$3</f>
        <v>4199.9304957277782</v>
      </c>
      <c r="ER78" s="79">
        <f>EJ78*'Useful Constants'!$B$3</f>
        <v>4061.0650749173456</v>
      </c>
      <c r="ES78" s="79">
        <f>EK78*'Useful Constants'!$B$3</f>
        <v>3977.9007746140637</v>
      </c>
      <c r="ET78" s="79">
        <f>EL78*'Useful Constants'!$B$3</f>
        <v>3916.3076193178704</v>
      </c>
      <c r="EU78" s="79">
        <f>EM78*'Useful Constants'!$B$3</f>
        <v>3835.054925953682</v>
      </c>
      <c r="EV78" s="78">
        <f>EF78*'Useful Constants'!$B$4</f>
        <v>1566.593257814684</v>
      </c>
      <c r="EW78" s="78">
        <f>EG78*'Useful Constants'!$B$4</f>
        <v>1513.8019538772332</v>
      </c>
      <c r="EX78" s="78">
        <f>EH78*'Useful Constants'!$B$4</f>
        <v>1457.4549077361955</v>
      </c>
      <c r="EY78" s="78">
        <f>EI78*'Useful Constants'!$B$4</f>
        <v>1399.9768319092593</v>
      </c>
      <c r="EZ78" s="78">
        <f>EJ78*'Useful Constants'!$B$4</f>
        <v>1353.6883583057818</v>
      </c>
      <c r="FA78" s="78">
        <f>EK78*'Useful Constants'!$B$4</f>
        <v>1325.9669248713544</v>
      </c>
      <c r="FB78" s="78">
        <f>EL78*'Useful Constants'!$B$4</f>
        <v>1305.4358731059567</v>
      </c>
      <c r="FC78" s="78">
        <f>EM78*'Useful Constants'!$B$4</f>
        <v>1278.3516419845607</v>
      </c>
      <c r="FD78" s="40">
        <f t="shared" si="126"/>
        <v>0.17172908189635661</v>
      </c>
      <c r="FE78" s="40">
        <f t="shared" si="127"/>
        <v>0.15977247119606083</v>
      </c>
      <c r="FF78" s="40">
        <f t="shared" si="128"/>
        <v>0.28961769859202491</v>
      </c>
      <c r="FG78" s="40">
        <f t="shared" si="129"/>
        <v>0.39498824205766131</v>
      </c>
      <c r="FH78" s="40">
        <f t="shared" si="130"/>
        <v>0.37043139077134268</v>
      </c>
      <c r="FI78" s="40">
        <f t="shared" si="131"/>
        <v>0.42651954081501675</v>
      </c>
      <c r="FJ78" s="40">
        <f t="shared" si="132"/>
        <v>0.48428752573392997</v>
      </c>
      <c r="FK78" s="40">
        <f t="shared" si="133"/>
        <v>0.57785954651469407</v>
      </c>
      <c r="FL78" s="4">
        <f t="shared" si="134"/>
        <v>0.3432020394504724</v>
      </c>
      <c r="FM78" s="4">
        <f t="shared" si="135"/>
        <v>0.33939562637074455</v>
      </c>
      <c r="FN78" s="4">
        <f t="shared" si="136"/>
        <v>0.43412687434203628</v>
      </c>
      <c r="FO78" s="4">
        <f t="shared" si="137"/>
        <v>0.51001479701712349</v>
      </c>
      <c r="FP78" s="4">
        <f t="shared" si="138"/>
        <v>0.49683383438246248</v>
      </c>
      <c r="FQ78" s="4">
        <f t="shared" si="139"/>
        <v>0.5366915324632251</v>
      </c>
      <c r="FR78" s="4">
        <f t="shared" si="140"/>
        <v>0.57729610097846329</v>
      </c>
      <c r="FS78" s="4">
        <f t="shared" si="141"/>
        <v>0.64268175309182396</v>
      </c>
      <c r="FT78" s="38">
        <f t="shared" si="142"/>
        <v>0.24325321172139666</v>
      </c>
      <c r="FU78" s="38">
        <f t="shared" si="143"/>
        <v>0.23497126852200859</v>
      </c>
      <c r="FV78" s="38">
        <f t="shared" si="144"/>
        <v>0.35081741075742373</v>
      </c>
      <c r="FW78" s="38">
        <f t="shared" si="145"/>
        <v>0.44369488394685025</v>
      </c>
      <c r="FX78" s="38">
        <f t="shared" si="146"/>
        <v>0.42386259024215389</v>
      </c>
      <c r="FY78" s="38">
        <f t="shared" si="147"/>
        <v>0.47309723342486265</v>
      </c>
      <c r="FZ78" s="38">
        <f t="shared" si="148"/>
        <v>0.52361587821812172</v>
      </c>
      <c r="GA78" s="38">
        <f t="shared" si="149"/>
        <v>0.60527666920920331</v>
      </c>
    </row>
    <row r="79" spans="1:183" x14ac:dyDescent="0.25">
      <c r="A79" s="1" t="str">
        <f>Data!A79</f>
        <v>RI_PROVIDENCE-GREEN-STATE-AP_725070_TY3A</v>
      </c>
      <c r="B79" s="1" t="str">
        <f>TY3A_REP_CITIES!B79</f>
        <v>Providence</v>
      </c>
      <c r="C79" s="1" t="str">
        <f>TY3A_REP_CITIES!C79</f>
        <v>Providence</v>
      </c>
      <c r="D79" s="2" t="str">
        <f>TY3A_REP_CITIES!A79</f>
        <v>RI</v>
      </c>
      <c r="E79" s="42">
        <f>TY3A_REP_CITIES!E79</f>
        <v>638931</v>
      </c>
      <c r="F79" s="2">
        <f>TY3A_REP_CITIES!G79</f>
        <v>5</v>
      </c>
      <c r="G79" s="2" t="str">
        <f>TY3A_REP_CITIES!H79</f>
        <v>Cold</v>
      </c>
      <c r="H79" s="2" t="str">
        <f>TY3A_REP_CITIES!I79</f>
        <v>Northeast</v>
      </c>
      <c r="I79" s="2">
        <f>Data!B79</f>
        <v>41.72</v>
      </c>
      <c r="J79" s="2">
        <f>Data!C79</f>
        <v>-71.430000000000007</v>
      </c>
      <c r="K79" s="2">
        <f>VLOOKUP(D79,Table1[],2,FALSE)</f>
        <v>0.9</v>
      </c>
      <c r="L79" s="2">
        <v>0.5</v>
      </c>
      <c r="M79" s="10">
        <f>Data!N79</f>
        <v>4507.5769200000004</v>
      </c>
      <c r="N79" s="10">
        <f>Data!Q79</f>
        <v>29308</v>
      </c>
      <c r="O79" s="10">
        <f>Data!O79</f>
        <v>47681845056.391403</v>
      </c>
      <c r="P79" s="10">
        <f>Data!P79</f>
        <v>49668588600.407501</v>
      </c>
      <c r="Q79" s="10">
        <f>Data!S79*15</f>
        <v>37475.644386651496</v>
      </c>
      <c r="R79" s="48">
        <f>SUM(Data!U79:AA79)*2+Data!AB79</f>
        <v>98.433164830462999</v>
      </c>
      <c r="S79" s="48">
        <f>SUM(Data!V79:AB79)*2+Data!AC79</f>
        <v>97.873068668079583</v>
      </c>
      <c r="T79" s="48">
        <f>SUM(Data!W79:AC79)*2+Data!AD79</f>
        <v>104.81511620640991</v>
      </c>
      <c r="U79" s="48">
        <f>SUM(Data!X79:AD79)*2+Data!AE79</f>
        <v>100.46502612105326</v>
      </c>
      <c r="V79" s="48">
        <f>SUM(Data!Y79:AE79)*2+Data!AF79</f>
        <v>108.76076887436179</v>
      </c>
      <c r="W79" s="48">
        <f>SUM(Data!Z79:AF79)*2+Data!AG79</f>
        <v>103.93179332078759</v>
      </c>
      <c r="X79" s="48">
        <f>SUM(Data!AA79:AG79)*2+Data!AH79</f>
        <v>106.99267700128459</v>
      </c>
      <c r="Y79" s="48">
        <f>SUM(Data!AB79:AH79)*2+Data!AI79</f>
        <v>111.00523925612087</v>
      </c>
      <c r="Z79" s="80">
        <f>(SUM(Data!CS79:CY79)*2+Data!CZ79)/('Useful Constants'!$B$1*1000000)*$K79/100</f>
        <v>0.45294311114133839</v>
      </c>
      <c r="AA79" s="80">
        <f>(SUM(Data!CT79:CZ79)*2+Data!DA79)/('Useful Constants'!$B$1*1000000)*$K79/100</f>
        <v>0.34545399770732343</v>
      </c>
      <c r="AB79" s="80">
        <f>(SUM(Data!CU79:DA79)*2+Data!DB79)/('Useful Constants'!$B$1*1000000)*$K79/100</f>
        <v>0.29034080515199595</v>
      </c>
      <c r="AC79" s="80">
        <f>(SUM(Data!CV79:DB79)*2+Data!DC79)/('Useful Constants'!$B$1*1000000)*$K79/100</f>
        <v>0.26120361567902112</v>
      </c>
      <c r="AD79" s="80">
        <f>(SUM(Data!CW79:DC79)*2+Data!DD79)/('Useful Constants'!$B$1*1000000)*$K79/100</f>
        <v>0.23448265433088469</v>
      </c>
      <c r="AE79" s="80">
        <f>(SUM(Data!CX79:DD79)*2+Data!DE79)/('Useful Constants'!$B$1*1000000)*$K79/100</f>
        <v>0.22009959915128666</v>
      </c>
      <c r="AF79" s="80">
        <f>(SUM(Data!CY79:DE79)*2+Data!DF79)/('Useful Constants'!$B$1*1000000)*$K79/100</f>
        <v>0.20735210845163418</v>
      </c>
      <c r="AG79" s="80">
        <f>(SUM(Data!CZ79:DF79)*2+Data!DG79)/('Useful Constants'!$B$1*1000000)*$K79/100</f>
        <v>0.19764367074085193</v>
      </c>
      <c r="AH79" s="48">
        <f>Z79*'Useful Constants'!$B$3</f>
        <v>38.047221335872422</v>
      </c>
      <c r="AI79" s="48">
        <f>AA79*'Useful Constants'!$B$3</f>
        <v>29.01813580741517</v>
      </c>
      <c r="AJ79" s="48">
        <f>AB79*'Useful Constants'!$B$3</f>
        <v>24.388627632767658</v>
      </c>
      <c r="AK79" s="48">
        <f>AC79*'Useful Constants'!$B$3</f>
        <v>21.941103717037773</v>
      </c>
      <c r="AL79" s="48">
        <f>AD79*'Useful Constants'!$B$3</f>
        <v>19.696542963794315</v>
      </c>
      <c r="AM79" s="48">
        <f>AE79*'Useful Constants'!$B$3</f>
        <v>18.488366328708079</v>
      </c>
      <c r="AN79" s="48">
        <f>AF79*'Useful Constants'!$B$3</f>
        <v>17.41757710993727</v>
      </c>
      <c r="AO79" s="48">
        <f>AG79*'Useful Constants'!$B$3</f>
        <v>16.602068342231561</v>
      </c>
      <c r="AP79" s="10">
        <f>Z79*'Useful Constants'!$B$4</f>
        <v>12.682407111957476</v>
      </c>
      <c r="AQ79" s="10">
        <f>AA79*'Useful Constants'!$B$4</f>
        <v>9.6727119358050562</v>
      </c>
      <c r="AR79" s="10">
        <f>AB79*'Useful Constants'!$B$4</f>
        <v>8.1295425442558873</v>
      </c>
      <c r="AS79" s="10">
        <f>AC79*'Useful Constants'!$B$4</f>
        <v>7.3137012390125911</v>
      </c>
      <c r="AT79" s="10">
        <f>AD79*'Useful Constants'!$B$4</f>
        <v>6.5655143212647715</v>
      </c>
      <c r="AU79" s="10">
        <f>AE79*'Useful Constants'!$B$4</f>
        <v>6.1627887762360265</v>
      </c>
      <c r="AV79" s="10">
        <f>AF79*'Useful Constants'!$B$4</f>
        <v>5.8058590366457574</v>
      </c>
      <c r="AW79" s="10">
        <f>AG79*'Useful Constants'!$B$4</f>
        <v>5.5340227807438538</v>
      </c>
      <c r="AX79" s="48">
        <f>P79/1000000/'Useful Constants'!$B$1*K79/100*'Useful Constants'!$B$3*15</f>
        <v>11264.835894572421</v>
      </c>
      <c r="AY79" s="48">
        <f>P79/1000000/'Useful Constants'!$B$1*L79/100*'Useful Constants'!$B$3*15</f>
        <v>6258.2421636513454</v>
      </c>
      <c r="AZ79" s="48">
        <f>P79/1000000/'Useful Constants'!$B$1*K79/100*'Useful Constants'!$B$4*15</f>
        <v>3754.9452981908071</v>
      </c>
      <c r="BA79" s="48">
        <f>P79/1000000/'Useful Constants'!$B$1*L79/100*'Useful Constants'!$B$4*15</f>
        <v>2086.0807212171148</v>
      </c>
      <c r="BB79" s="7">
        <f>Data!AN79</f>
        <v>4507.5769200000004</v>
      </c>
      <c r="BC79" s="7">
        <f>Data!AQ79</f>
        <v>4507.5769200000004</v>
      </c>
      <c r="BD79" s="7">
        <f>Data!AT79</f>
        <v>7631.6420099999996</v>
      </c>
      <c r="BE79" s="6">
        <f>Data!AO79</f>
        <v>39803394393.1427</v>
      </c>
      <c r="BF79" s="6">
        <f>Data!AP79</f>
        <v>13304801997.681999</v>
      </c>
      <c r="BG79" s="6">
        <f>Data!AR79</f>
        <v>5987097585.6360397</v>
      </c>
      <c r="BH79" s="6">
        <f>Data!AS79</f>
        <v>5987097585.6360397</v>
      </c>
      <c r="BI79" s="8">
        <f t="shared" si="100"/>
        <v>0.86925020180148505</v>
      </c>
      <c r="BJ79" s="8">
        <f t="shared" si="101"/>
        <v>0.68965743576577798</v>
      </c>
      <c r="BK79" s="13">
        <f>BB79*'Useful Constants'!$B$5/'Useful Constants'!$B$6*'Useful Constants'!$B$7</f>
        <v>1.1534889338280001</v>
      </c>
      <c r="BL79" s="52">
        <f>1-VLOOKUP($G79,'Useful Constants'!$A$17:$X$23,10,FALSE)</f>
        <v>6.6471999999999865E-2</v>
      </c>
      <c r="BM79" s="52">
        <f>1-VLOOKUP($G79,'Useful Constants'!$A$17:$X$23,12,FALSE)</f>
        <v>4.945672000000001E-2</v>
      </c>
      <c r="BN79" s="52">
        <f>1-VLOOKUP($G79,'Useful Constants'!$A$17:$X$23,14,FALSE)</f>
        <v>3.4455679999999989E-2</v>
      </c>
      <c r="BO79" s="52">
        <f>1-VLOOKUP($G79,'Useful Constants'!$A$17:$X$23,16,FALSE)</f>
        <v>2.1468880000000024E-2</v>
      </c>
      <c r="BP79" s="52">
        <f>1-VLOOKUP($G79,'Useful Constants'!$A$17:$X$23,18,FALSE)</f>
        <v>0</v>
      </c>
      <c r="BQ79" s="52">
        <f>1-VLOOKUP($G79,'Useful Constants'!$A$17:$X$23,20, FALSE)</f>
        <v>0</v>
      </c>
      <c r="BR79" s="52">
        <f>1-VLOOKUP($G79,'Useful Constants'!$A$17:$X$23,22, FALSE)</f>
        <v>0</v>
      </c>
      <c r="BS79" s="52">
        <f>1-VLOOKUP($G79,'Useful Constants'!$A$17:$X$23,24, FALSE)</f>
        <v>0</v>
      </c>
      <c r="BT79" s="13">
        <f t="shared" si="102"/>
        <v>7.6674716409414673E-2</v>
      </c>
      <c r="BU79" s="13">
        <f t="shared" si="103"/>
        <v>5.7047779223429941E-2</v>
      </c>
      <c r="BV79" s="13">
        <f t="shared" si="104"/>
        <v>3.9744245587518733E-2</v>
      </c>
      <c r="BW79" s="13">
        <f t="shared" si="105"/>
        <v>2.47641155016813E-2</v>
      </c>
      <c r="BX79" s="13">
        <f t="shared" si="106"/>
        <v>0</v>
      </c>
      <c r="BY79" s="13">
        <f t="shared" si="107"/>
        <v>0</v>
      </c>
      <c r="BZ79" s="13">
        <f t="shared" si="108"/>
        <v>0</v>
      </c>
      <c r="CA79" s="13">
        <f t="shared" si="109"/>
        <v>0</v>
      </c>
      <c r="CB79" s="59">
        <f>+SUM(Data!BM79:BS79)*2+Data!BT79</f>
        <v>649.59400261266114</v>
      </c>
      <c r="CC79" s="59">
        <f>+SUM(Data!BN79:BT79)*2+Data!BU79</f>
        <v>646.31220792471402</v>
      </c>
      <c r="CD79" s="59">
        <f>+SUM(Data!BO79:BU79)*2+Data!BV79</f>
        <v>691.81511262291667</v>
      </c>
      <c r="CE79" s="59">
        <f>+SUM(Data!BP79:BV79)*2+Data!BW79</f>
        <v>663.3497616056942</v>
      </c>
      <c r="CF79" s="59">
        <f>+SUM(Data!BQ79:BW79)*2+Data!BX79</f>
        <v>718.24451075695163</v>
      </c>
      <c r="CG79" s="59">
        <f>+SUM(Data!BR79:BX79)*2+Data!BY79</f>
        <v>686.03250315650996</v>
      </c>
      <c r="CH79" s="59">
        <f>+SUM(Data!BS79:BY79)*2+Data!BZ79</f>
        <v>705.96095879356926</v>
      </c>
      <c r="CI79" s="59">
        <f>+SUM(Data!BT79:BZ79)*2+Data!CA79</f>
        <v>730.51282197814555</v>
      </c>
      <c r="CJ79" s="13">
        <f>+SUM(Data!AW79:BC79)*2+Data!BD79</f>
        <v>3643.746957447463</v>
      </c>
      <c r="CK79" s="13">
        <f>+SUM(Data!AX79:BD79)*2+Data!BE79</f>
        <v>3625.2900030762871</v>
      </c>
      <c r="CL79" s="13">
        <f>+SUM(Data!AY79:BE79)*2+Data!BF79</f>
        <v>3888.6980336287074</v>
      </c>
      <c r="CM79" s="13">
        <f>+SUM(Data!AZ79:BF79)*2+Data!BG79</f>
        <v>3732.9555917983498</v>
      </c>
      <c r="CN79" s="13">
        <f>+SUM(Data!BA79:BG79)*2+Data!BH79</f>
        <v>4049.0845404545789</v>
      </c>
      <c r="CO79" s="13">
        <f>+SUM(Data!BB79:BH79)*2+Data!BI79</f>
        <v>3866.0561663455237</v>
      </c>
      <c r="CP79" s="13">
        <f>+SUM(Data!BC79:BI79)*2+Data!BJ79</f>
        <v>3980.1992454290648</v>
      </c>
      <c r="CQ79" s="13">
        <f>+SUM(Data!BD79:BJ79)*2+Data!BK79</f>
        <v>4128.9252852706632</v>
      </c>
      <c r="CR79" s="59">
        <f>+SUM(Data!CC79:CI79)*2+Data!CJ79</f>
        <v>1613.7108657282597</v>
      </c>
      <c r="CS79" s="59">
        <f>+SUM(Data!CD79:CJ79)*2+Data!CK79</f>
        <v>1609.0491365185057</v>
      </c>
      <c r="CT79" s="59">
        <f>+SUM(Data!CE79:CK79)*2+Data!CL79</f>
        <v>1757.30945400208</v>
      </c>
      <c r="CU79" s="59">
        <f>+SUM(Data!CF79:CL79)*2+Data!CM79</f>
        <v>1694.6463867415139</v>
      </c>
      <c r="CV79" s="59">
        <f>+SUM(Data!CG79:CM79)*2+Data!CN79</f>
        <v>1847.8596924925764</v>
      </c>
      <c r="CW79" s="59">
        <f>+SUM(Data!CH79:CN79)*2+Data!CO79</f>
        <v>1770.6016191218164</v>
      </c>
      <c r="CX79" s="59">
        <f>+SUM(Data!CI79:CO79)*2+Data!CP79</f>
        <v>1817.9801382192954</v>
      </c>
      <c r="CY79" s="59">
        <f>+SUM(Data!CJ79:CP79)*2+Data!CQ79</f>
        <v>1956.3546770898295</v>
      </c>
      <c r="CZ79" s="60">
        <f t="shared" si="110"/>
        <v>5907.0518257883841</v>
      </c>
      <c r="DA79" s="60">
        <f t="shared" si="111"/>
        <v>5880.6513475195061</v>
      </c>
      <c r="DB79" s="60">
        <f t="shared" si="112"/>
        <v>6337.822600253704</v>
      </c>
      <c r="DC79" s="60">
        <f t="shared" si="113"/>
        <v>6090.9517401455578</v>
      </c>
      <c r="DD79" s="60">
        <f t="shared" si="114"/>
        <v>6615.1887437041078</v>
      </c>
      <c r="DE79" s="60">
        <f t="shared" si="115"/>
        <v>6322.6902886238495</v>
      </c>
      <c r="DF79" s="60">
        <f t="shared" si="116"/>
        <v>6504.1403424419295</v>
      </c>
      <c r="DG79" s="60">
        <f t="shared" si="117"/>
        <v>6815.7927843386378</v>
      </c>
      <c r="DH79" s="13">
        <f t="shared" si="118"/>
        <v>7.8834841254440596E-2</v>
      </c>
      <c r="DI79" s="13">
        <f t="shared" si="119"/>
        <v>5.865496254310576E-2</v>
      </c>
      <c r="DJ79" s="13">
        <f t="shared" si="120"/>
        <v>4.0863943662200752E-2</v>
      </c>
      <c r="DK79" s="13">
        <f t="shared" si="121"/>
        <v>2.5461784611725838E-2</v>
      </c>
      <c r="DL79" s="13">
        <f t="shared" si="122"/>
        <v>0</v>
      </c>
      <c r="DM79" s="13">
        <f t="shared" si="123"/>
        <v>0</v>
      </c>
      <c r="DN79" s="13">
        <f t="shared" si="124"/>
        <v>0</v>
      </c>
      <c r="DO79" s="13">
        <f t="shared" si="125"/>
        <v>0</v>
      </c>
      <c r="DP79" s="50">
        <f>DH79*'Useful Constants'!$B$8</f>
        <v>335.83642374391695</v>
      </c>
      <c r="DQ79" s="50">
        <f>DI79*'Useful Constants'!$B$8</f>
        <v>249.87014043363052</v>
      </c>
      <c r="DR79" s="50">
        <f>DJ79*'Useful Constants'!$B$10</f>
        <v>99.299383099147832</v>
      </c>
      <c r="DS79" s="50">
        <f>DK79*'Useful Constants'!$B$10</f>
        <v>61.872136606493783</v>
      </c>
      <c r="DT79" s="50">
        <f>DL79*'Useful Constants'!$B$10</f>
        <v>0</v>
      </c>
      <c r="DU79" s="50">
        <f>DM79*'Useful Constants'!$B$10</f>
        <v>0</v>
      </c>
      <c r="DV79" s="50">
        <f>DN79*'Useful Constants'!$B$10</f>
        <v>0</v>
      </c>
      <c r="DW79" s="50">
        <f>DO79*'Useful Constants'!$B$10</f>
        <v>0</v>
      </c>
      <c r="DX79" s="14">
        <f>DH79*'Useful Constants'!$B$9</f>
        <v>151.6782345735437</v>
      </c>
      <c r="DY79" s="14">
        <f>DI79*'Useful Constants'!$B$9</f>
        <v>112.85214793293548</v>
      </c>
      <c r="DZ79" s="14">
        <f>DJ79*'Useful Constants'!$B$11</f>
        <v>27.664889859309909</v>
      </c>
      <c r="EA79" s="14">
        <f>DK79*'Useful Constants'!$B$11</f>
        <v>17.237628182138391</v>
      </c>
      <c r="EB79" s="14">
        <f>DL79*'Useful Constants'!$B$11</f>
        <v>0</v>
      </c>
      <c r="EC79" s="14">
        <f>DM79*'Useful Constants'!$B$11</f>
        <v>0</v>
      </c>
      <c r="ED79" s="14">
        <f>DN79*'Useful Constants'!$B$11</f>
        <v>0</v>
      </c>
      <c r="EE79" s="14">
        <f>DO79*'Useful Constants'!$B$11</f>
        <v>0</v>
      </c>
      <c r="EF79" s="78">
        <f>(SUM(Data!DI79:DO79)*2+Data!DP79)/('Useful Constants'!$B$1*1000000)*$K79/100</f>
        <v>28.177129384841443</v>
      </c>
      <c r="EG79" s="78">
        <f>(SUM(Data!DJ79:DP79)*2+Data!DQ79)/('Useful Constants'!$B$1*1000000)*$K79/100</f>
        <v>21.57149528727081</v>
      </c>
      <c r="EH79" s="78">
        <f>(SUM(Data!DK79:DQ79)*2+Data!DR79)/('Useful Constants'!$B$1*1000000)*$K79/100</f>
        <v>18.135305645377485</v>
      </c>
      <c r="EI79" s="78">
        <f>(SUM(Data!DL79:DR79)*2+Data!DS79)/('Useful Constants'!$B$1*1000000)*$K79/100</f>
        <v>16.300496136927478</v>
      </c>
      <c r="EJ79" s="78">
        <f>(SUM(Data!DM79:DS79)*2+Data!DT79)/('Useful Constants'!$B$1*1000000)*$K79/100</f>
        <v>14.660917846398613</v>
      </c>
      <c r="EK79" s="78">
        <f>(SUM(Data!DN79:DT79)*2+Data!DU79)/('Useful Constants'!$B$1*1000000)*$K79/100</f>
        <v>13.752485059865096</v>
      </c>
      <c r="EL79" s="78">
        <f>(SUM(Data!DO79:DU79)*2+Data!DV79)/('Useful Constants'!$B$1*1000000)*$K79/100</f>
        <v>12.950818180622223</v>
      </c>
      <c r="EM79" s="78">
        <f>(SUM(Data!DP79:DV79)*2+Data!DW79)/('Useful Constants'!$B$1*1000000)*$K79/100</f>
        <v>12.236674810753593</v>
      </c>
      <c r="EN79" s="79">
        <f>EF79*'Useful Constants'!$B$3</f>
        <v>2366.8788683266812</v>
      </c>
      <c r="EO79" s="79">
        <f>EG79*'Useful Constants'!$B$3</f>
        <v>1812.005604130748</v>
      </c>
      <c r="EP79" s="79">
        <f>EH79*'Useful Constants'!$B$3</f>
        <v>1523.3656742117087</v>
      </c>
      <c r="EQ79" s="79">
        <f>EI79*'Useful Constants'!$B$3</f>
        <v>1369.241675501908</v>
      </c>
      <c r="ER79" s="79">
        <f>EJ79*'Useful Constants'!$B$3</f>
        <v>1231.5170990974834</v>
      </c>
      <c r="ES79" s="79">
        <f>EK79*'Useful Constants'!$B$3</f>
        <v>1155.2087450286681</v>
      </c>
      <c r="ET79" s="79">
        <f>EL79*'Useful Constants'!$B$3</f>
        <v>1087.8687271722667</v>
      </c>
      <c r="EU79" s="79">
        <f>EM79*'Useful Constants'!$B$3</f>
        <v>1027.8806841033017</v>
      </c>
      <c r="EV79" s="78">
        <f>EF79*'Useful Constants'!$B$4</f>
        <v>788.95962277556043</v>
      </c>
      <c r="EW79" s="78">
        <f>EG79*'Useful Constants'!$B$4</f>
        <v>604.0018680435827</v>
      </c>
      <c r="EX79" s="78">
        <f>EH79*'Useful Constants'!$B$4</f>
        <v>507.78855807056959</v>
      </c>
      <c r="EY79" s="78">
        <f>EI79*'Useful Constants'!$B$4</f>
        <v>456.41389183396939</v>
      </c>
      <c r="EZ79" s="78">
        <f>EJ79*'Useful Constants'!$B$4</f>
        <v>410.50569969916114</v>
      </c>
      <c r="FA79" s="78">
        <f>EK79*'Useful Constants'!$B$4</f>
        <v>385.0695816762227</v>
      </c>
      <c r="FB79" s="78">
        <f>EL79*'Useful Constants'!$B$4</f>
        <v>362.62290905742225</v>
      </c>
      <c r="FC79" s="78">
        <f>EM79*'Useful Constants'!$B$4</f>
        <v>342.62689470110058</v>
      </c>
      <c r="FD79" s="40">
        <f t="shared" si="126"/>
        <v>0.84278917246351925</v>
      </c>
      <c r="FE79" s="40">
        <f t="shared" si="127"/>
        <v>0.84348946423468441</v>
      </c>
      <c r="FF79" s="40">
        <f t="shared" si="128"/>
        <v>0.8313532435713904</v>
      </c>
      <c r="FG79" s="40">
        <f t="shared" si="129"/>
        <v>0.8379036085605186</v>
      </c>
      <c r="FH79" s="40">
        <f t="shared" si="130"/>
        <v>0.82399112833287691</v>
      </c>
      <c r="FI79" s="40">
        <f t="shared" si="131"/>
        <v>0.83175195328590545</v>
      </c>
      <c r="FJ79" s="40">
        <f t="shared" si="132"/>
        <v>0.82693762730310727</v>
      </c>
      <c r="FK79" s="40">
        <f t="shared" si="133"/>
        <v>0.81866452976855197</v>
      </c>
      <c r="FL79" s="4">
        <f t="shared" si="134"/>
        <v>0.8438426508696617</v>
      </c>
      <c r="FM79" s="4">
        <f t="shared" si="135"/>
        <v>0.85591947977929816</v>
      </c>
      <c r="FN79" s="4">
        <f t="shared" si="136"/>
        <v>0.85559972580295973</v>
      </c>
      <c r="FO79" s="4">
        <f t="shared" si="137"/>
        <v>0.86353571222587988</v>
      </c>
      <c r="FP79" s="4">
        <f t="shared" si="138"/>
        <v>0.85766175818479062</v>
      </c>
      <c r="FQ79" s="4">
        <f t="shared" si="139"/>
        <v>0.86433700971505856</v>
      </c>
      <c r="FR79" s="4">
        <f t="shared" si="140"/>
        <v>0.86227181406629694</v>
      </c>
      <c r="FS79" s="4">
        <f t="shared" si="141"/>
        <v>0.85771457117385941</v>
      </c>
      <c r="FT79" s="38">
        <f t="shared" si="142"/>
        <v>0.8423200831235983</v>
      </c>
      <c r="FU79" s="38">
        <f t="shared" si="143"/>
        <v>0.84806852160241675</v>
      </c>
      <c r="FV79" s="38">
        <f t="shared" si="144"/>
        <v>0.84173757842599839</v>
      </c>
      <c r="FW79" s="38">
        <f t="shared" si="145"/>
        <v>0.84882702276792854</v>
      </c>
      <c r="FX79" s="38">
        <f t="shared" si="146"/>
        <v>0.83823689954504421</v>
      </c>
      <c r="FY79" s="38">
        <f t="shared" si="147"/>
        <v>0.84553857806057064</v>
      </c>
      <c r="FZ79" s="38">
        <f t="shared" si="148"/>
        <v>0.8418870085504726</v>
      </c>
      <c r="GA79" s="38">
        <f t="shared" si="149"/>
        <v>0.83518557035636409</v>
      </c>
    </row>
    <row r="80" spans="1:183" x14ac:dyDescent="0.25">
      <c r="A80" s="1" t="str">
        <f>Data!A80</f>
        <v>SC_CHARLESTON-IAP_722080_TY3A</v>
      </c>
      <c r="B80" s="1" t="str">
        <f>TY3A_REP_CITIES!B80</f>
        <v>Charleston</v>
      </c>
      <c r="C80" s="1" t="str">
        <f>TY3A_REP_CITIES!C80</f>
        <v>Charleston</v>
      </c>
      <c r="D80" s="2" t="str">
        <f>TY3A_REP_CITIES!A80</f>
        <v>SC</v>
      </c>
      <c r="E80" s="42">
        <f>TY3A_REP_CITIES!E80</f>
        <v>411406</v>
      </c>
      <c r="F80" s="2">
        <f>TY3A_REP_CITIES!G80</f>
        <v>3</v>
      </c>
      <c r="G80" s="2" t="str">
        <f>TY3A_REP_CITIES!H80</f>
        <v>Hot-Humid</v>
      </c>
      <c r="H80" s="2" t="str">
        <f>TY3A_REP_CITIES!I80</f>
        <v>Southeast</v>
      </c>
      <c r="I80" s="2">
        <f>Data!B80</f>
        <v>32.9</v>
      </c>
      <c r="J80" s="2">
        <f>Data!C80</f>
        <v>-80.03</v>
      </c>
      <c r="K80" s="2">
        <f>VLOOKUP(D80,Table1[],2,FALSE)</f>
        <v>1</v>
      </c>
      <c r="L80" s="2">
        <v>0.5</v>
      </c>
      <c r="M80" s="10">
        <f>Data!N80</f>
        <v>5719.6574899999996</v>
      </c>
      <c r="N80" s="10">
        <f>Data!Q80</f>
        <v>29308</v>
      </c>
      <c r="O80" s="10">
        <f>Data!O80</f>
        <v>9661853032.2003498</v>
      </c>
      <c r="P80" s="10">
        <f>Data!P80</f>
        <v>10064430241.875334</v>
      </c>
      <c r="Q80" s="10">
        <f>Data!S80*15</f>
        <v>7593.7533021763375</v>
      </c>
      <c r="R80" s="48">
        <f>SUM(Data!U80:AA80)*2+Data!AB80</f>
        <v>115.94381924000736</v>
      </c>
      <c r="S80" s="48">
        <f>SUM(Data!V80:AB80)*2+Data!AC80</f>
        <v>101.96504682525492</v>
      </c>
      <c r="T80" s="48">
        <f>SUM(Data!W80:AC80)*2+Data!AD80</f>
        <v>92.324061697864124</v>
      </c>
      <c r="U80" s="48">
        <f>SUM(Data!X80:AD80)*2+Data!AE80</f>
        <v>85.808201232066338</v>
      </c>
      <c r="V80" s="48">
        <f>SUM(Data!Y80:AE80)*2+Data!AF80</f>
        <v>88.991508328451815</v>
      </c>
      <c r="W80" s="48">
        <f>SUM(Data!Z80:AF80)*2+Data!AG80</f>
        <v>88.58592542086113</v>
      </c>
      <c r="X80" s="48">
        <f>SUM(Data!AA80:AG80)*2+Data!AH80</f>
        <v>91.211715919020904</v>
      </c>
      <c r="Y80" s="48">
        <f>SUM(Data!AB80:AH80)*2+Data!AI80</f>
        <v>96.35100093191167</v>
      </c>
      <c r="Z80" s="80">
        <f>(SUM(Data!CS80:CY80)*2+Data!CZ80)/('Useful Constants'!$B$1*1000000)*$K80/100</f>
        <v>5.6438304619607617E-2</v>
      </c>
      <c r="AA80" s="80">
        <f>(SUM(Data!CT80:CZ80)*2+Data!DA80)/('Useful Constants'!$B$1*1000000)*$K80/100</f>
        <v>5.0223514061011158E-2</v>
      </c>
      <c r="AB80" s="80">
        <f>(SUM(Data!CU80:DA80)*2+Data!DB80)/('Useful Constants'!$B$1*1000000)*$K80/100</f>
        <v>4.5592249448031218E-2</v>
      </c>
      <c r="AC80" s="80">
        <f>(SUM(Data!CV80:DB80)*2+Data!DC80)/('Useful Constants'!$B$1*1000000)*$K80/100</f>
        <v>4.7187784007994199E-2</v>
      </c>
      <c r="AD80" s="80">
        <f>(SUM(Data!CW80:DC80)*2+Data!DD80)/('Useful Constants'!$B$1*1000000)*$K80/100</f>
        <v>5.3442737802255683E-2</v>
      </c>
      <c r="AE80" s="80">
        <f>(SUM(Data!CX80:DD80)*2+Data!DE80)/('Useful Constants'!$B$1*1000000)*$K80/100</f>
        <v>6.3301184216115289E-2</v>
      </c>
      <c r="AF80" s="80">
        <f>(SUM(Data!CY80:DE80)*2+Data!DF80)/('Useful Constants'!$B$1*1000000)*$K80/100</f>
        <v>7.3410221585424443E-2</v>
      </c>
      <c r="AG80" s="80">
        <f>(SUM(Data!CZ80:DF80)*2+Data!DG80)/('Useful Constants'!$B$1*1000000)*$K80/100</f>
        <v>8.4404435255993449E-2</v>
      </c>
      <c r="AH80" s="48">
        <f>Z80*'Useful Constants'!$B$3</f>
        <v>4.7408175880470402</v>
      </c>
      <c r="AI80" s="48">
        <f>AA80*'Useful Constants'!$B$3</f>
        <v>4.2187751811249372</v>
      </c>
      <c r="AJ80" s="48">
        <f>AB80*'Useful Constants'!$B$3</f>
        <v>3.8297489536346223</v>
      </c>
      <c r="AK80" s="48">
        <f>AC80*'Useful Constants'!$B$3</f>
        <v>3.9637738566715126</v>
      </c>
      <c r="AL80" s="48">
        <f>AD80*'Useful Constants'!$B$3</f>
        <v>4.4891899753894773</v>
      </c>
      <c r="AM80" s="48">
        <f>AE80*'Useful Constants'!$B$3</f>
        <v>5.3172994741536845</v>
      </c>
      <c r="AN80" s="48">
        <f>AF80*'Useful Constants'!$B$3</f>
        <v>6.1664586131756529</v>
      </c>
      <c r="AO80" s="48">
        <f>AG80*'Useful Constants'!$B$3</f>
        <v>7.0899725615034495</v>
      </c>
      <c r="AP80" s="10">
        <f>Z80*'Useful Constants'!$B$4</f>
        <v>1.5802725293490132</v>
      </c>
      <c r="AQ80" s="10">
        <f>AA80*'Useful Constants'!$B$4</f>
        <v>1.4062583937083124</v>
      </c>
      <c r="AR80" s="10">
        <f>AB80*'Useful Constants'!$B$4</f>
        <v>1.2765829845448742</v>
      </c>
      <c r="AS80" s="10">
        <f>AC80*'Useful Constants'!$B$4</f>
        <v>1.3212579522238377</v>
      </c>
      <c r="AT80" s="10">
        <f>AD80*'Useful Constants'!$B$4</f>
        <v>1.4963966584631592</v>
      </c>
      <c r="AU80" s="10">
        <f>AE80*'Useful Constants'!$B$4</f>
        <v>1.772433158051228</v>
      </c>
      <c r="AV80" s="10">
        <f>AF80*'Useful Constants'!$B$4</f>
        <v>2.0554862043918845</v>
      </c>
      <c r="AW80" s="10">
        <f>AG80*'Useful Constants'!$B$4</f>
        <v>2.3633241871678168</v>
      </c>
      <c r="AX80" s="48">
        <f>P80/1000000/'Useful Constants'!$B$1*K80/100*'Useful Constants'!$B$3*15</f>
        <v>2536.2364209525845</v>
      </c>
      <c r="AY80" s="48">
        <f>P80/1000000/'Useful Constants'!$B$1*L80/100*'Useful Constants'!$B$3*15</f>
        <v>1268.1182104762922</v>
      </c>
      <c r="AZ80" s="48">
        <f>P80/1000000/'Useful Constants'!$B$1*K80/100*'Useful Constants'!$B$4*15</f>
        <v>845.41214031752816</v>
      </c>
      <c r="BA80" s="48">
        <f>P80/1000000/'Useful Constants'!$B$1*L80/100*'Useful Constants'!$B$4*15</f>
        <v>422.70607015876408</v>
      </c>
      <c r="BB80" s="7">
        <f>Data!AN80</f>
        <v>5719.6574899999996</v>
      </c>
      <c r="BC80" s="7">
        <f>Data!AQ80</f>
        <v>5719.6574899999996</v>
      </c>
      <c r="BD80" s="7">
        <f>Data!AT80</f>
        <v>4403.1241200000004</v>
      </c>
      <c r="BE80" s="6">
        <f>Data!AO80</f>
        <v>9207792228.4412193</v>
      </c>
      <c r="BF80" s="6">
        <f>Data!AP80</f>
        <v>2604925905.0746999</v>
      </c>
      <c r="BG80" s="6">
        <f>Data!AR80</f>
        <v>120019086.352073</v>
      </c>
      <c r="BH80" s="6">
        <f>Data!AS80</f>
        <v>120019086.352073</v>
      </c>
      <c r="BI80" s="8">
        <f t="shared" si="100"/>
        <v>0.98713319960045387</v>
      </c>
      <c r="BJ80" s="8">
        <f t="shared" si="101"/>
        <v>0.95595540947443802</v>
      </c>
      <c r="BK80" s="13">
        <f>BB80*'Useful Constants'!$B$5/'Useful Constants'!$B$6*'Useful Constants'!$B$7</f>
        <v>1.4636603516910001</v>
      </c>
      <c r="BL80" s="52">
        <f>1-VLOOKUP($G80,'Useful Constants'!$A$17:$X$23,10,FALSE)</f>
        <v>0</v>
      </c>
      <c r="BM80" s="52">
        <f>1-VLOOKUP($G80,'Useful Constants'!$A$17:$X$23,12,FALSE)</f>
        <v>0</v>
      </c>
      <c r="BN80" s="52">
        <f>1-VLOOKUP($G80,'Useful Constants'!$A$17:$X$23,14,FALSE)</f>
        <v>0</v>
      </c>
      <c r="BO80" s="52">
        <f>1-VLOOKUP($G80,'Useful Constants'!$A$17:$X$23,16,FALSE)</f>
        <v>0</v>
      </c>
      <c r="BP80" s="52">
        <f>1-VLOOKUP($G80,'Useful Constants'!$A$17:$X$23,18,FALSE)</f>
        <v>0</v>
      </c>
      <c r="BQ80" s="52">
        <f>1-VLOOKUP($G80,'Useful Constants'!$A$17:$X$23,20, FALSE)</f>
        <v>0</v>
      </c>
      <c r="BR80" s="52">
        <f>1-VLOOKUP($G80,'Useful Constants'!$A$17:$X$23,22, FALSE)</f>
        <v>0</v>
      </c>
      <c r="BS80" s="52">
        <f>1-VLOOKUP($G80,'Useful Constants'!$A$17:$X$23,24, FALSE)</f>
        <v>0</v>
      </c>
      <c r="BT80" s="13">
        <f t="shared" si="102"/>
        <v>0</v>
      </c>
      <c r="BU80" s="13">
        <f t="shared" si="103"/>
        <v>0</v>
      </c>
      <c r="BV80" s="13">
        <f t="shared" si="104"/>
        <v>0</v>
      </c>
      <c r="BW80" s="13">
        <f t="shared" si="105"/>
        <v>0</v>
      </c>
      <c r="BX80" s="13">
        <f t="shared" si="106"/>
        <v>0</v>
      </c>
      <c r="BY80" s="13">
        <f t="shared" si="107"/>
        <v>0</v>
      </c>
      <c r="BZ80" s="13">
        <f t="shared" si="108"/>
        <v>0</v>
      </c>
      <c r="CA80" s="13">
        <f t="shared" si="109"/>
        <v>0</v>
      </c>
      <c r="CB80" s="59">
        <f>+SUM(Data!BM80:BS80)*2+Data!BT80</f>
        <v>607.07615026491112</v>
      </c>
      <c r="CC80" s="59">
        <f>+SUM(Data!BN80:BT80)*2+Data!BU80</f>
        <v>533.59649980573249</v>
      </c>
      <c r="CD80" s="59">
        <f>+SUM(Data!BO80:BU80)*2+Data!BV80</f>
        <v>483.02590940900131</v>
      </c>
      <c r="CE80" s="59">
        <f>+SUM(Data!BP80:BV80)*2+Data!BW80</f>
        <v>449.0814250420824</v>
      </c>
      <c r="CF80" s="59">
        <f>+SUM(Data!BQ80:BW80)*2+Data!BX80</f>
        <v>465.8463305936117</v>
      </c>
      <c r="CG80" s="59">
        <f>+SUM(Data!BR80:BX80)*2+Data!BY80</f>
        <v>464.27219441407988</v>
      </c>
      <c r="CH80" s="59">
        <f>+SUM(Data!BS80:BY80)*2+Data!BZ80</f>
        <v>478.11603239700622</v>
      </c>
      <c r="CI80" s="59">
        <f>+SUM(Data!BT80:BZ80)*2+Data!CA80</f>
        <v>505.12458073814815</v>
      </c>
      <c r="CJ80" s="13">
        <f>+SUM(Data!AW80:BC80)*2+Data!BD80</f>
        <v>3514.0456652693983</v>
      </c>
      <c r="CK80" s="13">
        <f>+SUM(Data!AX80:BD80)*2+Data!BE80</f>
        <v>3105.1780713378098</v>
      </c>
      <c r="CL80" s="13">
        <f>+SUM(Data!AY80:BE80)*2+Data!BF80</f>
        <v>2812.4389137152757</v>
      </c>
      <c r="CM80" s="13">
        <f>+SUM(Data!AZ80:BF80)*2+Data!BG80</f>
        <v>2607.1181145301725</v>
      </c>
      <c r="CN80" s="13">
        <f>+SUM(Data!BA80:BG80)*2+Data!BH80</f>
        <v>2701.854914227788</v>
      </c>
      <c r="CO80" s="13">
        <f>+SUM(Data!BB80:BH80)*2+Data!BI80</f>
        <v>2677.2986477594627</v>
      </c>
      <c r="CP80" s="13">
        <f>+SUM(Data!BC80:BI80)*2+Data!BJ80</f>
        <v>2754.202147345844</v>
      </c>
      <c r="CQ80" s="13">
        <f>+SUM(Data!BD80:BJ80)*2+Data!BK80</f>
        <v>2895.9370775626035</v>
      </c>
      <c r="CR80" s="59">
        <f>+SUM(Data!CC80:CI80)*2+Data!CJ80</f>
        <v>174.36429291834435</v>
      </c>
      <c r="CS80" s="59">
        <f>+SUM(Data!CD80:CJ80)*2+Data!CK80</f>
        <v>152.92378261028466</v>
      </c>
      <c r="CT80" s="59">
        <f>+SUM(Data!CE80:CK80)*2+Data!CL80</f>
        <v>134.75441231655515</v>
      </c>
      <c r="CU80" s="59">
        <f>+SUM(Data!CF80:CL80)*2+Data!CM80</f>
        <v>122.20763513148268</v>
      </c>
      <c r="CV80" s="59">
        <f>+SUM(Data!CG80:CM80)*2+Data!CN80</f>
        <v>124.77684239140626</v>
      </c>
      <c r="CW80" s="59">
        <f>+SUM(Data!CH80:CN80)*2+Data!CO80</f>
        <v>131.03167280711108</v>
      </c>
      <c r="CX80" s="59">
        <f>+SUM(Data!CI80:CO80)*2+Data!CP80</f>
        <v>136.20624776066666</v>
      </c>
      <c r="CY80" s="59">
        <f>+SUM(Data!CJ80:CP80)*2+Data!CQ80</f>
        <v>142.71668919766887</v>
      </c>
      <c r="CZ80" s="60">
        <f t="shared" si="110"/>
        <v>4295.4861084526538</v>
      </c>
      <c r="DA80" s="60">
        <f t="shared" si="111"/>
        <v>3791.6983537538272</v>
      </c>
      <c r="DB80" s="60">
        <f t="shared" si="112"/>
        <v>3430.2192354408326</v>
      </c>
      <c r="DC80" s="60">
        <f t="shared" si="113"/>
        <v>3178.4071747037378</v>
      </c>
      <c r="DD80" s="60">
        <f t="shared" si="114"/>
        <v>3292.4780872128058</v>
      </c>
      <c r="DE80" s="60">
        <f t="shared" si="115"/>
        <v>3272.6025149806537</v>
      </c>
      <c r="DF80" s="60">
        <f t="shared" si="116"/>
        <v>3368.5244275035166</v>
      </c>
      <c r="DG80" s="60">
        <f t="shared" si="117"/>
        <v>3543.7783474984208</v>
      </c>
      <c r="DH80" s="13">
        <f t="shared" si="118"/>
        <v>0</v>
      </c>
      <c r="DI80" s="13">
        <f t="shared" si="119"/>
        <v>0</v>
      </c>
      <c r="DJ80" s="13">
        <f t="shared" si="120"/>
        <v>0</v>
      </c>
      <c r="DK80" s="13">
        <f t="shared" si="121"/>
        <v>0</v>
      </c>
      <c r="DL80" s="13">
        <f t="shared" si="122"/>
        <v>0</v>
      </c>
      <c r="DM80" s="13">
        <f t="shared" si="123"/>
        <v>0</v>
      </c>
      <c r="DN80" s="13">
        <f t="shared" si="124"/>
        <v>0</v>
      </c>
      <c r="DO80" s="13">
        <f t="shared" si="125"/>
        <v>0</v>
      </c>
      <c r="DP80" s="50">
        <f>DH80*'Useful Constants'!$B$8</f>
        <v>0</v>
      </c>
      <c r="DQ80" s="50">
        <f>DI80*'Useful Constants'!$B$8</f>
        <v>0</v>
      </c>
      <c r="DR80" s="50">
        <f>DJ80*'Useful Constants'!$B$10</f>
        <v>0</v>
      </c>
      <c r="DS80" s="50">
        <f>DK80*'Useful Constants'!$B$10</f>
        <v>0</v>
      </c>
      <c r="DT80" s="50">
        <f>DL80*'Useful Constants'!$B$10</f>
        <v>0</v>
      </c>
      <c r="DU80" s="50">
        <f>DM80*'Useful Constants'!$B$10</f>
        <v>0</v>
      </c>
      <c r="DV80" s="50">
        <f>DN80*'Useful Constants'!$B$10</f>
        <v>0</v>
      </c>
      <c r="DW80" s="50">
        <f>DO80*'Useful Constants'!$B$10</f>
        <v>0</v>
      </c>
      <c r="DX80" s="14">
        <f>DH80*'Useful Constants'!$B$9</f>
        <v>0</v>
      </c>
      <c r="DY80" s="14">
        <f>DI80*'Useful Constants'!$B$9</f>
        <v>0</v>
      </c>
      <c r="DZ80" s="14">
        <f>DJ80*'Useful Constants'!$B$11</f>
        <v>0</v>
      </c>
      <c r="EA80" s="14">
        <f>DK80*'Useful Constants'!$B$11</f>
        <v>0</v>
      </c>
      <c r="EB80" s="14">
        <f>DL80*'Useful Constants'!$B$11</f>
        <v>0</v>
      </c>
      <c r="EC80" s="14">
        <f>DM80*'Useful Constants'!$B$11</f>
        <v>0</v>
      </c>
      <c r="ED80" s="14">
        <f>DN80*'Useful Constants'!$B$11</f>
        <v>0</v>
      </c>
      <c r="EE80" s="14">
        <f>DO80*'Useful Constants'!$B$11</f>
        <v>0</v>
      </c>
      <c r="EF80" s="78">
        <f>(SUM(Data!DI80:DO80)*2+Data!DP80)/('Useful Constants'!$B$1*1000000)*$K80/100</f>
        <v>2.0744591639256829</v>
      </c>
      <c r="EG80" s="78">
        <f>(SUM(Data!DJ80:DP80)*2+Data!DQ80)/('Useful Constants'!$B$1*1000000)*$K80/100</f>
        <v>1.857744795621572</v>
      </c>
      <c r="EH80" s="78">
        <f>(SUM(Data!DK80:DQ80)*2+Data!DR80)/('Useful Constants'!$B$1*1000000)*$K80/100</f>
        <v>1.6981997970481533</v>
      </c>
      <c r="EI80" s="78">
        <f>(SUM(Data!DL80:DR80)*2+Data!DS80)/('Useful Constants'!$B$1*1000000)*$K80/100</f>
        <v>1.7660906032770989</v>
      </c>
      <c r="EJ80" s="78">
        <f>(SUM(Data!DM80:DS80)*2+Data!DT80)/('Useful Constants'!$B$1*1000000)*$K80/100</f>
        <v>2.000446678880428</v>
      </c>
      <c r="EK80" s="78">
        <f>(SUM(Data!DN80:DT80)*2+Data!DU80)/('Useful Constants'!$B$1*1000000)*$K80/100</f>
        <v>2.3684159182068538</v>
      </c>
      <c r="EL80" s="78">
        <f>(SUM(Data!DO80:DU80)*2+Data!DV80)/('Useful Constants'!$B$1*1000000)*$K80/100</f>
        <v>2.7464184327586882</v>
      </c>
      <c r="EM80" s="78">
        <f>(SUM(Data!DP80:DV80)*2+Data!DW80)/('Useful Constants'!$B$1*1000000)*$K80/100</f>
        <v>3.1547035798145173</v>
      </c>
      <c r="EN80" s="79">
        <f>EF80*'Useful Constants'!$B$3</f>
        <v>174.25456976975735</v>
      </c>
      <c r="EO80" s="79">
        <f>EG80*'Useful Constants'!$B$3</f>
        <v>156.05056283221205</v>
      </c>
      <c r="EP80" s="79">
        <f>EH80*'Useful Constants'!$B$3</f>
        <v>142.64878295204488</v>
      </c>
      <c r="EQ80" s="79">
        <f>EI80*'Useful Constants'!$B$3</f>
        <v>148.35161067527631</v>
      </c>
      <c r="ER80" s="79">
        <f>EJ80*'Useful Constants'!$B$3</f>
        <v>168.03752102595595</v>
      </c>
      <c r="ES80" s="79">
        <f>EK80*'Useful Constants'!$B$3</f>
        <v>198.94693712937573</v>
      </c>
      <c r="ET80" s="79">
        <f>EL80*'Useful Constants'!$B$3</f>
        <v>230.6991483517298</v>
      </c>
      <c r="EU80" s="79">
        <f>EM80*'Useful Constants'!$B$3</f>
        <v>264.99510070441943</v>
      </c>
      <c r="EV80" s="78">
        <f>EF80*'Useful Constants'!$B$4</f>
        <v>58.08485658991912</v>
      </c>
      <c r="EW80" s="78">
        <f>EG80*'Useful Constants'!$B$4</f>
        <v>52.016854277404015</v>
      </c>
      <c r="EX80" s="78">
        <f>EH80*'Useful Constants'!$B$4</f>
        <v>47.549594317348294</v>
      </c>
      <c r="EY80" s="78">
        <f>EI80*'Useful Constants'!$B$4</f>
        <v>49.450536891758766</v>
      </c>
      <c r="EZ80" s="78">
        <f>EJ80*'Useful Constants'!$B$4</f>
        <v>56.012507008651987</v>
      </c>
      <c r="FA80" s="78">
        <f>EK80*'Useful Constants'!$B$4</f>
        <v>66.315645709791909</v>
      </c>
      <c r="FB80" s="78">
        <f>EL80*'Useful Constants'!$B$4</f>
        <v>76.899716117243273</v>
      </c>
      <c r="FC80" s="78">
        <f>EM80*'Useful Constants'!$B$4</f>
        <v>88.33170023480649</v>
      </c>
      <c r="FD80" s="40">
        <f t="shared" si="126"/>
        <v>0.44284632187165196</v>
      </c>
      <c r="FE80" s="40">
        <f t="shared" si="127"/>
        <v>0.50729767101654066</v>
      </c>
      <c r="FF80" s="40">
        <f t="shared" si="128"/>
        <v>0.55371003009110809</v>
      </c>
      <c r="FG80" s="40">
        <f t="shared" si="129"/>
        <v>0.58612126834415323</v>
      </c>
      <c r="FH80" s="40">
        <f t="shared" si="130"/>
        <v>0.5714450800564238</v>
      </c>
      <c r="FI80" s="40">
        <f t="shared" si="131"/>
        <v>0.57400963195890742</v>
      </c>
      <c r="FJ80" s="40">
        <f t="shared" si="132"/>
        <v>0.56167342081950411</v>
      </c>
      <c r="FK80" s="40">
        <f t="shared" si="133"/>
        <v>0.53917681635786563</v>
      </c>
      <c r="FL80" s="4">
        <f t="shared" si="134"/>
        <v>0.61196100625203931</v>
      </c>
      <c r="FM80" s="4">
        <f t="shared" si="135"/>
        <v>0.6568455494306813</v>
      </c>
      <c r="FN80" s="4">
        <f t="shared" si="136"/>
        <v>0.68916072229013603</v>
      </c>
      <c r="FO80" s="4">
        <f t="shared" si="137"/>
        <v>0.71041142388149925</v>
      </c>
      <c r="FP80" s="4">
        <f t="shared" si="138"/>
        <v>0.69886534237487064</v>
      </c>
      <c r="FQ80" s="4">
        <f t="shared" si="139"/>
        <v>0.69791628251750792</v>
      </c>
      <c r="FR80" s="4">
        <f t="shared" si="140"/>
        <v>0.6869011417179276</v>
      </c>
      <c r="FS80" s="4">
        <f t="shared" si="141"/>
        <v>0.66884691105803085</v>
      </c>
      <c r="FT80" s="38">
        <f t="shared" si="142"/>
        <v>0.5151599108854702</v>
      </c>
      <c r="FU80" s="38">
        <f t="shared" si="143"/>
        <v>0.57126479604444724</v>
      </c>
      <c r="FV80" s="38">
        <f t="shared" si="144"/>
        <v>0.61165991377576989</v>
      </c>
      <c r="FW80" s="38">
        <f t="shared" si="145"/>
        <v>0.63930524516046294</v>
      </c>
      <c r="FX80" s="38">
        <f t="shared" si="146"/>
        <v>0.62596557644639916</v>
      </c>
      <c r="FY80" s="38">
        <f t="shared" si="147"/>
        <v>0.62702944308655062</v>
      </c>
      <c r="FZ80" s="38">
        <f t="shared" si="148"/>
        <v>0.61525731165550956</v>
      </c>
      <c r="GA80" s="38">
        <f t="shared" si="149"/>
        <v>0.59465707784163702</v>
      </c>
    </row>
    <row r="81" spans="1:183" x14ac:dyDescent="0.25">
      <c r="A81" s="1" t="str">
        <f>Data!A81</f>
        <v>SD_CHAN-GURNEY-MUNI_726525_TY3A</v>
      </c>
      <c r="B81" s="1" t="str">
        <f>TY3A_REP_CITIES!B81</f>
        <v>Yankton</v>
      </c>
      <c r="C81" s="1" t="str">
        <f>TY3A_REP_CITIES!C81</f>
        <v>Yankton</v>
      </c>
      <c r="D81" s="2" t="str">
        <f>TY3A_REP_CITIES!A81</f>
        <v>SD</v>
      </c>
      <c r="E81" s="42">
        <f>TY3A_REP_CITIES!E81</f>
        <v>22814</v>
      </c>
      <c r="F81" s="2">
        <f>TY3A_REP_CITIES!G81</f>
        <v>5</v>
      </c>
      <c r="G81" s="2" t="str">
        <f>TY3A_REP_CITIES!H81</f>
        <v>Cold</v>
      </c>
      <c r="H81" s="2" t="str">
        <f>TY3A_REP_CITIES!I81</f>
        <v>Midwest</v>
      </c>
      <c r="I81" s="2">
        <f>Data!B81</f>
        <v>42.92</v>
      </c>
      <c r="J81" s="2">
        <f>Data!C81</f>
        <v>-97.38</v>
      </c>
      <c r="K81" s="2">
        <f>VLOOKUP(D81,Table1[],2,FALSE)</f>
        <v>2</v>
      </c>
      <c r="L81" s="2">
        <v>0.5</v>
      </c>
      <c r="M81" s="10">
        <f>Data!N81</f>
        <v>6034.89473</v>
      </c>
      <c r="N81" s="10">
        <f>Data!Q81</f>
        <v>29308</v>
      </c>
      <c r="O81" s="10">
        <f>Data!O81</f>
        <v>59964619774.997803</v>
      </c>
      <c r="P81" s="10">
        <f>Data!P81</f>
        <v>62463145598.956253</v>
      </c>
      <c r="Q81" s="10">
        <f>Data!S81*15</f>
        <v>47129.316489555378</v>
      </c>
      <c r="R81" s="48">
        <f>SUM(Data!U81:AA81)*2+Data!AB81</f>
        <v>830.70590416982259</v>
      </c>
      <c r="S81" s="48">
        <f>SUM(Data!V81:AB81)*2+Data!AC81</f>
        <v>749.49449194516819</v>
      </c>
      <c r="T81" s="48">
        <f>SUM(Data!W81:AC81)*2+Data!AD81</f>
        <v>587.08939688362489</v>
      </c>
      <c r="U81" s="48">
        <f>SUM(Data!X81:AD81)*2+Data!AE81</f>
        <v>471.51426627992942</v>
      </c>
      <c r="V81" s="48">
        <f>SUM(Data!Y81:AE81)*2+Data!AF81</f>
        <v>465.94272779861927</v>
      </c>
      <c r="W81" s="48">
        <f>SUM(Data!Z81:AF81)*2+Data!AG81</f>
        <v>424.728229051185</v>
      </c>
      <c r="X81" s="48">
        <f>SUM(Data!AA81:AG81)*2+Data!AH81</f>
        <v>350.46639053046209</v>
      </c>
      <c r="Y81" s="48">
        <f>SUM(Data!AB81:AH81)*2+Data!AI81</f>
        <v>264.75750241370309</v>
      </c>
      <c r="Z81" s="80">
        <f>(SUM(Data!CS81:CY81)*2+Data!CZ81)/('Useful Constants'!$B$1*1000000)*$K81/100</f>
        <v>0.43811271242997124</v>
      </c>
      <c r="AA81" s="80">
        <f>(SUM(Data!CT81:CZ81)*2+Data!DA81)/('Useful Constants'!$B$1*1000000)*$K81/100</f>
        <v>0.29575625072045786</v>
      </c>
      <c r="AB81" s="80">
        <f>(SUM(Data!CU81:DA81)*2+Data!DB81)/('Useful Constants'!$B$1*1000000)*$K81/100</f>
        <v>0.1906501504571948</v>
      </c>
      <c r="AC81" s="80">
        <f>(SUM(Data!CV81:DB81)*2+Data!DC81)/('Useful Constants'!$B$1*1000000)*$K81/100</f>
        <v>0.13604535500258624</v>
      </c>
      <c r="AD81" s="80">
        <f>(SUM(Data!CW81:DC81)*2+Data!DD81)/('Useful Constants'!$B$1*1000000)*$K81/100</f>
        <v>9.355454043543604E-2</v>
      </c>
      <c r="AE81" s="80">
        <f>(SUM(Data!CX81:DD81)*2+Data!DE81)/('Useful Constants'!$B$1*1000000)*$K81/100</f>
        <v>6.5290526661566387E-2</v>
      </c>
      <c r="AF81" s="80">
        <f>(SUM(Data!CY81:DE81)*2+Data!DF81)/('Useful Constants'!$B$1*1000000)*$K81/100</f>
        <v>4.786867565154556E-2</v>
      </c>
      <c r="AG81" s="80">
        <f>(SUM(Data!CZ81:DF81)*2+Data!DG81)/('Useful Constants'!$B$1*1000000)*$K81/100</f>
        <v>3.5064519552063154E-2</v>
      </c>
      <c r="AH81" s="48">
        <f>Z81*'Useful Constants'!$B$3</f>
        <v>36.801467844117582</v>
      </c>
      <c r="AI81" s="48">
        <f>AA81*'Useful Constants'!$B$3</f>
        <v>24.843525060518459</v>
      </c>
      <c r="AJ81" s="48">
        <f>AB81*'Useful Constants'!$B$3</f>
        <v>16.014612638404362</v>
      </c>
      <c r="AK81" s="48">
        <f>AC81*'Useful Constants'!$B$3</f>
        <v>11.427809820217245</v>
      </c>
      <c r="AL81" s="48">
        <f>AD81*'Useful Constants'!$B$3</f>
        <v>7.8585813965766276</v>
      </c>
      <c r="AM81" s="48">
        <f>AE81*'Useful Constants'!$B$3</f>
        <v>5.4844042395715764</v>
      </c>
      <c r="AN81" s="48">
        <f>AF81*'Useful Constants'!$B$3</f>
        <v>4.020968754729827</v>
      </c>
      <c r="AO81" s="48">
        <f>AG81*'Useful Constants'!$B$3</f>
        <v>2.945419642373305</v>
      </c>
      <c r="AP81" s="10">
        <f>Z81*'Useful Constants'!$B$4</f>
        <v>12.267155948039195</v>
      </c>
      <c r="AQ81" s="10">
        <f>AA81*'Useful Constants'!$B$4</f>
        <v>8.2811750201728209</v>
      </c>
      <c r="AR81" s="10">
        <f>AB81*'Useful Constants'!$B$4</f>
        <v>5.338204212801454</v>
      </c>
      <c r="AS81" s="10">
        <f>AC81*'Useful Constants'!$B$4</f>
        <v>3.809269940072415</v>
      </c>
      <c r="AT81" s="10">
        <f>AD81*'Useful Constants'!$B$4</f>
        <v>2.6195271321922089</v>
      </c>
      <c r="AU81" s="10">
        <f>AE81*'Useful Constants'!$B$4</f>
        <v>1.8281347465238589</v>
      </c>
      <c r="AV81" s="10">
        <f>AF81*'Useful Constants'!$B$4</f>
        <v>1.3403229182432757</v>
      </c>
      <c r="AW81" s="10">
        <f>AG81*'Useful Constants'!$B$4</f>
        <v>0.9818065474577683</v>
      </c>
      <c r="AX81" s="48">
        <f>P81/1000000/'Useful Constants'!$B$1*K81/100*'Useful Constants'!$B$3*15</f>
        <v>31481.425381873953</v>
      </c>
      <c r="AY81" s="48">
        <f>P81/1000000/'Useful Constants'!$B$1*L81/100*'Useful Constants'!$B$3*15</f>
        <v>7870.3563454684881</v>
      </c>
      <c r="AZ81" s="48">
        <f>P81/1000000/'Useful Constants'!$B$1*K81/100*'Useful Constants'!$B$4*15</f>
        <v>10493.80846062465</v>
      </c>
      <c r="BA81" s="48">
        <f>P81/1000000/'Useful Constants'!$B$1*L81/100*'Useful Constants'!$B$4*15</f>
        <v>2623.4521151561626</v>
      </c>
      <c r="BB81" s="7">
        <f>Data!AN81</f>
        <v>6034.89473</v>
      </c>
      <c r="BC81" s="7">
        <f>Data!AQ81</f>
        <v>6034.89473</v>
      </c>
      <c r="BD81" s="7">
        <f>Data!AT81</f>
        <v>9747.2992099999992</v>
      </c>
      <c r="BE81" s="6">
        <f>Data!AO81</f>
        <v>43947085923.3013</v>
      </c>
      <c r="BF81" s="6">
        <f>Data!AP81</f>
        <v>16721609589.7544</v>
      </c>
      <c r="BG81" s="6">
        <f>Data!AR81</f>
        <v>13859572433.9862</v>
      </c>
      <c r="BH81" s="6">
        <f>Data!AS81</f>
        <v>13859572433.9862</v>
      </c>
      <c r="BI81" s="8">
        <f t="shared" si="100"/>
        <v>0.76024262900090356</v>
      </c>
      <c r="BJ81" s="8">
        <f t="shared" si="101"/>
        <v>0.5467940898024537</v>
      </c>
      <c r="BK81" s="13">
        <f>BB81*'Useful Constants'!$B$5/'Useful Constants'!$B$6*'Useful Constants'!$B$7</f>
        <v>1.5443295614070001</v>
      </c>
      <c r="BL81" s="52">
        <f>1-VLOOKUP($G81,'Useful Constants'!$A$17:$X$23,10,FALSE)</f>
        <v>6.6471999999999865E-2</v>
      </c>
      <c r="BM81" s="52">
        <f>1-VLOOKUP($G81,'Useful Constants'!$A$17:$X$23,12,FALSE)</f>
        <v>4.945672000000001E-2</v>
      </c>
      <c r="BN81" s="52">
        <f>1-VLOOKUP($G81,'Useful Constants'!$A$17:$X$23,14,FALSE)</f>
        <v>3.4455679999999989E-2</v>
      </c>
      <c r="BO81" s="52">
        <f>1-VLOOKUP($G81,'Useful Constants'!$A$17:$X$23,16,FALSE)</f>
        <v>2.1468880000000024E-2</v>
      </c>
      <c r="BP81" s="52">
        <f>1-VLOOKUP($G81,'Useful Constants'!$A$17:$X$23,18,FALSE)</f>
        <v>0</v>
      </c>
      <c r="BQ81" s="52">
        <f>1-VLOOKUP($G81,'Useful Constants'!$A$17:$X$23,20, FALSE)</f>
        <v>0</v>
      </c>
      <c r="BR81" s="52">
        <f>1-VLOOKUP($G81,'Useful Constants'!$A$17:$X$23,22, FALSE)</f>
        <v>0</v>
      </c>
      <c r="BS81" s="52">
        <f>1-VLOOKUP($G81,'Useful Constants'!$A$17:$X$23,24, FALSE)</f>
        <v>0</v>
      </c>
      <c r="BT81" s="13">
        <f t="shared" si="102"/>
        <v>0.1026546746058459</v>
      </c>
      <c r="BU81" s="13">
        <f t="shared" si="103"/>
        <v>7.6377474706228826E-2</v>
      </c>
      <c r="BV81" s="13">
        <f t="shared" si="104"/>
        <v>5.3210925182379923E-2</v>
      </c>
      <c r="BW81" s="13">
        <f t="shared" si="105"/>
        <v>3.3155026034299553E-2</v>
      </c>
      <c r="BX81" s="13">
        <f t="shared" si="106"/>
        <v>0</v>
      </c>
      <c r="BY81" s="13">
        <f t="shared" si="107"/>
        <v>0</v>
      </c>
      <c r="BZ81" s="13">
        <f t="shared" si="108"/>
        <v>0</v>
      </c>
      <c r="CA81" s="13">
        <f t="shared" si="109"/>
        <v>0</v>
      </c>
      <c r="CB81" s="59">
        <f>+SUM(Data!BM81:BS81)*2+Data!BT81</f>
        <v>3874.0789646611497</v>
      </c>
      <c r="CC81" s="59">
        <f>+SUM(Data!BN81:BT81)*2+Data!BU81</f>
        <v>3494.0141216299735</v>
      </c>
      <c r="CD81" s="59">
        <f>+SUM(Data!BO81:BU81)*2+Data!BV81</f>
        <v>2735.121384599116</v>
      </c>
      <c r="CE81" s="59">
        <f>+SUM(Data!BP81:BV81)*2+Data!BW81</f>
        <v>2195.1151665528796</v>
      </c>
      <c r="CF81" s="59">
        <f>+SUM(Data!BQ81:BW81)*2+Data!BX81</f>
        <v>2168.241861470699</v>
      </c>
      <c r="CG81" s="59">
        <f>+SUM(Data!BR81:BX81)*2+Data!BY81</f>
        <v>1973.631356916811</v>
      </c>
      <c r="CH81" s="59">
        <f>+SUM(Data!BS81:BY81)*2+Data!BZ81</f>
        <v>1628.4182578384541</v>
      </c>
      <c r="CI81" s="59">
        <f>+SUM(Data!BT81:BZ81)*2+Data!CA81</f>
        <v>1228.5121476132776</v>
      </c>
      <c r="CJ81" s="13">
        <f>+SUM(Data!AW81:BC81)*2+Data!BD81</f>
        <v>23034.298762436429</v>
      </c>
      <c r="CK81" s="13">
        <f>+SUM(Data!AX81:BD81)*2+Data!BE81</f>
        <v>20812.235719795783</v>
      </c>
      <c r="CL81" s="13">
        <f>+SUM(Data!AY81:BE81)*2+Data!BF81</f>
        <v>16361.871485074975</v>
      </c>
      <c r="CM81" s="13">
        <f>+SUM(Data!AZ81:BF81)*2+Data!BG81</f>
        <v>13161.374813328159</v>
      </c>
      <c r="CN81" s="13">
        <f>+SUM(Data!BA81:BG81)*2+Data!BH81</f>
        <v>13009.732866013757</v>
      </c>
      <c r="CO81" s="13">
        <f>+SUM(Data!BB81:BH81)*2+Data!BI81</f>
        <v>11844.939962827046</v>
      </c>
      <c r="CP81" s="13">
        <f>+SUM(Data!BC81:BI81)*2+Data!BJ81</f>
        <v>9750.6686150006244</v>
      </c>
      <c r="CQ81" s="13">
        <f>+SUM(Data!BD81:BJ81)*2+Data!BK81</f>
        <v>7351.5574533944982</v>
      </c>
      <c r="CR81" s="59">
        <f>+SUM(Data!CC81:CI81)*2+Data!CJ81</f>
        <v>19826.45752921372</v>
      </c>
      <c r="CS81" s="59">
        <f>+SUM(Data!CD81:CJ81)*2+Data!CK81</f>
        <v>17952.631109330167</v>
      </c>
      <c r="CT81" s="59">
        <f>+SUM(Data!CE81:CK81)*2+Data!CL81</f>
        <v>14267.226714690127</v>
      </c>
      <c r="CU81" s="59">
        <f>+SUM(Data!CF81:CL81)*2+Data!CM81</f>
        <v>11553.791960365132</v>
      </c>
      <c r="CV81" s="59">
        <f>+SUM(Data!CG81:CM81)*2+Data!CN81</f>
        <v>11464.502327942275</v>
      </c>
      <c r="CW81" s="59">
        <f>+SUM(Data!CH81:CN81)*2+Data!CO81</f>
        <v>10589.742854894088</v>
      </c>
      <c r="CX81" s="59">
        <f>+SUM(Data!CI81:CO81)*2+Data!CP81</f>
        <v>8657.9986987852772</v>
      </c>
      <c r="CY81" s="59">
        <f>+SUM(Data!CJ81:CP81)*2+Data!CQ81</f>
        <v>6646.7573542662849</v>
      </c>
      <c r="CZ81" s="60">
        <f t="shared" si="110"/>
        <v>46734.8352563113</v>
      </c>
      <c r="DA81" s="60">
        <f t="shared" si="111"/>
        <v>42258.88095075592</v>
      </c>
      <c r="DB81" s="60">
        <f t="shared" si="112"/>
        <v>33364.219584364218</v>
      </c>
      <c r="DC81" s="60">
        <f t="shared" si="113"/>
        <v>26910.281940246168</v>
      </c>
      <c r="DD81" s="60">
        <f t="shared" si="114"/>
        <v>26642.477055426731</v>
      </c>
      <c r="DE81" s="60">
        <f t="shared" si="115"/>
        <v>24408.314174637944</v>
      </c>
      <c r="DF81" s="60">
        <f t="shared" si="116"/>
        <v>20037.085571624353</v>
      </c>
      <c r="DG81" s="60">
        <f t="shared" si="117"/>
        <v>15226.82695527406</v>
      </c>
      <c r="DH81" s="13">
        <f t="shared" si="118"/>
        <v>0.10554672199067212</v>
      </c>
      <c r="DI81" s="13">
        <f t="shared" si="119"/>
        <v>7.8529225484572834E-2</v>
      </c>
      <c r="DJ81" s="13">
        <f t="shared" si="120"/>
        <v>5.4710014411475022E-2</v>
      </c>
      <c r="DK81" s="13">
        <f t="shared" si="121"/>
        <v>3.4089088771379047E-2</v>
      </c>
      <c r="DL81" s="13">
        <f t="shared" si="122"/>
        <v>0</v>
      </c>
      <c r="DM81" s="13">
        <f t="shared" si="123"/>
        <v>0</v>
      </c>
      <c r="DN81" s="13">
        <f t="shared" si="124"/>
        <v>0</v>
      </c>
      <c r="DO81" s="13">
        <f t="shared" si="125"/>
        <v>0</v>
      </c>
      <c r="DP81" s="50">
        <f>DH81*'Useful Constants'!$B$8</f>
        <v>449.62903568026326</v>
      </c>
      <c r="DQ81" s="50">
        <f>DI81*'Useful Constants'!$B$8</f>
        <v>334.53450056428028</v>
      </c>
      <c r="DR81" s="50">
        <f>DJ81*'Useful Constants'!$B$10</f>
        <v>132.94533501988431</v>
      </c>
      <c r="DS81" s="50">
        <f>DK81*'Useful Constants'!$B$10</f>
        <v>82.836485714451086</v>
      </c>
      <c r="DT81" s="50">
        <f>DL81*'Useful Constants'!$B$10</f>
        <v>0</v>
      </c>
      <c r="DU81" s="50">
        <f>DM81*'Useful Constants'!$B$10</f>
        <v>0</v>
      </c>
      <c r="DV81" s="50">
        <f>DN81*'Useful Constants'!$B$10</f>
        <v>0</v>
      </c>
      <c r="DW81" s="50">
        <f>DO81*'Useful Constants'!$B$10</f>
        <v>0</v>
      </c>
      <c r="DX81" s="14">
        <f>DH81*'Useful Constants'!$B$9</f>
        <v>203.07189311005317</v>
      </c>
      <c r="DY81" s="14">
        <f>DI81*'Useful Constants'!$B$9</f>
        <v>151.09022983231813</v>
      </c>
      <c r="DZ81" s="14">
        <f>DJ81*'Useful Constants'!$B$11</f>
        <v>37.038679756568591</v>
      </c>
      <c r="EA81" s="14">
        <f>DK81*'Useful Constants'!$B$11</f>
        <v>23.078313098223614</v>
      </c>
      <c r="EB81" s="14">
        <f>DL81*'Useful Constants'!$B$11</f>
        <v>0</v>
      </c>
      <c r="EC81" s="14">
        <f>DM81*'Useful Constants'!$B$11</f>
        <v>0</v>
      </c>
      <c r="ED81" s="14">
        <f>DN81*'Useful Constants'!$B$11</f>
        <v>0</v>
      </c>
      <c r="EE81" s="14">
        <f>DO81*'Useful Constants'!$B$11</f>
        <v>0</v>
      </c>
      <c r="EF81" s="78">
        <f>(SUM(Data!DI81:DO81)*2+Data!DP81)/('Useful Constants'!$B$1*1000000)*$K81/100</f>
        <v>24.200328831712888</v>
      </c>
      <c r="EG81" s="78">
        <f>(SUM(Data!DJ81:DP81)*2+Data!DQ81)/('Useful Constants'!$B$1*1000000)*$K81/100</f>
        <v>16.226490827697781</v>
      </c>
      <c r="EH81" s="78">
        <f>(SUM(Data!DK81:DQ81)*2+Data!DR81)/('Useful Constants'!$B$1*1000000)*$K81/100</f>
        <v>10.708747817286001</v>
      </c>
      <c r="EI81" s="78">
        <f>(SUM(Data!DL81:DR81)*2+Data!DS81)/('Useful Constants'!$B$1*1000000)*$K81/100</f>
        <v>7.8256589850839218</v>
      </c>
      <c r="EJ81" s="78">
        <f>(SUM(Data!DM81:DS81)*2+Data!DT81)/('Useful Constants'!$B$1*1000000)*$K81/100</f>
        <v>5.357159326897448</v>
      </c>
      <c r="EK81" s="78">
        <f>(SUM(Data!DN81:DT81)*2+Data!DU81)/('Useful Constants'!$B$1*1000000)*$K81/100</f>
        <v>3.7785581902083551</v>
      </c>
      <c r="EL81" s="78">
        <f>(SUM(Data!DO81:DU81)*2+Data!DV81)/('Useful Constants'!$B$1*1000000)*$K81/100</f>
        <v>2.7885948444680406</v>
      </c>
      <c r="EM81" s="78">
        <f>(SUM(Data!DP81:DV81)*2+Data!DW81)/('Useful Constants'!$B$1*1000000)*$K81/100</f>
        <v>1.9566587214832309</v>
      </c>
      <c r="EN81" s="79">
        <f>EF81*'Useful Constants'!$B$3</f>
        <v>2032.8276218638825</v>
      </c>
      <c r="EO81" s="79">
        <f>EG81*'Useful Constants'!$B$3</f>
        <v>1363.0252295266137</v>
      </c>
      <c r="EP81" s="79">
        <f>EH81*'Useful Constants'!$B$3</f>
        <v>899.53481665202412</v>
      </c>
      <c r="EQ81" s="79">
        <f>EI81*'Useful Constants'!$B$3</f>
        <v>657.35535474704943</v>
      </c>
      <c r="ER81" s="79">
        <f>EJ81*'Useful Constants'!$B$3</f>
        <v>450.00138345938564</v>
      </c>
      <c r="ES81" s="79">
        <f>EK81*'Useful Constants'!$B$3</f>
        <v>317.39888797750183</v>
      </c>
      <c r="ET81" s="79">
        <f>EL81*'Useful Constants'!$B$3</f>
        <v>234.24196693531542</v>
      </c>
      <c r="EU81" s="79">
        <f>EM81*'Useful Constants'!$B$3</f>
        <v>164.3593326045914</v>
      </c>
      <c r="EV81" s="78">
        <f>EF81*'Useful Constants'!$B$4</f>
        <v>677.60920728796088</v>
      </c>
      <c r="EW81" s="78">
        <f>EG81*'Useful Constants'!$B$4</f>
        <v>454.34174317553789</v>
      </c>
      <c r="EX81" s="78">
        <f>EH81*'Useful Constants'!$B$4</f>
        <v>299.84493888400806</v>
      </c>
      <c r="EY81" s="78">
        <f>EI81*'Useful Constants'!$B$4</f>
        <v>219.11845158234982</v>
      </c>
      <c r="EZ81" s="78">
        <f>EJ81*'Useful Constants'!$B$4</f>
        <v>150.00046115312855</v>
      </c>
      <c r="FA81" s="78">
        <f>EK81*'Useful Constants'!$B$4</f>
        <v>105.79962932583395</v>
      </c>
      <c r="FB81" s="78">
        <f>EL81*'Useful Constants'!$B$4</f>
        <v>78.080655645105139</v>
      </c>
      <c r="FC81" s="78">
        <f>EM81*'Useful Constants'!$B$4</f>
        <v>54.786444201530465</v>
      </c>
      <c r="FD81" s="40">
        <f t="shared" si="126"/>
        <v>2.5546008451701577E-2</v>
      </c>
      <c r="FE81" s="40">
        <f t="shared" si="127"/>
        <v>0.11737822881432995</v>
      </c>
      <c r="FF81" s="40">
        <f t="shared" si="128"/>
        <v>0.30078095857076431</v>
      </c>
      <c r="FG81" s="40">
        <f t="shared" si="129"/>
        <v>0.43466780909181335</v>
      </c>
      <c r="FH81" s="40">
        <f t="shared" si="130"/>
        <v>0.44022834430298774</v>
      </c>
      <c r="FI81" s="40">
        <f t="shared" si="131"/>
        <v>0.48672475035361912</v>
      </c>
      <c r="FJ81" s="40">
        <f t="shared" si="132"/>
        <v>0.57798700086245791</v>
      </c>
      <c r="FK81" s="40">
        <f t="shared" si="133"/>
        <v>0.67871875800644943</v>
      </c>
      <c r="FL81" s="4">
        <f t="shared" si="134"/>
        <v>0.43654175608152795</v>
      </c>
      <c r="FM81" s="4">
        <f t="shared" si="135"/>
        <v>0.49623264087507563</v>
      </c>
      <c r="FN81" s="4">
        <f t="shared" si="136"/>
        <v>0.6050179153435391</v>
      </c>
      <c r="FO81" s="4">
        <f t="shared" si="137"/>
        <v>0.6820470428058758</v>
      </c>
      <c r="FP81" s="4">
        <f t="shared" si="138"/>
        <v>0.68843068548706288</v>
      </c>
      <c r="FQ81" s="4">
        <f t="shared" si="139"/>
        <v>0.71550638437342362</v>
      </c>
      <c r="FR81" s="4">
        <f t="shared" si="140"/>
        <v>0.76655506605900503</v>
      </c>
      <c r="FS81" s="4">
        <f t="shared" si="141"/>
        <v>0.82257753322463667</v>
      </c>
      <c r="FT81" s="38">
        <f t="shared" si="142"/>
        <v>0.22056200677651636</v>
      </c>
      <c r="FU81" s="38">
        <f t="shared" si="143"/>
        <v>0.29735648353060362</v>
      </c>
      <c r="FV81" s="38">
        <f t="shared" si="144"/>
        <v>0.44606090471432253</v>
      </c>
      <c r="FW81" s="38">
        <f t="shared" si="145"/>
        <v>0.55283878739080705</v>
      </c>
      <c r="FX81" s="38">
        <f t="shared" si="146"/>
        <v>0.55871833917316882</v>
      </c>
      <c r="FY81" s="38">
        <f t="shared" si="147"/>
        <v>0.5959642692165189</v>
      </c>
      <c r="FZ81" s="38">
        <f t="shared" si="148"/>
        <v>0.66805771090034172</v>
      </c>
      <c r="GA81" s="38">
        <f t="shared" si="149"/>
        <v>0.74746275940006046</v>
      </c>
    </row>
    <row r="82" spans="1:183" x14ac:dyDescent="0.25">
      <c r="A82" s="1" t="str">
        <f>Data!A82</f>
        <v>SD_SIOUX-FALLS-FOSS-FIELD_726510_TY3A</v>
      </c>
      <c r="B82" s="1" t="str">
        <f>TY3A_REP_CITIES!B82</f>
        <v>Sioux-Falls</v>
      </c>
      <c r="C82" s="1" t="str">
        <f>TY3A_REP_CITIES!C82</f>
        <v>Minnehaha</v>
      </c>
      <c r="D82" s="2" t="str">
        <f>TY3A_REP_CITIES!A82</f>
        <v>SD</v>
      </c>
      <c r="E82" s="42">
        <f>TY3A_REP_CITIES!E82</f>
        <v>193134</v>
      </c>
      <c r="F82" s="2">
        <f>TY3A_REP_CITIES!G82</f>
        <v>6</v>
      </c>
      <c r="G82" s="2" t="str">
        <f>TY3A_REP_CITIES!H82</f>
        <v>Cold</v>
      </c>
      <c r="H82" s="2" t="str">
        <f>TY3A_REP_CITIES!I82</f>
        <v>Midwest</v>
      </c>
      <c r="I82" s="2">
        <f>Data!B82</f>
        <v>43.58</v>
      </c>
      <c r="J82" s="2">
        <f>Data!C82</f>
        <v>-96.75</v>
      </c>
      <c r="K82" s="2">
        <f>VLOOKUP(D82,Table1[],2,FALSE)</f>
        <v>2</v>
      </c>
      <c r="L82" s="2">
        <v>0.5</v>
      </c>
      <c r="M82" s="10">
        <f>Data!N82</f>
        <v>6477.5162099999998</v>
      </c>
      <c r="N82" s="10">
        <f>Data!Q82</f>
        <v>29308</v>
      </c>
      <c r="O82" s="10">
        <f>Data!O82</f>
        <v>68400921556.288696</v>
      </c>
      <c r="P82" s="10">
        <f>Data!P82</f>
        <v>71250959954.467499</v>
      </c>
      <c r="Q82" s="10">
        <f>Data!S82*15</f>
        <v>53759.845260416128</v>
      </c>
      <c r="R82" s="48">
        <f>SUM(Data!U82:AA82)*2+Data!AB82</f>
        <v>1091.4190680242693</v>
      </c>
      <c r="S82" s="48">
        <f>SUM(Data!V82:AB82)*2+Data!AC82</f>
        <v>990.34275795003452</v>
      </c>
      <c r="T82" s="48">
        <f>SUM(Data!W82:AC82)*2+Data!AD82</f>
        <v>784.96109274366813</v>
      </c>
      <c r="U82" s="48">
        <f>SUM(Data!X82:AD82)*2+Data!AE82</f>
        <v>639.92277876147182</v>
      </c>
      <c r="V82" s="48">
        <f>SUM(Data!Y82:AE82)*2+Data!AF82</f>
        <v>636.48998174935787</v>
      </c>
      <c r="W82" s="48">
        <f>SUM(Data!Z82:AF82)*2+Data!AG82</f>
        <v>586.89562644441389</v>
      </c>
      <c r="X82" s="48">
        <f>SUM(Data!AA82:AG82)*2+Data!AH82</f>
        <v>485.67717223005803</v>
      </c>
      <c r="Y82" s="48">
        <f>SUM(Data!AB82:AH82)*2+Data!AI82</f>
        <v>367.61249823227729</v>
      </c>
      <c r="Z82" s="80">
        <f>(SUM(Data!CS82:CY82)*2+Data!CZ82)/('Useful Constants'!$B$1*1000000)*$K82/100</f>
        <v>0.57472359013951702</v>
      </c>
      <c r="AA82" s="80">
        <f>(SUM(Data!CT82:CZ82)*2+Data!DA82)/('Useful Constants'!$B$1*1000000)*$K82/100</f>
        <v>0.39927459989345365</v>
      </c>
      <c r="AB82" s="80">
        <f>(SUM(Data!CU82:DA82)*2+Data!DB82)/('Useful Constants'!$B$1*1000000)*$K82/100</f>
        <v>0.26680169986243757</v>
      </c>
      <c r="AC82" s="80">
        <f>(SUM(Data!CV82:DB82)*2+Data!DC82)/('Useful Constants'!$B$1*1000000)*$K82/100</f>
        <v>0.19926484985615439</v>
      </c>
      <c r="AD82" s="80">
        <f>(SUM(Data!CW82:DC82)*2+Data!DD82)/('Useful Constants'!$B$1*1000000)*$K82/100</f>
        <v>0.14627382241895209</v>
      </c>
      <c r="AE82" s="80">
        <f>(SUM(Data!CX82:DD82)*2+Data!DE82)/('Useful Constants'!$B$1*1000000)*$K82/100</f>
        <v>0.10877652600945759</v>
      </c>
      <c r="AF82" s="80">
        <f>(SUM(Data!CY82:DE82)*2+Data!DF82)/('Useful Constants'!$B$1*1000000)*$K82/100</f>
        <v>8.0171093569834748E-2</v>
      </c>
      <c r="AG82" s="80">
        <f>(SUM(Data!CZ82:DF82)*2+Data!DG82)/('Useful Constants'!$B$1*1000000)*$K82/100</f>
        <v>6.0800459660231052E-2</v>
      </c>
      <c r="AH82" s="48">
        <f>Z82*'Useful Constants'!$B$3</f>
        <v>48.276781571719432</v>
      </c>
      <c r="AI82" s="48">
        <f>AA82*'Useful Constants'!$B$3</f>
        <v>33.539066391050106</v>
      </c>
      <c r="AJ82" s="48">
        <f>AB82*'Useful Constants'!$B$3</f>
        <v>22.411342788444756</v>
      </c>
      <c r="AK82" s="48">
        <f>AC82*'Useful Constants'!$B$3</f>
        <v>16.738247387916967</v>
      </c>
      <c r="AL82" s="48">
        <f>AD82*'Useful Constants'!$B$3</f>
        <v>12.287001083191976</v>
      </c>
      <c r="AM82" s="48">
        <f>AE82*'Useful Constants'!$B$3</f>
        <v>9.1372281847944379</v>
      </c>
      <c r="AN82" s="48">
        <f>AF82*'Useful Constants'!$B$3</f>
        <v>6.7343718598661191</v>
      </c>
      <c r="AO82" s="48">
        <f>AG82*'Useful Constants'!$B$3</f>
        <v>5.1072386114594082</v>
      </c>
      <c r="AP82" s="10">
        <f>Z82*'Useful Constants'!$B$4</f>
        <v>16.092260523906475</v>
      </c>
      <c r="AQ82" s="10">
        <f>AA82*'Useful Constants'!$B$4</f>
        <v>11.179688797016702</v>
      </c>
      <c r="AR82" s="10">
        <f>AB82*'Useful Constants'!$B$4</f>
        <v>7.4704475961482517</v>
      </c>
      <c r="AS82" s="10">
        <f>AC82*'Useful Constants'!$B$4</f>
        <v>5.5794157959723227</v>
      </c>
      <c r="AT82" s="10">
        <f>AD82*'Useful Constants'!$B$4</f>
        <v>4.0956670277306584</v>
      </c>
      <c r="AU82" s="10">
        <f>AE82*'Useful Constants'!$B$4</f>
        <v>3.0457427282648126</v>
      </c>
      <c r="AV82" s="10">
        <f>AF82*'Useful Constants'!$B$4</f>
        <v>2.2447906199553729</v>
      </c>
      <c r="AW82" s="10">
        <f>AG82*'Useful Constants'!$B$4</f>
        <v>1.7024128704864694</v>
      </c>
      <c r="AX82" s="48">
        <f>P82/1000000/'Useful Constants'!$B$1*K82/100*'Useful Constants'!$B$3*15</f>
        <v>35910.483817051623</v>
      </c>
      <c r="AY82" s="48">
        <f>P82/1000000/'Useful Constants'!$B$1*L82/100*'Useful Constants'!$B$3*15</f>
        <v>8977.6209542629058</v>
      </c>
      <c r="AZ82" s="48">
        <f>P82/1000000/'Useful Constants'!$B$1*K82/100*'Useful Constants'!$B$4*15</f>
        <v>11970.16127235054</v>
      </c>
      <c r="BA82" s="48">
        <f>P82/1000000/'Useful Constants'!$B$1*L82/100*'Useful Constants'!$B$4*15</f>
        <v>2992.5403180876351</v>
      </c>
      <c r="BB82" s="7">
        <f>Data!AN82</f>
        <v>6477.5162099999998</v>
      </c>
      <c r="BC82" s="7">
        <f>Data!AQ82</f>
        <v>6477.5162099999998</v>
      </c>
      <c r="BD82" s="7">
        <f>Data!AT82</f>
        <v>10636.454530000001</v>
      </c>
      <c r="BE82" s="6">
        <f>Data!AO82</f>
        <v>46826815534.606697</v>
      </c>
      <c r="BF82" s="6">
        <f>Data!AP82</f>
        <v>18371382528.5994</v>
      </c>
      <c r="BG82" s="6">
        <f>Data!AR82</f>
        <v>19035212677.962299</v>
      </c>
      <c r="BH82" s="6">
        <f>Data!AS82</f>
        <v>19035212677.962299</v>
      </c>
      <c r="BI82" s="8">
        <f t="shared" si="100"/>
        <v>0.71098350302049074</v>
      </c>
      <c r="BJ82" s="8">
        <f t="shared" si="101"/>
        <v>0.49112683009911506</v>
      </c>
      <c r="BK82" s="13">
        <f>BB82*'Useful Constants'!$B$5/'Useful Constants'!$B$6*'Useful Constants'!$B$7</f>
        <v>1.6575963981390001</v>
      </c>
      <c r="BL82" s="52">
        <f>1-VLOOKUP($G82,'Useful Constants'!$A$17:$X$23,10,FALSE)</f>
        <v>6.6471999999999865E-2</v>
      </c>
      <c r="BM82" s="52">
        <f>1-VLOOKUP($G82,'Useful Constants'!$A$17:$X$23,12,FALSE)</f>
        <v>4.945672000000001E-2</v>
      </c>
      <c r="BN82" s="52">
        <f>1-VLOOKUP($G82,'Useful Constants'!$A$17:$X$23,14,FALSE)</f>
        <v>3.4455679999999989E-2</v>
      </c>
      <c r="BO82" s="52">
        <f>1-VLOOKUP($G82,'Useful Constants'!$A$17:$X$23,16,FALSE)</f>
        <v>2.1468880000000024E-2</v>
      </c>
      <c r="BP82" s="52">
        <f>1-VLOOKUP($G82,'Useful Constants'!$A$17:$X$23,18,FALSE)</f>
        <v>0</v>
      </c>
      <c r="BQ82" s="52">
        <f>1-VLOOKUP($G82,'Useful Constants'!$A$17:$X$23,20, FALSE)</f>
        <v>0</v>
      </c>
      <c r="BR82" s="52">
        <f>1-VLOOKUP($G82,'Useful Constants'!$A$17:$X$23,22, FALSE)</f>
        <v>0</v>
      </c>
      <c r="BS82" s="52">
        <f>1-VLOOKUP($G82,'Useful Constants'!$A$17:$X$23,24, FALSE)</f>
        <v>0</v>
      </c>
      <c r="BT82" s="13">
        <f t="shared" si="102"/>
        <v>0.11018374777709539</v>
      </c>
      <c r="BU82" s="13">
        <f t="shared" si="103"/>
        <v>8.1979280935769061E-2</v>
      </c>
      <c r="BV82" s="13">
        <f t="shared" si="104"/>
        <v>5.7113611063429964E-2</v>
      </c>
      <c r="BW82" s="13">
        <f t="shared" si="105"/>
        <v>3.5586738160078457E-2</v>
      </c>
      <c r="BX82" s="13">
        <f t="shared" si="106"/>
        <v>0</v>
      </c>
      <c r="BY82" s="13">
        <f t="shared" si="107"/>
        <v>0</v>
      </c>
      <c r="BZ82" s="13">
        <f t="shared" si="108"/>
        <v>0</v>
      </c>
      <c r="CA82" s="13">
        <f t="shared" si="109"/>
        <v>0</v>
      </c>
      <c r="CB82" s="59">
        <f>+SUM(Data!BM82:BS82)*2+Data!BT82</f>
        <v>4845.2511598699948</v>
      </c>
      <c r="CC82" s="59">
        <f>+SUM(Data!BN82:BT82)*2+Data!BU82</f>
        <v>4391.5930675826521</v>
      </c>
      <c r="CD82" s="59">
        <f>+SUM(Data!BO82:BU82)*2+Data!BV82</f>
        <v>3475.6588765191304</v>
      </c>
      <c r="CE82" s="59">
        <f>+SUM(Data!BP82:BV82)*2+Data!BW82</f>
        <v>2829.3563797140996</v>
      </c>
      <c r="CF82" s="59">
        <f>+SUM(Data!BQ82:BW82)*2+Data!BX82</f>
        <v>2810.3417339267735</v>
      </c>
      <c r="CG82" s="59">
        <f>+SUM(Data!BR82:BX82)*2+Data!BY82</f>
        <v>2583.4494859053457</v>
      </c>
      <c r="CH82" s="59">
        <f>+SUM(Data!BS82:BY82)*2+Data!BZ82</f>
        <v>2132.2595567050835</v>
      </c>
      <c r="CI82" s="59">
        <f>+SUM(Data!BT82:BZ82)*2+Data!CA82</f>
        <v>1609.3657057899441</v>
      </c>
      <c r="CJ82" s="13">
        <f>+SUM(Data!AW82:BC82)*2+Data!BD82</f>
        <v>25827.316046073436</v>
      </c>
      <c r="CK82" s="13">
        <f>+SUM(Data!AX82:BD82)*2+Data!BE82</f>
        <v>23355.328231042899</v>
      </c>
      <c r="CL82" s="13">
        <f>+SUM(Data!AY82:BE82)*2+Data!BF82</f>
        <v>18421.085524571634</v>
      </c>
      <c r="CM82" s="13">
        <f>+SUM(Data!AZ82:BF82)*2+Data!BG82</f>
        <v>14963.570453352544</v>
      </c>
      <c r="CN82" s="13">
        <f>+SUM(Data!BA82:BG82)*2+Data!BH82</f>
        <v>14807.75522318657</v>
      </c>
      <c r="CO82" s="13">
        <f>+SUM(Data!BB82:BH82)*2+Data!BI82</f>
        <v>13509.292553876616</v>
      </c>
      <c r="CP82" s="13">
        <f>+SUM(Data!BC82:BI82)*2+Data!BJ82</f>
        <v>11074.027710053175</v>
      </c>
      <c r="CQ82" s="13">
        <f>+SUM(Data!BD82:BJ82)*2+Data!BK82</f>
        <v>8320.0367487290514</v>
      </c>
      <c r="CR82" s="59">
        <f>+SUM(Data!CC82:CI82)*2+Data!CJ82</f>
        <v>30307.61377394422</v>
      </c>
      <c r="CS82" s="59">
        <f>+SUM(Data!CD82:CJ82)*2+Data!CK82</f>
        <v>27880.393117378972</v>
      </c>
      <c r="CT82" s="59">
        <f>+SUM(Data!CE82:CK82)*2+Data!CL82</f>
        <v>22706.693137708105</v>
      </c>
      <c r="CU82" s="59">
        <f>+SUM(Data!CF82:CL82)*2+Data!CM82</f>
        <v>18943.587163194334</v>
      </c>
      <c r="CV82" s="59">
        <f>+SUM(Data!CG82:CM82)*2+Data!CN82</f>
        <v>19136.465200365503</v>
      </c>
      <c r="CW82" s="59">
        <f>+SUM(Data!CH82:CN82)*2+Data!CO82</f>
        <v>18274.617697355494</v>
      </c>
      <c r="CX82" s="59">
        <f>+SUM(Data!CI82:CO82)*2+Data!CP82</f>
        <v>15378.50927022024</v>
      </c>
      <c r="CY82" s="59">
        <f>+SUM(Data!CJ82:CP82)*2+Data!CQ82</f>
        <v>11908.90813657111</v>
      </c>
      <c r="CZ82" s="60">
        <f t="shared" si="110"/>
        <v>60980.180979887649</v>
      </c>
      <c r="DA82" s="60">
        <f t="shared" si="111"/>
        <v>55627.314416004519</v>
      </c>
      <c r="DB82" s="60">
        <f t="shared" si="112"/>
        <v>44603.437538798869</v>
      </c>
      <c r="DC82" s="60">
        <f t="shared" si="113"/>
        <v>36736.513996260983</v>
      </c>
      <c r="DD82" s="60">
        <f t="shared" si="114"/>
        <v>36754.562157478846</v>
      </c>
      <c r="DE82" s="60">
        <f t="shared" si="115"/>
        <v>34367.359737137456</v>
      </c>
      <c r="DF82" s="60">
        <f t="shared" si="116"/>
        <v>28584.796536978498</v>
      </c>
      <c r="DG82" s="60">
        <f t="shared" si="117"/>
        <v>21838.310591090107</v>
      </c>
      <c r="DH82" s="13">
        <f t="shared" si="118"/>
        <v>0.1132879086039902</v>
      </c>
      <c r="DI82" s="13">
        <f t="shared" si="119"/>
        <v>8.428884906747422E-2</v>
      </c>
      <c r="DJ82" s="13">
        <f t="shared" si="120"/>
        <v>5.872264903611054E-2</v>
      </c>
      <c r="DK82" s="13">
        <f t="shared" si="121"/>
        <v>3.6589308509899519E-2</v>
      </c>
      <c r="DL82" s="13">
        <f t="shared" si="122"/>
        <v>0</v>
      </c>
      <c r="DM82" s="13">
        <f t="shared" si="123"/>
        <v>0</v>
      </c>
      <c r="DN82" s="13">
        <f t="shared" si="124"/>
        <v>0</v>
      </c>
      <c r="DO82" s="13">
        <f t="shared" si="125"/>
        <v>0</v>
      </c>
      <c r="DP82" s="50">
        <f>DH82*'Useful Constants'!$B$8</f>
        <v>482.60649065299822</v>
      </c>
      <c r="DQ82" s="50">
        <f>DI82*'Useful Constants'!$B$8</f>
        <v>359.07049702744018</v>
      </c>
      <c r="DR82" s="50">
        <f>DJ82*'Useful Constants'!$B$10</f>
        <v>142.69603715774861</v>
      </c>
      <c r="DS82" s="50">
        <f>DK82*'Useful Constants'!$B$10</f>
        <v>88.912019679055831</v>
      </c>
      <c r="DT82" s="50">
        <f>DL82*'Useful Constants'!$B$10</f>
        <v>0</v>
      </c>
      <c r="DU82" s="50">
        <f>DM82*'Useful Constants'!$B$10</f>
        <v>0</v>
      </c>
      <c r="DV82" s="50">
        <f>DN82*'Useful Constants'!$B$10</f>
        <v>0</v>
      </c>
      <c r="DW82" s="50">
        <f>DO82*'Useful Constants'!$B$10</f>
        <v>0</v>
      </c>
      <c r="DX82" s="14">
        <f>DH82*'Useful Constants'!$B$9</f>
        <v>217.96593615407713</v>
      </c>
      <c r="DY82" s="14">
        <f>DI82*'Useful Constants'!$B$9</f>
        <v>162.1717456058204</v>
      </c>
      <c r="DZ82" s="14">
        <f>DJ82*'Useful Constants'!$B$11</f>
        <v>39.755233397446837</v>
      </c>
      <c r="EA82" s="14">
        <f>DK82*'Useful Constants'!$B$11</f>
        <v>24.770961861201975</v>
      </c>
      <c r="EB82" s="14">
        <f>DL82*'Useful Constants'!$B$11</f>
        <v>0</v>
      </c>
      <c r="EC82" s="14">
        <f>DM82*'Useful Constants'!$B$11</f>
        <v>0</v>
      </c>
      <c r="ED82" s="14">
        <f>DN82*'Useful Constants'!$B$11</f>
        <v>0</v>
      </c>
      <c r="EE82" s="14">
        <f>DO82*'Useful Constants'!$B$11</f>
        <v>0</v>
      </c>
      <c r="EF82" s="78">
        <f>(SUM(Data!DI82:DO82)*2+Data!DP82)/('Useful Constants'!$B$1*1000000)*$K82/100</f>
        <v>32.769616533887195</v>
      </c>
      <c r="EG82" s="78">
        <f>(SUM(Data!DJ82:DP82)*2+Data!DQ82)/('Useful Constants'!$B$1*1000000)*$K82/100</f>
        <v>23.109122843247842</v>
      </c>
      <c r="EH82" s="78">
        <f>(SUM(Data!DK82:DQ82)*2+Data!DR82)/('Useful Constants'!$B$1*1000000)*$K82/100</f>
        <v>15.856702033167107</v>
      </c>
      <c r="EI82" s="78">
        <f>(SUM(Data!DL82:DR82)*2+Data!DS82)/('Useful Constants'!$B$1*1000000)*$K82/100</f>
        <v>12.219983688453423</v>
      </c>
      <c r="EJ82" s="78">
        <f>(SUM(Data!DM82:DS82)*2+Data!DT82)/('Useful Constants'!$B$1*1000000)*$K82/100</f>
        <v>9.1956757918170009</v>
      </c>
      <c r="EK82" s="78">
        <f>(SUM(Data!DN82:DT82)*2+Data!DU82)/('Useful Constants'!$B$1*1000000)*$K82/100</f>
        <v>7.2346046308736129</v>
      </c>
      <c r="EL82" s="78">
        <f>(SUM(Data!DO82:DU82)*2+Data!DV82)/('Useful Constants'!$B$1*1000000)*$K82/100</f>
        <v>5.5418521439421866</v>
      </c>
      <c r="EM82" s="78">
        <f>(SUM(Data!DP82:DV82)*2+Data!DW82)/('Useful Constants'!$B$1*1000000)*$K82/100</f>
        <v>4.2747137271000568</v>
      </c>
      <c r="EN82" s="79">
        <f>EF82*'Useful Constants'!$B$3</f>
        <v>2752.6477888465242</v>
      </c>
      <c r="EO82" s="79">
        <f>EG82*'Useful Constants'!$B$3</f>
        <v>1941.1663188328187</v>
      </c>
      <c r="EP82" s="79">
        <f>EH82*'Useful Constants'!$B$3</f>
        <v>1331.962970786037</v>
      </c>
      <c r="EQ82" s="79">
        <f>EI82*'Useful Constants'!$B$3</f>
        <v>1026.4786298300876</v>
      </c>
      <c r="ER82" s="79">
        <f>EJ82*'Useful Constants'!$B$3</f>
        <v>772.43676651262808</v>
      </c>
      <c r="ES82" s="79">
        <f>EK82*'Useful Constants'!$B$3</f>
        <v>607.7067889933835</v>
      </c>
      <c r="ET82" s="79">
        <f>EL82*'Useful Constants'!$B$3</f>
        <v>465.51558009114365</v>
      </c>
      <c r="EU82" s="79">
        <f>EM82*'Useful Constants'!$B$3</f>
        <v>359.07595307640474</v>
      </c>
      <c r="EV82" s="78">
        <f>EF82*'Useful Constants'!$B$4</f>
        <v>917.54926294884149</v>
      </c>
      <c r="EW82" s="78">
        <f>EG82*'Useful Constants'!$B$4</f>
        <v>647.05543961093963</v>
      </c>
      <c r="EX82" s="78">
        <f>EH82*'Useful Constants'!$B$4</f>
        <v>443.98765692867897</v>
      </c>
      <c r="EY82" s="78">
        <f>EI82*'Useful Constants'!$B$4</f>
        <v>342.15954327669584</v>
      </c>
      <c r="EZ82" s="78">
        <f>EJ82*'Useful Constants'!$B$4</f>
        <v>257.47892217087605</v>
      </c>
      <c r="FA82" s="78">
        <f>EK82*'Useful Constants'!$B$4</f>
        <v>202.56892966446117</v>
      </c>
      <c r="FB82" s="78">
        <f>EL82*'Useful Constants'!$B$4</f>
        <v>155.17186003038123</v>
      </c>
      <c r="FC82" s="78">
        <f>EM82*'Useful Constants'!$B$4</f>
        <v>119.69198435880159</v>
      </c>
      <c r="FD82" s="40">
        <f t="shared" si="126"/>
        <v>-0.111737016939998</v>
      </c>
      <c r="FE82" s="40">
        <f t="shared" si="127"/>
        <v>-1.6020518456377184E-2</v>
      </c>
      <c r="FF82" s="40">
        <f t="shared" si="128"/>
        <v>0.18226059416168444</v>
      </c>
      <c r="FG82" s="40">
        <f t="shared" si="129"/>
        <v>0.32469355439523023</v>
      </c>
      <c r="FH82" s="40">
        <f t="shared" si="130"/>
        <v>0.32431914771735515</v>
      </c>
      <c r="FI82" s="40">
        <f t="shared" si="131"/>
        <v>0.3676279538328952</v>
      </c>
      <c r="FJ82" s="40">
        <f t="shared" si="132"/>
        <v>0.47304781565205239</v>
      </c>
      <c r="FK82" s="40">
        <f t="shared" si="133"/>
        <v>0.5965391412161638</v>
      </c>
      <c r="FL82" s="4">
        <f t="shared" si="134"/>
        <v>0.35647910427954227</v>
      </c>
      <c r="FM82" s="4">
        <f t="shared" si="135"/>
        <v>0.41881723097541346</v>
      </c>
      <c r="FN82" s="4">
        <f t="shared" si="136"/>
        <v>0.53669551911703905</v>
      </c>
      <c r="FO82" s="4">
        <f t="shared" si="137"/>
        <v>0.61883034188907893</v>
      </c>
      <c r="FP82" s="4">
        <f t="shared" si="138"/>
        <v>0.62207214626029295</v>
      </c>
      <c r="FQ82" s="4">
        <f t="shared" si="139"/>
        <v>0.64758501715736938</v>
      </c>
      <c r="FR82" s="4">
        <f t="shared" si="140"/>
        <v>0.70697794868488006</v>
      </c>
      <c r="FS82" s="4">
        <f t="shared" si="141"/>
        <v>0.77583077759375885</v>
      </c>
      <c r="FT82" s="38">
        <f t="shared" si="142"/>
        <v>0.11047337209132364</v>
      </c>
      <c r="FU82" s="38">
        <f t="shared" si="143"/>
        <v>0.19057303783669433</v>
      </c>
      <c r="FV82" s="38">
        <f t="shared" si="144"/>
        <v>0.35140337417070305</v>
      </c>
      <c r="FW82" s="38">
        <f t="shared" si="145"/>
        <v>0.46512198321868425</v>
      </c>
      <c r="FX82" s="38">
        <f t="shared" si="146"/>
        <v>0.46640182261309476</v>
      </c>
      <c r="FY82" s="38">
        <f t="shared" si="147"/>
        <v>0.50124530867998229</v>
      </c>
      <c r="FZ82" s="38">
        <f t="shared" si="148"/>
        <v>0.58474535876401834</v>
      </c>
      <c r="GA82" s="38">
        <f t="shared" si="149"/>
        <v>0.68219118698666636</v>
      </c>
    </row>
    <row r="83" spans="1:183" x14ac:dyDescent="0.25">
      <c r="A83" s="1" t="str">
        <f>Data!A83</f>
        <v>TN_MEMPHIS-IAP_723340_TY3A</v>
      </c>
      <c r="B83" s="1" t="str">
        <f>TY3A_REP_CITIES!B83</f>
        <v>Memphis</v>
      </c>
      <c r="C83" s="1" t="str">
        <f>TY3A_REP_CITIES!C83</f>
        <v>Shelby</v>
      </c>
      <c r="D83" s="2" t="str">
        <f>TY3A_REP_CITIES!A83</f>
        <v>TN</v>
      </c>
      <c r="E83" s="42">
        <f>TY3A_REP_CITIES!E83</f>
        <v>937166</v>
      </c>
      <c r="F83" s="2">
        <f>TY3A_REP_CITIES!G83</f>
        <v>3</v>
      </c>
      <c r="G83" s="2" t="str">
        <f>TY3A_REP_CITIES!H83</f>
        <v>Hot-Humid</v>
      </c>
      <c r="H83" s="2" t="str">
        <f>TY3A_REP_CITIES!I83</f>
        <v>Southeast</v>
      </c>
      <c r="I83" s="2">
        <f>Data!B83</f>
        <v>35.07</v>
      </c>
      <c r="J83" s="2">
        <f>Data!C83</f>
        <v>-89.98</v>
      </c>
      <c r="K83" s="2">
        <f>VLOOKUP(D83,Table1[],2,FALSE)</f>
        <v>0.9</v>
      </c>
      <c r="L83" s="2">
        <v>0.5</v>
      </c>
      <c r="M83" s="10">
        <f>Data!N83</f>
        <v>6018.8103799999999</v>
      </c>
      <c r="N83" s="10">
        <f>Data!Q83</f>
        <v>29308</v>
      </c>
      <c r="O83" s="10">
        <f>Data!O83</f>
        <v>19633864191.1502</v>
      </c>
      <c r="P83" s="10">
        <f>Data!P83</f>
        <v>20451941865.781418</v>
      </c>
      <c r="Q83" s="10">
        <f>Data!S83*15</f>
        <v>15431.276023257249</v>
      </c>
      <c r="R83" s="48">
        <f>SUM(Data!U83:AA83)*2+Data!AB83</f>
        <v>224.50048323518877</v>
      </c>
      <c r="S83" s="48">
        <f>SUM(Data!V83:AB83)*2+Data!AC83</f>
        <v>236.50054366571305</v>
      </c>
      <c r="T83" s="48">
        <f>SUM(Data!W83:AC83)*2+Data!AD83</f>
        <v>208.23772147156768</v>
      </c>
      <c r="U83" s="48">
        <f>SUM(Data!X83:AD83)*2+Data!AE83</f>
        <v>196.31994378605705</v>
      </c>
      <c r="V83" s="48">
        <f>SUM(Data!Y83:AE83)*2+Data!AF83</f>
        <v>205.64785419341817</v>
      </c>
      <c r="W83" s="48">
        <f>SUM(Data!Z83:AF83)*2+Data!AG83</f>
        <v>207.58681961622665</v>
      </c>
      <c r="X83" s="48">
        <f>SUM(Data!AA83:AG83)*2+Data!AH83</f>
        <v>213.34591909464675</v>
      </c>
      <c r="Y83" s="48">
        <f>SUM(Data!AB83:AH83)*2+Data!AI83</f>
        <v>209.09350289911023</v>
      </c>
      <c r="Z83" s="80">
        <f>(SUM(Data!CS83:CY83)*2+Data!CZ83)/('Useful Constants'!$B$1*1000000)*$K83/100</f>
        <v>0.17107471859617601</v>
      </c>
      <c r="AA83" s="80">
        <f>(SUM(Data!CT83:CZ83)*2+Data!DA83)/('Useful Constants'!$B$1*1000000)*$K83/100</f>
        <v>0.16758091024509875</v>
      </c>
      <c r="AB83" s="80">
        <f>(SUM(Data!CU83:DA83)*2+Data!DB83)/('Useful Constants'!$B$1*1000000)*$K83/100</f>
        <v>0.16580782317187404</v>
      </c>
      <c r="AC83" s="80">
        <f>(SUM(Data!CV83:DB83)*2+Data!DC83)/('Useful Constants'!$B$1*1000000)*$K83/100</f>
        <v>0.16700405007666652</v>
      </c>
      <c r="AD83" s="80">
        <f>(SUM(Data!CW83:DC83)*2+Data!DD83)/('Useful Constants'!$B$1*1000000)*$K83/100</f>
        <v>0.17519275423077674</v>
      </c>
      <c r="AE83" s="80">
        <f>(SUM(Data!CX83:DD83)*2+Data!DE83)/('Useful Constants'!$B$1*1000000)*$K83/100</f>
        <v>0.18393135309226247</v>
      </c>
      <c r="AF83" s="80">
        <f>(SUM(Data!CY83:DE83)*2+Data!DF83)/('Useful Constants'!$B$1*1000000)*$K83/100</f>
        <v>0.1980554812825587</v>
      </c>
      <c r="AG83" s="80">
        <f>(SUM(Data!CZ83:DF83)*2+Data!DG83)/('Useful Constants'!$B$1*1000000)*$K83/100</f>
        <v>0.21935182977234485</v>
      </c>
      <c r="AH83" s="48">
        <f>Z83*'Useful Constants'!$B$3</f>
        <v>14.370276362078785</v>
      </c>
      <c r="AI83" s="48">
        <f>AA83*'Useful Constants'!$B$3</f>
        <v>14.076796460588294</v>
      </c>
      <c r="AJ83" s="48">
        <f>AB83*'Useful Constants'!$B$3</f>
        <v>13.927857146437418</v>
      </c>
      <c r="AK83" s="48">
        <f>AC83*'Useful Constants'!$B$3</f>
        <v>14.028340206439989</v>
      </c>
      <c r="AL83" s="48">
        <f>AD83*'Useful Constants'!$B$3</f>
        <v>14.716191355385245</v>
      </c>
      <c r="AM83" s="48">
        <f>AE83*'Useful Constants'!$B$3</f>
        <v>15.450233659750047</v>
      </c>
      <c r="AN83" s="48">
        <f>AF83*'Useful Constants'!$B$3</f>
        <v>16.636660427734931</v>
      </c>
      <c r="AO83" s="48">
        <f>AG83*'Useful Constants'!$B$3</f>
        <v>18.425553700876968</v>
      </c>
      <c r="AP83" s="10">
        <f>Z83*'Useful Constants'!$B$4</f>
        <v>4.7900921206929281</v>
      </c>
      <c r="AQ83" s="10">
        <f>AA83*'Useful Constants'!$B$4</f>
        <v>4.6922654868627651</v>
      </c>
      <c r="AR83" s="10">
        <f>AB83*'Useful Constants'!$B$4</f>
        <v>4.642619048812473</v>
      </c>
      <c r="AS83" s="10">
        <f>AC83*'Useful Constants'!$B$4</f>
        <v>4.6761134021466626</v>
      </c>
      <c r="AT83" s="10">
        <f>AD83*'Useful Constants'!$B$4</f>
        <v>4.9053971184617486</v>
      </c>
      <c r="AU83" s="10">
        <f>AE83*'Useful Constants'!$B$4</f>
        <v>5.1500778865833494</v>
      </c>
      <c r="AV83" s="10">
        <f>AF83*'Useful Constants'!$B$4</f>
        <v>5.5455534759116434</v>
      </c>
      <c r="AW83" s="10">
        <f>AG83*'Useful Constants'!$B$4</f>
        <v>6.1418512336256557</v>
      </c>
      <c r="AX83" s="48">
        <f>P83/1000000/'Useful Constants'!$B$1*K83/100*'Useful Constants'!$B$3*15</f>
        <v>4638.5004151592248</v>
      </c>
      <c r="AY83" s="48">
        <f>P83/1000000/'Useful Constants'!$B$1*L83/100*'Useful Constants'!$B$3*15</f>
        <v>2576.9446750884586</v>
      </c>
      <c r="AZ83" s="48">
        <f>P83/1000000/'Useful Constants'!$B$1*K83/100*'Useful Constants'!$B$4*15</f>
        <v>1546.166805053075</v>
      </c>
      <c r="BA83" s="48">
        <f>P83/1000000/'Useful Constants'!$B$1*L83/100*'Useful Constants'!$B$4*15</f>
        <v>858.98155836281956</v>
      </c>
      <c r="BB83" s="7">
        <f>Data!AN83</f>
        <v>6018.8103799999999</v>
      </c>
      <c r="BC83" s="7">
        <f>Data!AQ83</f>
        <v>6018.8103799999999</v>
      </c>
      <c r="BD83" s="7">
        <f>Data!AT83</f>
        <v>5803.9016000000001</v>
      </c>
      <c r="BE83" s="6">
        <f>Data!AO83</f>
        <v>18438078226.630299</v>
      </c>
      <c r="BF83" s="6">
        <f>Data!AP83</f>
        <v>5561247868.5363798</v>
      </c>
      <c r="BG83" s="6">
        <f>Data!AR83</f>
        <v>487132930.21863699</v>
      </c>
      <c r="BH83" s="6">
        <f>Data!AS83</f>
        <v>487132930.21863699</v>
      </c>
      <c r="BI83" s="8">
        <f t="shared" si="100"/>
        <v>0.9742601059411512</v>
      </c>
      <c r="BJ83" s="8">
        <f t="shared" si="101"/>
        <v>0.91946060500706128</v>
      </c>
      <c r="BK83" s="13">
        <f>BB83*'Useful Constants'!$B$5/'Useful Constants'!$B$6*'Useful Constants'!$B$7</f>
        <v>1.5402135762420002</v>
      </c>
      <c r="BL83" s="52">
        <f>1-VLOOKUP($G83,'Useful Constants'!$A$17:$X$23,10,FALSE)</f>
        <v>0</v>
      </c>
      <c r="BM83" s="52">
        <f>1-VLOOKUP($G83,'Useful Constants'!$A$17:$X$23,12,FALSE)</f>
        <v>0</v>
      </c>
      <c r="BN83" s="52">
        <f>1-VLOOKUP($G83,'Useful Constants'!$A$17:$X$23,14,FALSE)</f>
        <v>0</v>
      </c>
      <c r="BO83" s="52">
        <f>1-VLOOKUP($G83,'Useful Constants'!$A$17:$X$23,16,FALSE)</f>
        <v>0</v>
      </c>
      <c r="BP83" s="52">
        <f>1-VLOOKUP($G83,'Useful Constants'!$A$17:$X$23,18,FALSE)</f>
        <v>0</v>
      </c>
      <c r="BQ83" s="52">
        <f>1-VLOOKUP($G83,'Useful Constants'!$A$17:$X$23,20, FALSE)</f>
        <v>0</v>
      </c>
      <c r="BR83" s="52">
        <f>1-VLOOKUP($G83,'Useful Constants'!$A$17:$X$23,22, FALSE)</f>
        <v>0</v>
      </c>
      <c r="BS83" s="52">
        <f>1-VLOOKUP($G83,'Useful Constants'!$A$17:$X$23,24, FALSE)</f>
        <v>0</v>
      </c>
      <c r="BT83" s="13">
        <f t="shared" si="102"/>
        <v>0</v>
      </c>
      <c r="BU83" s="13">
        <f t="shared" si="103"/>
        <v>0</v>
      </c>
      <c r="BV83" s="13">
        <f t="shared" si="104"/>
        <v>0</v>
      </c>
      <c r="BW83" s="13">
        <f t="shared" si="105"/>
        <v>0</v>
      </c>
      <c r="BX83" s="13">
        <f t="shared" si="106"/>
        <v>0</v>
      </c>
      <c r="BY83" s="13">
        <f t="shared" si="107"/>
        <v>0</v>
      </c>
      <c r="BZ83" s="13">
        <f t="shared" si="108"/>
        <v>0</v>
      </c>
      <c r="CA83" s="13">
        <f t="shared" si="109"/>
        <v>0</v>
      </c>
      <c r="CB83" s="59">
        <f>+SUM(Data!BM83:BS83)*2+Data!BT83</f>
        <v>1111.3541924254648</v>
      </c>
      <c r="CC83" s="59">
        <f>+SUM(Data!BN83:BT83)*2+Data!BU83</f>
        <v>1171.1324427946126</v>
      </c>
      <c r="CD83" s="59">
        <f>+SUM(Data!BO83:BU83)*2+Data!BV83</f>
        <v>1029.8320643328732</v>
      </c>
      <c r="CE83" s="59">
        <f>+SUM(Data!BP83:BV83)*2+Data!BW83</f>
        <v>971.8527604787721</v>
      </c>
      <c r="CF83" s="59">
        <f>+SUM(Data!BQ83:BW83)*2+Data!BX83</f>
        <v>1018.5883856137455</v>
      </c>
      <c r="CG83" s="59">
        <f>+SUM(Data!BR83:BX83)*2+Data!BY83</f>
        <v>1027.8880845036565</v>
      </c>
      <c r="CH83" s="59">
        <f>+SUM(Data!BS83:BY83)*2+Data!BZ83</f>
        <v>1056.1209841343757</v>
      </c>
      <c r="CI83" s="59">
        <f>+SUM(Data!BT83:BZ83)*2+Data!CA83</f>
        <v>1034.6623789357425</v>
      </c>
      <c r="CJ83" s="13">
        <f>+SUM(Data!AW83:BC83)*2+Data!BD83</f>
        <v>6473.8083591334916</v>
      </c>
      <c r="CK83" s="13">
        <f>+SUM(Data!AX83:BD83)*2+Data!BE83</f>
        <v>6793.6216879757376</v>
      </c>
      <c r="CL83" s="13">
        <f>+SUM(Data!AY83:BE83)*2+Data!BF83</f>
        <v>5978.8568790810814</v>
      </c>
      <c r="CM83" s="13">
        <f>+SUM(Data!AZ83:BF83)*2+Data!BG83</f>
        <v>5635.7356023005977</v>
      </c>
      <c r="CN83" s="13">
        <f>+SUM(Data!BA83:BG83)*2+Data!BH83</f>
        <v>5893.992574773969</v>
      </c>
      <c r="CO83" s="13">
        <f>+SUM(Data!BB83:BH83)*2+Data!BI83</f>
        <v>5959.8286761626814</v>
      </c>
      <c r="CP83" s="13">
        <f>+SUM(Data!BC83:BI83)*2+Data!BJ83</f>
        <v>6136.5340668950039</v>
      </c>
      <c r="CQ83" s="13">
        <f>+SUM(Data!BD83:BJ83)*2+Data!BK83</f>
        <v>6023.6831229461395</v>
      </c>
      <c r="CR83" s="59">
        <f>+SUM(Data!CC83:CI83)*2+Data!CJ83</f>
        <v>569.71323831562017</v>
      </c>
      <c r="CS83" s="59">
        <f>+SUM(Data!CD83:CJ83)*2+Data!CK83</f>
        <v>599.69975583802454</v>
      </c>
      <c r="CT83" s="59">
        <f>+SUM(Data!CE83:CK83)*2+Data!CL83</f>
        <v>509.77652900695239</v>
      </c>
      <c r="CU83" s="59">
        <f>+SUM(Data!CF83:CL83)*2+Data!CM83</f>
        <v>492.96809850319124</v>
      </c>
      <c r="CV83" s="59">
        <f>+SUM(Data!CG83:CM83)*2+Data!CN83</f>
        <v>521.91010843714287</v>
      </c>
      <c r="CW83" s="59">
        <f>+SUM(Data!CH83:CN83)*2+Data!CO83</f>
        <v>527.94036102984694</v>
      </c>
      <c r="CX83" s="59">
        <f>+SUM(Data!CI83:CO83)*2+Data!CP83</f>
        <v>546.11022608915005</v>
      </c>
      <c r="CY83" s="59">
        <f>+SUM(Data!CJ83:CP83)*2+Data!CQ83</f>
        <v>530.4479751458689</v>
      </c>
      <c r="CZ83" s="60">
        <f t="shared" si="110"/>
        <v>8154.8757898745771</v>
      </c>
      <c r="DA83" s="60">
        <f t="shared" si="111"/>
        <v>8564.4538866083749</v>
      </c>
      <c r="DB83" s="60">
        <f t="shared" si="112"/>
        <v>7518.4654724209067</v>
      </c>
      <c r="DC83" s="60">
        <f t="shared" si="113"/>
        <v>7100.556461282561</v>
      </c>
      <c r="DD83" s="60">
        <f t="shared" si="114"/>
        <v>7434.4910688248574</v>
      </c>
      <c r="DE83" s="60">
        <f t="shared" si="115"/>
        <v>7515.6571216961847</v>
      </c>
      <c r="DF83" s="60">
        <f t="shared" si="116"/>
        <v>7738.7652771185303</v>
      </c>
      <c r="DG83" s="60">
        <f t="shared" si="117"/>
        <v>7588.7934770277516</v>
      </c>
      <c r="DH83" s="13">
        <f t="shared" si="118"/>
        <v>0</v>
      </c>
      <c r="DI83" s="13">
        <f t="shared" si="119"/>
        <v>0</v>
      </c>
      <c r="DJ83" s="13">
        <f t="shared" si="120"/>
        <v>0</v>
      </c>
      <c r="DK83" s="13">
        <f t="shared" si="121"/>
        <v>0</v>
      </c>
      <c r="DL83" s="13">
        <f t="shared" si="122"/>
        <v>0</v>
      </c>
      <c r="DM83" s="13">
        <f t="shared" si="123"/>
        <v>0</v>
      </c>
      <c r="DN83" s="13">
        <f t="shared" si="124"/>
        <v>0</v>
      </c>
      <c r="DO83" s="13">
        <f t="shared" si="125"/>
        <v>0</v>
      </c>
      <c r="DP83" s="50">
        <f>DH83*'Useful Constants'!$B$8</f>
        <v>0</v>
      </c>
      <c r="DQ83" s="50">
        <f>DI83*'Useful Constants'!$B$8</f>
        <v>0</v>
      </c>
      <c r="DR83" s="50">
        <f>DJ83*'Useful Constants'!$B$10</f>
        <v>0</v>
      </c>
      <c r="DS83" s="50">
        <f>DK83*'Useful Constants'!$B$10</f>
        <v>0</v>
      </c>
      <c r="DT83" s="50">
        <f>DL83*'Useful Constants'!$B$10</f>
        <v>0</v>
      </c>
      <c r="DU83" s="50">
        <f>DM83*'Useful Constants'!$B$10</f>
        <v>0</v>
      </c>
      <c r="DV83" s="50">
        <f>DN83*'Useful Constants'!$B$10</f>
        <v>0</v>
      </c>
      <c r="DW83" s="50">
        <f>DO83*'Useful Constants'!$B$10</f>
        <v>0</v>
      </c>
      <c r="DX83" s="14">
        <f>DH83*'Useful Constants'!$B$9</f>
        <v>0</v>
      </c>
      <c r="DY83" s="14">
        <f>DI83*'Useful Constants'!$B$9</f>
        <v>0</v>
      </c>
      <c r="DZ83" s="14">
        <f>DJ83*'Useful Constants'!$B$11</f>
        <v>0</v>
      </c>
      <c r="EA83" s="14">
        <f>DK83*'Useful Constants'!$B$11</f>
        <v>0</v>
      </c>
      <c r="EB83" s="14">
        <f>DL83*'Useful Constants'!$B$11</f>
        <v>0</v>
      </c>
      <c r="EC83" s="14">
        <f>DM83*'Useful Constants'!$B$11</f>
        <v>0</v>
      </c>
      <c r="ED83" s="14">
        <f>DN83*'Useful Constants'!$B$11</f>
        <v>0</v>
      </c>
      <c r="EE83" s="14">
        <f>DO83*'Useful Constants'!$B$11</f>
        <v>0</v>
      </c>
      <c r="EF83" s="78">
        <f>(SUM(Data!DI83:DO83)*2+Data!DP83)/('Useful Constants'!$B$1*1000000)*$K83/100</f>
        <v>6.1909761737858693</v>
      </c>
      <c r="EG83" s="78">
        <f>(SUM(Data!DJ83:DP83)*2+Data!DQ83)/('Useful Constants'!$B$1*1000000)*$K83/100</f>
        <v>6.0784732639922092</v>
      </c>
      <c r="EH83" s="78">
        <f>(SUM(Data!DK83:DQ83)*2+Data!DR83)/('Useful Constants'!$B$1*1000000)*$K83/100</f>
        <v>6.0320210447154423</v>
      </c>
      <c r="EI83" s="78">
        <f>(SUM(Data!DL83:DR83)*2+Data!DS83)/('Useful Constants'!$B$1*1000000)*$K83/100</f>
        <v>6.085877347745849</v>
      </c>
      <c r="EJ83" s="78">
        <f>(SUM(Data!DM83:DS83)*2+Data!DT83)/('Useful Constants'!$B$1*1000000)*$K83/100</f>
        <v>6.390554331981269</v>
      </c>
      <c r="EK83" s="78">
        <f>(SUM(Data!DN83:DT83)*2+Data!DU83)/('Useful Constants'!$B$1*1000000)*$K83/100</f>
        <v>6.7072934525680195</v>
      </c>
      <c r="EL83" s="78">
        <f>(SUM(Data!DO83:DU83)*2+Data!DV83)/('Useful Constants'!$B$1*1000000)*$K83/100</f>
        <v>7.2253119229117075</v>
      </c>
      <c r="EM83" s="78">
        <f>(SUM(Data!DP83:DV83)*2+Data!DW83)/('Useful Constants'!$B$1*1000000)*$K83/100</f>
        <v>7.9997766393861163</v>
      </c>
      <c r="EN83" s="79">
        <f>EF83*'Useful Constants'!$B$3</f>
        <v>520.04199859801304</v>
      </c>
      <c r="EO83" s="79">
        <f>EG83*'Useful Constants'!$B$3</f>
        <v>510.59175417534556</v>
      </c>
      <c r="EP83" s="79">
        <f>EH83*'Useful Constants'!$B$3</f>
        <v>506.68976775609713</v>
      </c>
      <c r="EQ83" s="79">
        <f>EI83*'Useful Constants'!$B$3</f>
        <v>511.21369721065133</v>
      </c>
      <c r="ER83" s="79">
        <f>EJ83*'Useful Constants'!$B$3</f>
        <v>536.8065638864266</v>
      </c>
      <c r="ES83" s="79">
        <f>EK83*'Useful Constants'!$B$3</f>
        <v>563.41265001571367</v>
      </c>
      <c r="ET83" s="79">
        <f>EL83*'Useful Constants'!$B$3</f>
        <v>606.92620152458346</v>
      </c>
      <c r="EU83" s="79">
        <f>EM83*'Useful Constants'!$B$3</f>
        <v>671.98123770843381</v>
      </c>
      <c r="EV83" s="78">
        <f>EF83*'Useful Constants'!$B$4</f>
        <v>173.34733286600434</v>
      </c>
      <c r="EW83" s="78">
        <f>EG83*'Useful Constants'!$B$4</f>
        <v>170.19725139178186</v>
      </c>
      <c r="EX83" s="78">
        <f>EH83*'Useful Constants'!$B$4</f>
        <v>168.89658925203238</v>
      </c>
      <c r="EY83" s="78">
        <f>EI83*'Useful Constants'!$B$4</f>
        <v>170.40456573688377</v>
      </c>
      <c r="EZ83" s="78">
        <f>EJ83*'Useful Constants'!$B$4</f>
        <v>178.93552129547552</v>
      </c>
      <c r="FA83" s="78">
        <f>EK83*'Useful Constants'!$B$4</f>
        <v>187.80421667190456</v>
      </c>
      <c r="FB83" s="78">
        <f>EL83*'Useful Constants'!$B$4</f>
        <v>202.30873384152781</v>
      </c>
      <c r="FC83" s="78">
        <f>EM83*'Useful Constants'!$B$4</f>
        <v>223.99374590281127</v>
      </c>
      <c r="FD83" s="40">
        <f t="shared" si="126"/>
        <v>0.47911393685948722</v>
      </c>
      <c r="FE83" s="40">
        <f t="shared" si="127"/>
        <v>0.45337145637567827</v>
      </c>
      <c r="FF83" s="40">
        <f t="shared" si="128"/>
        <v>0.5192647549572984</v>
      </c>
      <c r="FG83" s="40">
        <f t="shared" si="129"/>
        <v>0.54563987472822006</v>
      </c>
      <c r="FH83" s="40">
        <f t="shared" si="130"/>
        <v>0.52455539675896135</v>
      </c>
      <c r="FI83" s="40">
        <f t="shared" si="131"/>
        <v>0.51942432149911599</v>
      </c>
      <c r="FJ83" s="40">
        <f t="shared" si="132"/>
        <v>0.50534021815070196</v>
      </c>
      <c r="FK83" s="40">
        <f t="shared" si="133"/>
        <v>0.51479448971224484</v>
      </c>
      <c r="FL83" s="4">
        <f t="shared" si="134"/>
        <v>0.6209441365303574</v>
      </c>
      <c r="FM83" s="4">
        <f t="shared" si="135"/>
        <v>0.60366304089710077</v>
      </c>
      <c r="FN83" s="4">
        <f t="shared" si="136"/>
        <v>0.64907975852881261</v>
      </c>
      <c r="FO83" s="4">
        <f t="shared" si="137"/>
        <v>0.66698398529924374</v>
      </c>
      <c r="FP83" s="4">
        <f t="shared" si="138"/>
        <v>0.65140735790039173</v>
      </c>
      <c r="FQ83" s="4">
        <f t="shared" si="139"/>
        <v>0.6467356710641996</v>
      </c>
      <c r="FR83" s="4">
        <f t="shared" si="140"/>
        <v>0.63518819884934596</v>
      </c>
      <c r="FS83" s="4">
        <f t="shared" si="141"/>
        <v>0.63886124070986816</v>
      </c>
      <c r="FT83" s="38">
        <f t="shared" si="142"/>
        <v>0.53900395637565135</v>
      </c>
      <c r="FU83" s="38">
        <f t="shared" si="143"/>
        <v>0.51682508577418784</v>
      </c>
      <c r="FV83" s="38">
        <f t="shared" si="144"/>
        <v>0.57409095929933673</v>
      </c>
      <c r="FW83" s="38">
        <f t="shared" si="145"/>
        <v>0.59689573962922382</v>
      </c>
      <c r="FX83" s="38">
        <f t="shared" si="146"/>
        <v>0.57813287394473745</v>
      </c>
      <c r="FY83" s="38">
        <f t="shared" si="147"/>
        <v>0.57319560631762645</v>
      </c>
      <c r="FZ83" s="38">
        <f t="shared" si="148"/>
        <v>0.56018083134809848</v>
      </c>
      <c r="GA83" s="38">
        <f t="shared" si="149"/>
        <v>0.56719839975325292</v>
      </c>
    </row>
    <row r="84" spans="1:183" x14ac:dyDescent="0.25">
      <c r="A84" s="1" t="str">
        <f>Data!A84</f>
        <v>TN_NASHVILLE-IAP_723270_TY3A</v>
      </c>
      <c r="B84" s="1" t="str">
        <f>TY3A_REP_CITIES!B84</f>
        <v>Nashville</v>
      </c>
      <c r="C84" s="1" t="str">
        <f>TY3A_REP_CITIES!C84</f>
        <v>Davidson</v>
      </c>
      <c r="D84" s="2" t="str">
        <f>TY3A_REP_CITIES!A84</f>
        <v>TN</v>
      </c>
      <c r="E84" s="42">
        <f>TY3A_REP_CITIES!E84</f>
        <v>694144</v>
      </c>
      <c r="F84" s="2">
        <f>TY3A_REP_CITIES!G84</f>
        <v>4</v>
      </c>
      <c r="G84" s="2" t="str">
        <f>TY3A_REP_CITIES!H84</f>
        <v>Hot-Humid</v>
      </c>
      <c r="H84" s="2" t="str">
        <f>TY3A_REP_CITIES!I84</f>
        <v>Southeast</v>
      </c>
      <c r="I84" s="2">
        <f>Data!B84</f>
        <v>36.119999999999997</v>
      </c>
      <c r="J84" s="2">
        <f>Data!C84</f>
        <v>-86.68</v>
      </c>
      <c r="K84" s="2">
        <f>VLOOKUP(D84,Table1[],2,FALSE)</f>
        <v>0.9</v>
      </c>
      <c r="L84" s="2">
        <v>0.5</v>
      </c>
      <c r="M84" s="10">
        <f>Data!N84</f>
        <v>5410.3971099999999</v>
      </c>
      <c r="N84" s="10">
        <f>Data!Q84</f>
        <v>29308</v>
      </c>
      <c r="O84" s="10">
        <f>Data!O84</f>
        <v>23577445250.169899</v>
      </c>
      <c r="P84" s="10">
        <f>Data!P84</f>
        <v>24559838802.260418</v>
      </c>
      <c r="Q84" s="10">
        <f>Data!S84*15</f>
        <v>18530.741683677374</v>
      </c>
      <c r="R84" s="48">
        <f>SUM(Data!U84:AA84)*2+Data!AB84</f>
        <v>252.01147604104762</v>
      </c>
      <c r="S84" s="48">
        <f>SUM(Data!V84:AB84)*2+Data!AC84</f>
        <v>264.73898016275439</v>
      </c>
      <c r="T84" s="48">
        <f>SUM(Data!W84:AC84)*2+Data!AD84</f>
        <v>233.80451465545192</v>
      </c>
      <c r="U84" s="48">
        <f>SUM(Data!X84:AD84)*2+Data!AE84</f>
        <v>220.54350247927823</v>
      </c>
      <c r="V84" s="48">
        <f>SUM(Data!Y84:AE84)*2+Data!AF84</f>
        <v>231.57625943419103</v>
      </c>
      <c r="W84" s="48">
        <f>SUM(Data!Z84:AF84)*2+Data!AG84</f>
        <v>233.71526262905948</v>
      </c>
      <c r="X84" s="48">
        <f>SUM(Data!AA84:AG84)*2+Data!AH84</f>
        <v>240.67992822909932</v>
      </c>
      <c r="Y84" s="48">
        <f>SUM(Data!AB84:AH84)*2+Data!AI84</f>
        <v>235.92466414851651</v>
      </c>
      <c r="Z84" s="80">
        <f>(SUM(Data!CS84:CY84)*2+Data!CZ84)/('Useful Constants'!$B$1*1000000)*$K84/100</f>
        <v>0.19418469726201062</v>
      </c>
      <c r="AA84" s="80">
        <f>(SUM(Data!CT84:CZ84)*2+Data!DA84)/('Useful Constants'!$B$1*1000000)*$K84/100</f>
        <v>0.19020541464820742</v>
      </c>
      <c r="AB84" s="80">
        <f>(SUM(Data!CU84:DA84)*2+Data!DB84)/('Useful Constants'!$B$1*1000000)*$K84/100</f>
        <v>0.18807624441560944</v>
      </c>
      <c r="AC84" s="80">
        <f>(SUM(Data!CV84:DB84)*2+Data!DC84)/('Useful Constants'!$B$1*1000000)*$K84/100</f>
        <v>0.18906000970579759</v>
      </c>
      <c r="AD84" s="80">
        <f>(SUM(Data!CW84:DC84)*2+Data!DD84)/('Useful Constants'!$B$1*1000000)*$K84/100</f>
        <v>0.19826795443537151</v>
      </c>
      <c r="AE84" s="80">
        <f>(SUM(Data!CX84:DD84)*2+Data!DE84)/('Useful Constants'!$B$1*1000000)*$K84/100</f>
        <v>0.20818932742011662</v>
      </c>
      <c r="AF84" s="80">
        <f>(SUM(Data!CY84:DE84)*2+Data!DF84)/('Useful Constants'!$B$1*1000000)*$K84/100</f>
        <v>0.22276316425334775</v>
      </c>
      <c r="AG84" s="80">
        <f>(SUM(Data!CZ84:DF84)*2+Data!DG84)/('Useful Constants'!$B$1*1000000)*$K84/100</f>
        <v>0.2453880251569914</v>
      </c>
      <c r="AH84" s="48">
        <f>Z84*'Useful Constants'!$B$3</f>
        <v>16.311514570008892</v>
      </c>
      <c r="AI84" s="48">
        <f>AA84*'Useful Constants'!$B$3</f>
        <v>15.977254830449423</v>
      </c>
      <c r="AJ84" s="48">
        <f>AB84*'Useful Constants'!$B$3</f>
        <v>15.798404530911192</v>
      </c>
      <c r="AK84" s="48">
        <f>AC84*'Useful Constants'!$B$3</f>
        <v>15.881040815286998</v>
      </c>
      <c r="AL84" s="48">
        <f>AD84*'Useful Constants'!$B$3</f>
        <v>16.654508172571209</v>
      </c>
      <c r="AM84" s="48">
        <f>AE84*'Useful Constants'!$B$3</f>
        <v>17.487903503289797</v>
      </c>
      <c r="AN84" s="48">
        <f>AF84*'Useful Constants'!$B$3</f>
        <v>18.712105797281211</v>
      </c>
      <c r="AO84" s="48">
        <f>AG84*'Useful Constants'!$B$3</f>
        <v>20.612594113187278</v>
      </c>
      <c r="AP84" s="10">
        <f>Z84*'Useful Constants'!$B$4</f>
        <v>5.4371715233362972</v>
      </c>
      <c r="AQ84" s="10">
        <f>AA84*'Useful Constants'!$B$4</f>
        <v>5.3257516101498075</v>
      </c>
      <c r="AR84" s="10">
        <f>AB84*'Useful Constants'!$B$4</f>
        <v>5.2661348436370643</v>
      </c>
      <c r="AS84" s="10">
        <f>AC84*'Useful Constants'!$B$4</f>
        <v>5.2936802717623328</v>
      </c>
      <c r="AT84" s="10">
        <f>AD84*'Useful Constants'!$B$4</f>
        <v>5.551502724190402</v>
      </c>
      <c r="AU84" s="10">
        <f>AE84*'Useful Constants'!$B$4</f>
        <v>5.8293011677632656</v>
      </c>
      <c r="AV84" s="10">
        <f>AF84*'Useful Constants'!$B$4</f>
        <v>6.2373685990937364</v>
      </c>
      <c r="AW84" s="10">
        <f>AG84*'Useful Constants'!$B$4</f>
        <v>6.8708647043957596</v>
      </c>
      <c r="AX84" s="48">
        <f>P84/1000000/'Useful Constants'!$B$1*K84/100*'Useful Constants'!$B$3*15</f>
        <v>5570.1714403526621</v>
      </c>
      <c r="AY84" s="48">
        <f>P84/1000000/'Useful Constants'!$B$1*L84/100*'Useful Constants'!$B$3*15</f>
        <v>3094.5396890848124</v>
      </c>
      <c r="AZ84" s="48">
        <f>P84/1000000/'Useful Constants'!$B$1*K84/100*'Useful Constants'!$B$4*15</f>
        <v>1856.7238134508875</v>
      </c>
      <c r="BA84" s="48">
        <f>P84/1000000/'Useful Constants'!$B$1*L84/100*'Useful Constants'!$B$4*15</f>
        <v>1031.5132296949373</v>
      </c>
      <c r="BB84" s="7">
        <f>Data!AN84</f>
        <v>5410.3971099999999</v>
      </c>
      <c r="BC84" s="7">
        <f>Data!AQ84</f>
        <v>5410.3971099999999</v>
      </c>
      <c r="BD84" s="7">
        <f>Data!AT84</f>
        <v>6274.5078999999996</v>
      </c>
      <c r="BE84" s="6">
        <f>Data!AO84</f>
        <v>21603567501.447102</v>
      </c>
      <c r="BF84" s="6">
        <f>Data!AP84</f>
        <v>6926874386.4517803</v>
      </c>
      <c r="BG84" s="6">
        <f>Data!AR84</f>
        <v>1052296647.53179</v>
      </c>
      <c r="BH84" s="6">
        <f>Data!AS84</f>
        <v>1052296647.53179</v>
      </c>
      <c r="BI84" s="8">
        <f t="shared" si="100"/>
        <v>0.9535530121202983</v>
      </c>
      <c r="BJ84" s="8">
        <f t="shared" si="101"/>
        <v>0.86811955238833438</v>
      </c>
      <c r="BK84" s="13">
        <f>BB84*'Useful Constants'!$B$5/'Useful Constants'!$B$6*'Useful Constants'!$B$7</f>
        <v>1.3845206204489999</v>
      </c>
      <c r="BL84" s="52">
        <f>1-VLOOKUP($G84,'Useful Constants'!$A$17:$X$23,10,FALSE)</f>
        <v>0</v>
      </c>
      <c r="BM84" s="52">
        <f>1-VLOOKUP($G84,'Useful Constants'!$A$17:$X$23,12,FALSE)</f>
        <v>0</v>
      </c>
      <c r="BN84" s="52">
        <f>1-VLOOKUP($G84,'Useful Constants'!$A$17:$X$23,14,FALSE)</f>
        <v>0</v>
      </c>
      <c r="BO84" s="52">
        <f>1-VLOOKUP($G84,'Useful Constants'!$A$17:$X$23,16,FALSE)</f>
        <v>0</v>
      </c>
      <c r="BP84" s="52">
        <f>1-VLOOKUP($G84,'Useful Constants'!$A$17:$X$23,18,FALSE)</f>
        <v>0</v>
      </c>
      <c r="BQ84" s="52">
        <f>1-VLOOKUP($G84,'Useful Constants'!$A$17:$X$23,20, FALSE)</f>
        <v>0</v>
      </c>
      <c r="BR84" s="52">
        <f>1-VLOOKUP($G84,'Useful Constants'!$A$17:$X$23,22, FALSE)</f>
        <v>0</v>
      </c>
      <c r="BS84" s="52">
        <f>1-VLOOKUP($G84,'Useful Constants'!$A$17:$X$23,24, FALSE)</f>
        <v>0</v>
      </c>
      <c r="BT84" s="13">
        <f t="shared" si="102"/>
        <v>0</v>
      </c>
      <c r="BU84" s="13">
        <f t="shared" si="103"/>
        <v>0</v>
      </c>
      <c r="BV84" s="13">
        <f t="shared" si="104"/>
        <v>0</v>
      </c>
      <c r="BW84" s="13">
        <f t="shared" si="105"/>
        <v>0</v>
      </c>
      <c r="BX84" s="13">
        <f t="shared" si="106"/>
        <v>0</v>
      </c>
      <c r="BY84" s="13">
        <f t="shared" si="107"/>
        <v>0</v>
      </c>
      <c r="BZ84" s="13">
        <f t="shared" si="108"/>
        <v>0</v>
      </c>
      <c r="CA84" s="13">
        <f t="shared" si="109"/>
        <v>0</v>
      </c>
      <c r="CB84" s="59">
        <f>+SUM(Data!BM84:BS84)*2+Data!BT84</f>
        <v>1419.5632905525708</v>
      </c>
      <c r="CC84" s="59">
        <f>+SUM(Data!BN84:BT84)*2+Data!BU84</f>
        <v>1490.9846279797973</v>
      </c>
      <c r="CD84" s="59">
        <f>+SUM(Data!BO84:BU84)*2+Data!BV84</f>
        <v>1316.2913510619512</v>
      </c>
      <c r="CE84" s="59">
        <f>+SUM(Data!BP84:BV84)*2+Data!BW84</f>
        <v>1241.7585219562798</v>
      </c>
      <c r="CF84" s="59">
        <f>+SUM(Data!BQ84:BW84)*2+Data!BX84</f>
        <v>1304.1001104158663</v>
      </c>
      <c r="CG84" s="59">
        <f>+SUM(Data!BR84:BX84)*2+Data!BY84</f>
        <v>1316.1941658281164</v>
      </c>
      <c r="CH84" s="59">
        <f>+SUM(Data!BS84:BY84)*2+Data!BZ84</f>
        <v>1355.5222680583493</v>
      </c>
      <c r="CI84" s="59">
        <f>+SUM(Data!BT84:BZ84)*2+Data!CA84</f>
        <v>1328.380720093716</v>
      </c>
      <c r="CJ84" s="13">
        <f>+SUM(Data!AW84:BC84)*2+Data!BD84</f>
        <v>8080.2594210864527</v>
      </c>
      <c r="CK84" s="13">
        <f>+SUM(Data!AX84:BD84)*2+Data!BE84</f>
        <v>8454.3121154509045</v>
      </c>
      <c r="CL84" s="13">
        <f>+SUM(Data!AY84:BE84)*2+Data!BF84</f>
        <v>7473.6993452902407</v>
      </c>
      <c r="CM84" s="13">
        <f>+SUM(Data!AZ84:BF84)*2+Data!BG84</f>
        <v>7047.8980943107517</v>
      </c>
      <c r="CN84" s="13">
        <f>+SUM(Data!BA84:BG84)*2+Data!BH84</f>
        <v>7393.2816969345522</v>
      </c>
      <c r="CO84" s="13">
        <f>+SUM(Data!BB84:BH84)*2+Data!BI84</f>
        <v>7475.6536025744144</v>
      </c>
      <c r="CP84" s="13">
        <f>+SUM(Data!BC84:BI84)*2+Data!BJ84</f>
        <v>7718.8085766841486</v>
      </c>
      <c r="CQ84" s="13">
        <f>+SUM(Data!BD84:BJ84)*2+Data!BK84</f>
        <v>7572.4980999447571</v>
      </c>
      <c r="CR84" s="59">
        <f>+SUM(Data!CC84:CI84)*2+Data!CJ84</f>
        <v>1210.2186144767604</v>
      </c>
      <c r="CS84" s="59">
        <f>+SUM(Data!CD84:CJ84)*2+Data!CK84</f>
        <v>1273.9292827802365</v>
      </c>
      <c r="CT84" s="59">
        <f>+SUM(Data!CE84:CK84)*2+Data!CL84</f>
        <v>1142.5872116657231</v>
      </c>
      <c r="CU84" s="59">
        <f>+SUM(Data!CF84:CL84)*2+Data!CM84</f>
        <v>1080.122498532231</v>
      </c>
      <c r="CV84" s="59">
        <f>+SUM(Data!CG84:CM84)*2+Data!CN84</f>
        <v>1158.6509723268716</v>
      </c>
      <c r="CW84" s="59">
        <f>+SUM(Data!CH84:CN84)*2+Data!CO84</f>
        <v>1179.7290686739873</v>
      </c>
      <c r="CX84" s="59">
        <f>+SUM(Data!CI84:CO84)*2+Data!CP84</f>
        <v>1238.0486655256759</v>
      </c>
      <c r="CY84" s="59">
        <f>+SUM(Data!CJ84:CP84)*2+Data!CQ84</f>
        <v>1205.3662274897065</v>
      </c>
      <c r="CZ84" s="60">
        <f t="shared" si="110"/>
        <v>10710.041326115783</v>
      </c>
      <c r="DA84" s="60">
        <f t="shared" si="111"/>
        <v>11219.226026210938</v>
      </c>
      <c r="DB84" s="60">
        <f t="shared" si="112"/>
        <v>9932.5779080179145</v>
      </c>
      <c r="DC84" s="60">
        <f t="shared" si="113"/>
        <v>9369.779114799263</v>
      </c>
      <c r="DD84" s="60">
        <f t="shared" si="114"/>
        <v>9856.0327796772908</v>
      </c>
      <c r="DE84" s="60">
        <f t="shared" si="115"/>
        <v>9971.5768370765181</v>
      </c>
      <c r="DF84" s="60">
        <f t="shared" si="116"/>
        <v>10312.379510268172</v>
      </c>
      <c r="DG84" s="60">
        <f t="shared" si="117"/>
        <v>10106.24504752818</v>
      </c>
      <c r="DH84" s="13">
        <f t="shared" si="118"/>
        <v>0</v>
      </c>
      <c r="DI84" s="13">
        <f t="shared" si="119"/>
        <v>0</v>
      </c>
      <c r="DJ84" s="13">
        <f t="shared" si="120"/>
        <v>0</v>
      </c>
      <c r="DK84" s="13">
        <f t="shared" si="121"/>
        <v>0</v>
      </c>
      <c r="DL84" s="13">
        <f t="shared" si="122"/>
        <v>0</v>
      </c>
      <c r="DM84" s="13">
        <f t="shared" si="123"/>
        <v>0</v>
      </c>
      <c r="DN84" s="13">
        <f t="shared" si="124"/>
        <v>0</v>
      </c>
      <c r="DO84" s="13">
        <f t="shared" si="125"/>
        <v>0</v>
      </c>
      <c r="DP84" s="50">
        <f>DH84*'Useful Constants'!$B$8</f>
        <v>0</v>
      </c>
      <c r="DQ84" s="50">
        <f>DI84*'Useful Constants'!$B$8</f>
        <v>0</v>
      </c>
      <c r="DR84" s="50">
        <f>DJ84*'Useful Constants'!$B$10</f>
        <v>0</v>
      </c>
      <c r="DS84" s="50">
        <f>DK84*'Useful Constants'!$B$10</f>
        <v>0</v>
      </c>
      <c r="DT84" s="50">
        <f>DL84*'Useful Constants'!$B$10</f>
        <v>0</v>
      </c>
      <c r="DU84" s="50">
        <f>DM84*'Useful Constants'!$B$10</f>
        <v>0</v>
      </c>
      <c r="DV84" s="50">
        <f>DN84*'Useful Constants'!$B$10</f>
        <v>0</v>
      </c>
      <c r="DW84" s="50">
        <f>DO84*'Useful Constants'!$B$10</f>
        <v>0</v>
      </c>
      <c r="DX84" s="14">
        <f>DH84*'Useful Constants'!$B$9</f>
        <v>0</v>
      </c>
      <c r="DY84" s="14">
        <f>DI84*'Useful Constants'!$B$9</f>
        <v>0</v>
      </c>
      <c r="DZ84" s="14">
        <f>DJ84*'Useful Constants'!$B$11</f>
        <v>0</v>
      </c>
      <c r="EA84" s="14">
        <f>DK84*'Useful Constants'!$B$11</f>
        <v>0</v>
      </c>
      <c r="EB84" s="14">
        <f>DL84*'Useful Constants'!$B$11</f>
        <v>0</v>
      </c>
      <c r="EC84" s="14">
        <f>DM84*'Useful Constants'!$B$11</f>
        <v>0</v>
      </c>
      <c r="ED84" s="14">
        <f>DN84*'Useful Constants'!$B$11</f>
        <v>0</v>
      </c>
      <c r="EE84" s="14">
        <f>DO84*'Useful Constants'!$B$11</f>
        <v>0</v>
      </c>
      <c r="EF84" s="78">
        <f>(SUM(Data!DI84:DO84)*2+Data!DP84)/('Useful Constants'!$B$1*1000000)*$K84/100</f>
        <v>8.2228438008449771</v>
      </c>
      <c r="EG84" s="78">
        <f>(SUM(Data!DJ84:DP84)*2+Data!DQ84)/('Useful Constants'!$B$1*1000000)*$K84/100</f>
        <v>8.0820185989416107</v>
      </c>
      <c r="EH84" s="78">
        <f>(SUM(Data!DK84:DQ84)*2+Data!DR84)/('Useful Constants'!$B$1*1000000)*$K84/100</f>
        <v>8.0094600405710334</v>
      </c>
      <c r="EI84" s="78">
        <f>(SUM(Data!DL84:DR84)*2+Data!DS84)/('Useful Constants'!$B$1*1000000)*$K84/100</f>
        <v>8.0804918939192358</v>
      </c>
      <c r="EJ84" s="78">
        <f>(SUM(Data!DM84:DS84)*2+Data!DT84)/('Useful Constants'!$B$1*1000000)*$K84/100</f>
        <v>8.486363401795959</v>
      </c>
      <c r="EK84" s="78">
        <f>(SUM(Data!DN84:DT84)*2+Data!DU84)/('Useful Constants'!$B$1*1000000)*$K84/100</f>
        <v>8.9224923390175199</v>
      </c>
      <c r="EL84" s="78">
        <f>(SUM(Data!DO84:DU84)*2+Data!DV84)/('Useful Constants'!$B$1*1000000)*$K84/100</f>
        <v>9.5450397850958257</v>
      </c>
      <c r="EM84" s="78">
        <f>(SUM(Data!DP84:DV84)*2+Data!DW84)/('Useful Constants'!$B$1*1000000)*$K84/100</f>
        <v>10.524614772606736</v>
      </c>
      <c r="EN84" s="79">
        <f>EF84*'Useful Constants'!$B$3</f>
        <v>690.71887927097805</v>
      </c>
      <c r="EO84" s="79">
        <f>EG84*'Useful Constants'!$B$3</f>
        <v>678.88956231109535</v>
      </c>
      <c r="EP84" s="79">
        <f>EH84*'Useful Constants'!$B$3</f>
        <v>672.79464340796676</v>
      </c>
      <c r="EQ84" s="79">
        <f>EI84*'Useful Constants'!$B$3</f>
        <v>678.76131908921582</v>
      </c>
      <c r="ER84" s="79">
        <f>EJ84*'Useful Constants'!$B$3</f>
        <v>712.8545257508606</v>
      </c>
      <c r="ES84" s="79">
        <f>EK84*'Useful Constants'!$B$3</f>
        <v>749.48935647747169</v>
      </c>
      <c r="ET84" s="79">
        <f>EL84*'Useful Constants'!$B$3</f>
        <v>801.78334194804938</v>
      </c>
      <c r="EU84" s="79">
        <f>EM84*'Useful Constants'!$B$3</f>
        <v>884.06764089896581</v>
      </c>
      <c r="EV84" s="78">
        <f>EF84*'Useful Constants'!$B$4</f>
        <v>230.23962642365936</v>
      </c>
      <c r="EW84" s="78">
        <f>EG84*'Useful Constants'!$B$4</f>
        <v>226.29652077036511</v>
      </c>
      <c r="EX84" s="78">
        <f>EH84*'Useful Constants'!$B$4</f>
        <v>224.26488113598893</v>
      </c>
      <c r="EY84" s="78">
        <f>EI84*'Useful Constants'!$B$4</f>
        <v>226.2537730297386</v>
      </c>
      <c r="EZ84" s="78">
        <f>EJ84*'Useful Constants'!$B$4</f>
        <v>237.61817525028687</v>
      </c>
      <c r="FA84" s="78">
        <f>EK84*'Useful Constants'!$B$4</f>
        <v>249.82978549249054</v>
      </c>
      <c r="FB84" s="78">
        <f>EL84*'Useful Constants'!$B$4</f>
        <v>267.26111398268313</v>
      </c>
      <c r="FC84" s="78">
        <f>EM84*'Useful Constants'!$B$4</f>
        <v>294.68921363298858</v>
      </c>
      <c r="FD84" s="40">
        <f t="shared" si="126"/>
        <v>0.42979385210233251</v>
      </c>
      <c r="FE84" s="40">
        <f t="shared" si="127"/>
        <v>0.40308916665296263</v>
      </c>
      <c r="FF84" s="40">
        <f t="shared" si="128"/>
        <v>0.47067316187479152</v>
      </c>
      <c r="FG84" s="40">
        <f t="shared" si="129"/>
        <v>0.5003126974082498</v>
      </c>
      <c r="FH84" s="40">
        <f t="shared" si="130"/>
        <v>0.47469002446492198</v>
      </c>
      <c r="FI84" s="40">
        <f t="shared" si="131"/>
        <v>0.46859230375759381</v>
      </c>
      <c r="FJ84" s="40">
        <f t="shared" si="132"/>
        <v>0.45063406898670039</v>
      </c>
      <c r="FK84" s="40">
        <f t="shared" si="133"/>
        <v>0.46147894036071119</v>
      </c>
      <c r="FL84" s="4">
        <f t="shared" si="134"/>
        <v>0.58488008761562704</v>
      </c>
      <c r="FM84" s="4">
        <f t="shared" si="135"/>
        <v>0.56696599268662207</v>
      </c>
      <c r="FN84" s="4">
        <f t="shared" si="136"/>
        <v>0.61357802822954433</v>
      </c>
      <c r="FO84" s="4">
        <f t="shared" si="137"/>
        <v>0.63369111405200085</v>
      </c>
      <c r="FP84" s="4">
        <f t="shared" si="138"/>
        <v>0.61488816636654109</v>
      </c>
      <c r="FQ84" s="4">
        <f t="shared" si="139"/>
        <v>0.60938533999696221</v>
      </c>
      <c r="FR84" s="4">
        <f t="shared" si="140"/>
        <v>0.59518391329122744</v>
      </c>
      <c r="FS84" s="4">
        <f t="shared" si="141"/>
        <v>0.59965333442669255</v>
      </c>
      <c r="FT84" s="38">
        <f t="shared" si="142"/>
        <v>0.49529132436896628</v>
      </c>
      <c r="FU84" s="38">
        <f t="shared" si="143"/>
        <v>0.47229011879520882</v>
      </c>
      <c r="FV84" s="38">
        <f t="shared" si="144"/>
        <v>0.53103612367520525</v>
      </c>
      <c r="FW84" s="38">
        <f t="shared" si="145"/>
        <v>0.55665906663662823</v>
      </c>
      <c r="FX84" s="38">
        <f t="shared" si="146"/>
        <v>0.53391201876186134</v>
      </c>
      <c r="FY84" s="38">
        <f t="shared" si="147"/>
        <v>0.52806539552972453</v>
      </c>
      <c r="FZ84" s="38">
        <f t="shared" si="148"/>
        <v>0.51169152604158719</v>
      </c>
      <c r="GA84" s="38">
        <f t="shared" si="149"/>
        <v>0.51984846031548992</v>
      </c>
    </row>
    <row r="85" spans="1:183" x14ac:dyDescent="0.25">
      <c r="A85" s="1" t="str">
        <f>Data!A85</f>
        <v>TX_DALLAS-FORT-WORTH-IAP_722590_TY3A</v>
      </c>
      <c r="B85" s="1" t="str">
        <f>TY3A_REP_CITIES!B85</f>
        <v>Dallas</v>
      </c>
      <c r="C85" s="1" t="str">
        <f>TY3A_REP_CITIES!C85</f>
        <v>Dallas</v>
      </c>
      <c r="D85" s="2" t="str">
        <f>TY3A_REP_CITIES!A85</f>
        <v>TX</v>
      </c>
      <c r="E85" s="42">
        <f>TY3A_REP_CITIES!E85</f>
        <v>2635516</v>
      </c>
      <c r="F85" s="2">
        <f>TY3A_REP_CITIES!G85</f>
        <v>3</v>
      </c>
      <c r="G85" s="2" t="str">
        <f>TY3A_REP_CITIES!H85</f>
        <v>Hot-Humid</v>
      </c>
      <c r="H85" s="2" t="str">
        <f>TY3A_REP_CITIES!I85</f>
        <v>Southwest</v>
      </c>
      <c r="I85" s="2">
        <f>Data!B85</f>
        <v>32.9</v>
      </c>
      <c r="J85" s="2">
        <f>Data!C85</f>
        <v>-97.02</v>
      </c>
      <c r="K85" s="2">
        <f>VLOOKUP(D85,Table1[],2,FALSE)</f>
        <v>1.7</v>
      </c>
      <c r="L85" s="2">
        <v>0.5</v>
      </c>
      <c r="M85" s="10">
        <f>Data!N85</f>
        <v>6068.8184600000004</v>
      </c>
      <c r="N85" s="10">
        <f>Data!Q85</f>
        <v>29308</v>
      </c>
      <c r="O85" s="10">
        <f>Data!O85</f>
        <v>12508797686.3647</v>
      </c>
      <c r="P85" s="10">
        <f>Data!P85</f>
        <v>13029997589.963333</v>
      </c>
      <c r="Q85" s="10">
        <f>Data!S85*15</f>
        <v>9831.3153202099747</v>
      </c>
      <c r="R85" s="48">
        <f>SUM(Data!U85:AA85)*2+Data!AB85</f>
        <v>171.42274205169826</v>
      </c>
      <c r="S85" s="48">
        <f>SUM(Data!V85:AB85)*2+Data!AC85</f>
        <v>161.42799021961955</v>
      </c>
      <c r="T85" s="48">
        <f>SUM(Data!W85:AC85)*2+Data!AD85</f>
        <v>139.67612947233505</v>
      </c>
      <c r="U85" s="48">
        <f>SUM(Data!X85:AD85)*2+Data!AE85</f>
        <v>127.57853960652051</v>
      </c>
      <c r="V85" s="48">
        <f>SUM(Data!Y85:AE85)*2+Data!AF85</f>
        <v>127.92433814473682</v>
      </c>
      <c r="W85" s="48">
        <f>SUM(Data!Z85:AF85)*2+Data!AG85</f>
        <v>128.9368105034367</v>
      </c>
      <c r="X85" s="48">
        <f>SUM(Data!AA85:AG85)*2+Data!AH85</f>
        <v>125.34486481910599</v>
      </c>
      <c r="Y85" s="48">
        <f>SUM(Data!AB85:AH85)*2+Data!AI85</f>
        <v>121.19300063694197</v>
      </c>
      <c r="Z85" s="80">
        <f>(SUM(Data!CS85:CY85)*2+Data!CZ85)/('Useful Constants'!$B$1*1000000)*$K85/100</f>
        <v>0.39139159802537082</v>
      </c>
      <c r="AA85" s="80">
        <f>(SUM(Data!CT85:CZ85)*2+Data!DA85)/('Useful Constants'!$B$1*1000000)*$K85/100</f>
        <v>0.34023581310846013</v>
      </c>
      <c r="AB85" s="80">
        <f>(SUM(Data!CU85:DA85)*2+Data!DB85)/('Useful Constants'!$B$1*1000000)*$K85/100</f>
        <v>0.29494312118583177</v>
      </c>
      <c r="AC85" s="80">
        <f>(SUM(Data!CV85:DB85)*2+Data!DC85)/('Useful Constants'!$B$1*1000000)*$K85/100</f>
        <v>0.25626459850164446</v>
      </c>
      <c r="AD85" s="80">
        <f>(SUM(Data!CW85:DC85)*2+Data!DD85)/('Useful Constants'!$B$1*1000000)*$K85/100</f>
        <v>0.22262998889420657</v>
      </c>
      <c r="AE85" s="80">
        <f>(SUM(Data!CX85:DD85)*2+Data!DE85)/('Useful Constants'!$B$1*1000000)*$K85/100</f>
        <v>0.20273174212687889</v>
      </c>
      <c r="AF85" s="80">
        <f>(SUM(Data!CY85:DE85)*2+Data!DF85)/('Useful Constants'!$B$1*1000000)*$K85/100</f>
        <v>0.18909964352733566</v>
      </c>
      <c r="AG85" s="80">
        <f>(SUM(Data!CZ85:DF85)*2+Data!DG85)/('Useful Constants'!$B$1*1000000)*$K85/100</f>
        <v>0.17745032791864279</v>
      </c>
      <c r="AH85" s="48">
        <f>Z85*'Useful Constants'!$B$3</f>
        <v>32.87689423413115</v>
      </c>
      <c r="AI85" s="48">
        <f>AA85*'Useful Constants'!$B$3</f>
        <v>28.579808301110649</v>
      </c>
      <c r="AJ85" s="48">
        <f>AB85*'Useful Constants'!$B$3</f>
        <v>24.775222179609869</v>
      </c>
      <c r="AK85" s="48">
        <f>AC85*'Useful Constants'!$B$3</f>
        <v>21.526226274138136</v>
      </c>
      <c r="AL85" s="48">
        <f>AD85*'Useful Constants'!$B$3</f>
        <v>18.70091906711335</v>
      </c>
      <c r="AM85" s="48">
        <f>AE85*'Useful Constants'!$B$3</f>
        <v>17.029466338657826</v>
      </c>
      <c r="AN85" s="48">
        <f>AF85*'Useful Constants'!$B$3</f>
        <v>15.884370056296195</v>
      </c>
      <c r="AO85" s="48">
        <f>AG85*'Useful Constants'!$B$3</f>
        <v>14.905827545165995</v>
      </c>
      <c r="AP85" s="10">
        <f>Z85*'Useful Constants'!$B$4</f>
        <v>10.958964744710382</v>
      </c>
      <c r="AQ85" s="10">
        <f>AA85*'Useful Constants'!$B$4</f>
        <v>9.5266027670368842</v>
      </c>
      <c r="AR85" s="10">
        <f>AB85*'Useful Constants'!$B$4</f>
        <v>8.2584073932032886</v>
      </c>
      <c r="AS85" s="10">
        <f>AC85*'Useful Constants'!$B$4</f>
        <v>7.1754087580460446</v>
      </c>
      <c r="AT85" s="10">
        <f>AD85*'Useful Constants'!$B$4</f>
        <v>6.2336396890377843</v>
      </c>
      <c r="AU85" s="10">
        <f>AE85*'Useful Constants'!$B$4</f>
        <v>5.6764887795526091</v>
      </c>
      <c r="AV85" s="10">
        <f>AF85*'Useful Constants'!$B$4</f>
        <v>5.2947900187653989</v>
      </c>
      <c r="AW85" s="10">
        <f>AG85*'Useful Constants'!$B$4</f>
        <v>4.9686091817219982</v>
      </c>
      <c r="AX85" s="48">
        <f>P85/1000000/'Useful Constants'!$B$1*K85/100*'Useful Constants'!$B$3*15</f>
        <v>5582.0509675402909</v>
      </c>
      <c r="AY85" s="48">
        <f>P85/1000000/'Useful Constants'!$B$1*L85/100*'Useful Constants'!$B$3*15</f>
        <v>1641.7796963353796</v>
      </c>
      <c r="AZ85" s="48">
        <f>P85/1000000/'Useful Constants'!$B$1*K85/100*'Useful Constants'!$B$4*15</f>
        <v>1860.6836558467637</v>
      </c>
      <c r="BA85" s="48">
        <f>P85/1000000/'Useful Constants'!$B$1*L85/100*'Useful Constants'!$B$4*15</f>
        <v>547.25989877845996</v>
      </c>
      <c r="BB85" s="7">
        <f>Data!AN85</f>
        <v>6068.8184600000004</v>
      </c>
      <c r="BC85" s="7">
        <f>Data!AQ85</f>
        <v>6068.8184600000004</v>
      </c>
      <c r="BD85" s="7">
        <f>Data!AT85</f>
        <v>5057.1344600000002</v>
      </c>
      <c r="BE85" s="6">
        <f>Data!AO85</f>
        <v>11817601585.877001</v>
      </c>
      <c r="BF85" s="6">
        <f>Data!AP85</f>
        <v>3443659301.6430898</v>
      </c>
      <c r="BG85" s="6">
        <f>Data!AR85</f>
        <v>221283882.750572</v>
      </c>
      <c r="BH85" s="6">
        <f>Data!AS85</f>
        <v>221283882.750572</v>
      </c>
      <c r="BI85" s="8">
        <f t="shared" si="100"/>
        <v>0.98161923848123467</v>
      </c>
      <c r="BJ85" s="8">
        <f t="shared" si="101"/>
        <v>0.93962146979716898</v>
      </c>
      <c r="BK85" s="13">
        <f>BB85*'Useful Constants'!$B$5/'Useful Constants'!$B$6*'Useful Constants'!$B$7</f>
        <v>1.5530106439140001</v>
      </c>
      <c r="BL85" s="52">
        <f>1-VLOOKUP($G85,'Useful Constants'!$A$17:$X$23,10,FALSE)</f>
        <v>0</v>
      </c>
      <c r="BM85" s="52">
        <f>1-VLOOKUP($G85,'Useful Constants'!$A$17:$X$23,12,FALSE)</f>
        <v>0</v>
      </c>
      <c r="BN85" s="52">
        <f>1-VLOOKUP($G85,'Useful Constants'!$A$17:$X$23,14,FALSE)</f>
        <v>0</v>
      </c>
      <c r="BO85" s="52">
        <f>1-VLOOKUP($G85,'Useful Constants'!$A$17:$X$23,16,FALSE)</f>
        <v>0</v>
      </c>
      <c r="BP85" s="52">
        <f>1-VLOOKUP($G85,'Useful Constants'!$A$17:$X$23,18,FALSE)</f>
        <v>0</v>
      </c>
      <c r="BQ85" s="52">
        <f>1-VLOOKUP($G85,'Useful Constants'!$A$17:$X$23,20, FALSE)</f>
        <v>0</v>
      </c>
      <c r="BR85" s="52">
        <f>1-VLOOKUP($G85,'Useful Constants'!$A$17:$X$23,22, FALSE)</f>
        <v>0</v>
      </c>
      <c r="BS85" s="52">
        <f>1-VLOOKUP($G85,'Useful Constants'!$A$17:$X$23,24, FALSE)</f>
        <v>0</v>
      </c>
      <c r="BT85" s="13">
        <f t="shared" si="102"/>
        <v>0</v>
      </c>
      <c r="BU85" s="13">
        <f t="shared" si="103"/>
        <v>0</v>
      </c>
      <c r="BV85" s="13">
        <f t="shared" si="104"/>
        <v>0</v>
      </c>
      <c r="BW85" s="13">
        <f t="shared" si="105"/>
        <v>0</v>
      </c>
      <c r="BX85" s="13">
        <f t="shared" si="106"/>
        <v>0</v>
      </c>
      <c r="BY85" s="13">
        <f t="shared" si="107"/>
        <v>0</v>
      </c>
      <c r="BZ85" s="13">
        <f t="shared" si="108"/>
        <v>0</v>
      </c>
      <c r="CA85" s="13">
        <f t="shared" si="109"/>
        <v>0</v>
      </c>
      <c r="CB85" s="59">
        <f>+SUM(Data!BM85:BS85)*2+Data!BT85</f>
        <v>850.45848030737341</v>
      </c>
      <c r="CC85" s="59">
        <f>+SUM(Data!BN85:BT85)*2+Data!BU85</f>
        <v>801.01688582720931</v>
      </c>
      <c r="CD85" s="59">
        <f>+SUM(Data!BO85:BU85)*2+Data!BV85</f>
        <v>693.02028885549498</v>
      </c>
      <c r="CE85" s="59">
        <f>+SUM(Data!BP85:BV85)*2+Data!BW85</f>
        <v>632.90328171537112</v>
      </c>
      <c r="CF85" s="59">
        <f>+SUM(Data!BQ85:BW85)*2+Data!BX85</f>
        <v>634.54876124238785</v>
      </c>
      <c r="CG85" s="59">
        <f>+SUM(Data!BR85:BX85)*2+Data!BY85</f>
        <v>639.44562627839514</v>
      </c>
      <c r="CH85" s="59">
        <f>+SUM(Data!BS85:BY85)*2+Data!BZ85</f>
        <v>621.77372645101877</v>
      </c>
      <c r="CI85" s="59">
        <f>+SUM(Data!BT85:BZ85)*2+Data!CA85</f>
        <v>601.16148216718307</v>
      </c>
      <c r="CJ85" s="13">
        <f>+SUM(Data!AW85:BC85)*2+Data!BD85</f>
        <v>4570.2789835785115</v>
      </c>
      <c r="CK85" s="13">
        <f>+SUM(Data!AX85:BD85)*2+Data!BE85</f>
        <v>4308.7972178283808</v>
      </c>
      <c r="CL85" s="13">
        <f>+SUM(Data!AY85:BE85)*2+Data!BF85</f>
        <v>3735.8701899681382</v>
      </c>
      <c r="CM85" s="13">
        <f>+SUM(Data!AZ85:BF85)*2+Data!BG85</f>
        <v>3403.1429382270817</v>
      </c>
      <c r="CN85" s="13">
        <f>+SUM(Data!BA85:BG85)*2+Data!BH85</f>
        <v>3416.5727874649933</v>
      </c>
      <c r="CO85" s="13">
        <f>+SUM(Data!BB85:BH85)*2+Data!BI85</f>
        <v>3442.2783897962354</v>
      </c>
      <c r="CP85" s="13">
        <f>+SUM(Data!BC85:BI85)*2+Data!BJ85</f>
        <v>3341.8140777519352</v>
      </c>
      <c r="CQ85" s="13">
        <f>+SUM(Data!BD85:BJ85)*2+Data!BK85</f>
        <v>3232.4501775311082</v>
      </c>
      <c r="CR85" s="59">
        <f>+SUM(Data!CC85:CI85)*2+Data!CJ85</f>
        <v>339.15096225335196</v>
      </c>
      <c r="CS85" s="59">
        <f>+SUM(Data!CD85:CJ85)*2+Data!CK85</f>
        <v>320.61019075916016</v>
      </c>
      <c r="CT85" s="59">
        <f>+SUM(Data!CE85:CK85)*2+Data!CL85</f>
        <v>284.26522541536337</v>
      </c>
      <c r="CU85" s="59">
        <f>+SUM(Data!CF85:CL85)*2+Data!CM85</f>
        <v>254.69240311312939</v>
      </c>
      <c r="CV85" s="59">
        <f>+SUM(Data!CG85:CM85)*2+Data!CN85</f>
        <v>253.4401388414183</v>
      </c>
      <c r="CW85" s="59">
        <f>+SUM(Data!CH85:CN85)*2+Data!CO85</f>
        <v>254.22410189904235</v>
      </c>
      <c r="CX85" s="59">
        <f>+SUM(Data!CI85:CO85)*2+Data!CP85</f>
        <v>240.39265128823342</v>
      </c>
      <c r="CY85" s="59">
        <f>+SUM(Data!CJ85:CP85)*2+Data!CQ85</f>
        <v>229.82204902441717</v>
      </c>
      <c r="CZ85" s="60">
        <f t="shared" si="110"/>
        <v>5759.8884261392368</v>
      </c>
      <c r="DA85" s="60">
        <f t="shared" si="111"/>
        <v>5430.42429441475</v>
      </c>
      <c r="DB85" s="60">
        <f t="shared" si="112"/>
        <v>4713.1557042389968</v>
      </c>
      <c r="DC85" s="60">
        <f t="shared" si="113"/>
        <v>4290.7386230555821</v>
      </c>
      <c r="DD85" s="60">
        <f t="shared" si="114"/>
        <v>4304.5616875487995</v>
      </c>
      <c r="DE85" s="60">
        <f t="shared" si="115"/>
        <v>4335.9481179736731</v>
      </c>
      <c r="DF85" s="60">
        <f t="shared" si="116"/>
        <v>4203.9804554911871</v>
      </c>
      <c r="DG85" s="60">
        <f t="shared" si="117"/>
        <v>4063.4337087227082</v>
      </c>
      <c r="DH85" s="13">
        <f t="shared" si="118"/>
        <v>0</v>
      </c>
      <c r="DI85" s="13">
        <f t="shared" si="119"/>
        <v>0</v>
      </c>
      <c r="DJ85" s="13">
        <f t="shared" si="120"/>
        <v>0</v>
      </c>
      <c r="DK85" s="13">
        <f t="shared" si="121"/>
        <v>0</v>
      </c>
      <c r="DL85" s="13">
        <f t="shared" si="122"/>
        <v>0</v>
      </c>
      <c r="DM85" s="13">
        <f t="shared" si="123"/>
        <v>0</v>
      </c>
      <c r="DN85" s="13">
        <f t="shared" si="124"/>
        <v>0</v>
      </c>
      <c r="DO85" s="13">
        <f t="shared" si="125"/>
        <v>0</v>
      </c>
      <c r="DP85" s="50">
        <f>DH85*'Useful Constants'!$B$8</f>
        <v>0</v>
      </c>
      <c r="DQ85" s="50">
        <f>DI85*'Useful Constants'!$B$8</f>
        <v>0</v>
      </c>
      <c r="DR85" s="50">
        <f>DJ85*'Useful Constants'!$B$10</f>
        <v>0</v>
      </c>
      <c r="DS85" s="50">
        <f>DK85*'Useful Constants'!$B$10</f>
        <v>0</v>
      </c>
      <c r="DT85" s="50">
        <f>DL85*'Useful Constants'!$B$10</f>
        <v>0</v>
      </c>
      <c r="DU85" s="50">
        <f>DM85*'Useful Constants'!$B$10</f>
        <v>0</v>
      </c>
      <c r="DV85" s="50">
        <f>DN85*'Useful Constants'!$B$10</f>
        <v>0</v>
      </c>
      <c r="DW85" s="50">
        <f>DO85*'Useful Constants'!$B$10</f>
        <v>0</v>
      </c>
      <c r="DX85" s="14">
        <f>DH85*'Useful Constants'!$B$9</f>
        <v>0</v>
      </c>
      <c r="DY85" s="14">
        <f>DI85*'Useful Constants'!$B$9</f>
        <v>0</v>
      </c>
      <c r="DZ85" s="14">
        <f>DJ85*'Useful Constants'!$B$11</f>
        <v>0</v>
      </c>
      <c r="EA85" s="14">
        <f>DK85*'Useful Constants'!$B$11</f>
        <v>0</v>
      </c>
      <c r="EB85" s="14">
        <f>DL85*'Useful Constants'!$B$11</f>
        <v>0</v>
      </c>
      <c r="EC85" s="14">
        <f>DM85*'Useful Constants'!$B$11</f>
        <v>0</v>
      </c>
      <c r="ED85" s="14">
        <f>DN85*'Useful Constants'!$B$11</f>
        <v>0</v>
      </c>
      <c r="EE85" s="14">
        <f>DO85*'Useful Constants'!$B$11</f>
        <v>0</v>
      </c>
      <c r="EF85" s="78">
        <f>(SUM(Data!DI85:DO85)*2+Data!DP85)/('Useful Constants'!$B$1*1000000)*$K85/100</f>
        <v>13.000140113853011</v>
      </c>
      <c r="EG85" s="78">
        <f>(SUM(Data!DJ85:DP85)*2+Data!DQ85)/('Useful Constants'!$B$1*1000000)*$K85/100</f>
        <v>11.350101053291279</v>
      </c>
      <c r="EH85" s="78">
        <f>(SUM(Data!DK85:DQ85)*2+Data!DR85)/('Useful Constants'!$B$1*1000000)*$K85/100</f>
        <v>9.8776712448985791</v>
      </c>
      <c r="EI85" s="78">
        <f>(SUM(Data!DL85:DR85)*2+Data!DS85)/('Useful Constants'!$B$1*1000000)*$K85/100</f>
        <v>8.604740542301359</v>
      </c>
      <c r="EJ85" s="78">
        <f>(SUM(Data!DM85:DS85)*2+Data!DT85)/('Useful Constants'!$B$1*1000000)*$K85/100</f>
        <v>7.4738525766662329</v>
      </c>
      <c r="EK85" s="78">
        <f>(SUM(Data!DN85:DT85)*2+Data!DU85)/('Useful Constants'!$B$1*1000000)*$K85/100</f>
        <v>6.802242899528709</v>
      </c>
      <c r="EL85" s="78">
        <f>(SUM(Data!DO85:DU85)*2+Data!DV85)/('Useful Constants'!$B$1*1000000)*$K85/100</f>
        <v>6.3351388933649124</v>
      </c>
      <c r="EM85" s="78">
        <f>(SUM(Data!DP85:DV85)*2+Data!DW85)/('Useful Constants'!$B$1*1000000)*$K85/100</f>
        <v>5.9338466797653577</v>
      </c>
      <c r="EN85" s="79">
        <f>EF85*'Useful Constants'!$B$3</f>
        <v>1092.0117695636529</v>
      </c>
      <c r="EO85" s="79">
        <f>EG85*'Useful Constants'!$B$3</f>
        <v>953.40848847646748</v>
      </c>
      <c r="EP85" s="79">
        <f>EH85*'Useful Constants'!$B$3</f>
        <v>829.72438457148064</v>
      </c>
      <c r="EQ85" s="79">
        <f>EI85*'Useful Constants'!$B$3</f>
        <v>722.79820555331412</v>
      </c>
      <c r="ER85" s="79">
        <f>EJ85*'Useful Constants'!$B$3</f>
        <v>627.80361643996355</v>
      </c>
      <c r="ES85" s="79">
        <f>EK85*'Useful Constants'!$B$3</f>
        <v>571.38840356041158</v>
      </c>
      <c r="ET85" s="79">
        <f>EL85*'Useful Constants'!$B$3</f>
        <v>532.15166704265266</v>
      </c>
      <c r="EU85" s="79">
        <f>EM85*'Useful Constants'!$B$3</f>
        <v>498.44312110029006</v>
      </c>
      <c r="EV85" s="78">
        <f>EF85*'Useful Constants'!$B$4</f>
        <v>364.00392318788431</v>
      </c>
      <c r="EW85" s="78">
        <f>EG85*'Useful Constants'!$B$4</f>
        <v>317.80282949215581</v>
      </c>
      <c r="EX85" s="78">
        <f>EH85*'Useful Constants'!$B$4</f>
        <v>276.57479485716021</v>
      </c>
      <c r="EY85" s="78">
        <f>EI85*'Useful Constants'!$B$4</f>
        <v>240.93273518443806</v>
      </c>
      <c r="EZ85" s="78">
        <f>EJ85*'Useful Constants'!$B$4</f>
        <v>209.26787214665453</v>
      </c>
      <c r="FA85" s="78">
        <f>EK85*'Useful Constants'!$B$4</f>
        <v>190.46280118680386</v>
      </c>
      <c r="FB85" s="78">
        <f>EL85*'Useful Constants'!$B$4</f>
        <v>177.38388901421754</v>
      </c>
      <c r="FC85" s="78">
        <f>EM85*'Useful Constants'!$B$4</f>
        <v>166.14770703343001</v>
      </c>
      <c r="FD85" s="40">
        <f t="shared" si="126"/>
        <v>0.42416882354741026</v>
      </c>
      <c r="FE85" s="40">
        <f t="shared" si="127"/>
        <v>0.45656321535379329</v>
      </c>
      <c r="FF85" s="40">
        <f t="shared" si="128"/>
        <v>0.52731323379189488</v>
      </c>
      <c r="FG85" s="40">
        <f t="shared" si="129"/>
        <v>0.56915510061127972</v>
      </c>
      <c r="FH85" s="40">
        <f t="shared" si="130"/>
        <v>0.56778209630313059</v>
      </c>
      <c r="FI85" s="40">
        <f t="shared" si="131"/>
        <v>0.56467486354051688</v>
      </c>
      <c r="FJ85" s="40">
        <f t="shared" si="132"/>
        <v>0.5777720262249858</v>
      </c>
      <c r="FK85" s="40">
        <f t="shared" si="133"/>
        <v>0.59171762758426638</v>
      </c>
      <c r="FL85" s="4">
        <f t="shared" si="134"/>
        <v>0.60300577745002815</v>
      </c>
      <c r="FM85" s="4">
        <f t="shared" si="135"/>
        <v>0.62981873844871072</v>
      </c>
      <c r="FN85" s="4">
        <f t="shared" si="136"/>
        <v>0.67810628897188141</v>
      </c>
      <c r="FO85" s="4">
        <f t="shared" si="137"/>
        <v>0.70858731940891317</v>
      </c>
      <c r="FP85" s="4">
        <f t="shared" si="138"/>
        <v>0.71326410316704547</v>
      </c>
      <c r="FQ85" s="4">
        <f t="shared" si="139"/>
        <v>0.71470818589556673</v>
      </c>
      <c r="FR85" s="4">
        <f t="shared" si="140"/>
        <v>0.72458543953427523</v>
      </c>
      <c r="FS85" s="4">
        <f t="shared" si="141"/>
        <v>0.73463952845534364</v>
      </c>
      <c r="FT85" s="38">
        <f t="shared" si="142"/>
        <v>0.50699810471228945</v>
      </c>
      <c r="FU85" s="38">
        <f t="shared" si="143"/>
        <v>0.53681480670648041</v>
      </c>
      <c r="FV85" s="38">
        <f t="shared" si="144"/>
        <v>0.59718635745342119</v>
      </c>
      <c r="FW85" s="38">
        <f t="shared" si="145"/>
        <v>0.63377512024687022</v>
      </c>
      <c r="FX85" s="38">
        <f t="shared" si="146"/>
        <v>0.63519942684854991</v>
      </c>
      <c r="FY85" s="38">
        <f t="shared" si="147"/>
        <v>0.63419608223946711</v>
      </c>
      <c r="FZ85" s="38">
        <f t="shared" si="148"/>
        <v>0.64580434237230544</v>
      </c>
      <c r="GA85" s="38">
        <f t="shared" si="149"/>
        <v>0.65795086216394572</v>
      </c>
    </row>
    <row r="86" spans="1:183" x14ac:dyDescent="0.25">
      <c r="A86" s="1" t="str">
        <f>Data!A86</f>
        <v>TX_HOUSTON-ELLINGTON-AFB_722436_TY3A</v>
      </c>
      <c r="B86" s="1" t="str">
        <f>TY3A_REP_CITIES!B86</f>
        <v>Houston</v>
      </c>
      <c r="C86" s="1" t="str">
        <f>TY3A_REP_CITIES!C86</f>
        <v>Harris</v>
      </c>
      <c r="D86" s="2" t="str">
        <f>TY3A_REP_CITIES!A86</f>
        <v>TX</v>
      </c>
      <c r="E86" s="42">
        <f>TY3A_REP_CITIES!E86</f>
        <v>4713325</v>
      </c>
      <c r="F86" s="2">
        <f>TY3A_REP_CITIES!G86</f>
        <v>2</v>
      </c>
      <c r="G86" s="2" t="str">
        <f>TY3A_REP_CITIES!H86</f>
        <v>Hot-Humid</v>
      </c>
      <c r="H86" s="2" t="str">
        <f>TY3A_REP_CITIES!I86</f>
        <v>Southwest</v>
      </c>
      <c r="I86" s="2">
        <f>Data!B86</f>
        <v>29.57</v>
      </c>
      <c r="J86" s="2">
        <f>Data!C86</f>
        <v>-95.09</v>
      </c>
      <c r="K86" s="2">
        <f>VLOOKUP(D86,Table1[],2,FALSE)</f>
        <v>1.7</v>
      </c>
      <c r="L86" s="2">
        <v>0.5</v>
      </c>
      <c r="M86" s="10">
        <f>Data!N86</f>
        <v>6016.0194199999996</v>
      </c>
      <c r="N86" s="10">
        <f>Data!Q86</f>
        <v>29308</v>
      </c>
      <c r="O86" s="10">
        <f>Data!O86</f>
        <v>4556935987.1100302</v>
      </c>
      <c r="P86" s="10">
        <f>Data!P86</f>
        <v>4746808319.9062757</v>
      </c>
      <c r="Q86" s="10">
        <f>Data!S86*15</f>
        <v>3581.5332301781373</v>
      </c>
      <c r="R86" s="48">
        <f>SUM(Data!U86:AA86)*2+Data!AB86</f>
        <v>58.259229990071027</v>
      </c>
      <c r="S86" s="48">
        <f>SUM(Data!V86:AB86)*2+Data!AC86</f>
        <v>54.964964355089073</v>
      </c>
      <c r="T86" s="48">
        <f>SUM(Data!W86:AC86)*2+Data!AD86</f>
        <v>47.717011406940166</v>
      </c>
      <c r="U86" s="48">
        <f>SUM(Data!X86:AD86)*2+Data!AE86</f>
        <v>43.015591095788643</v>
      </c>
      <c r="V86" s="48">
        <f>SUM(Data!Y86:AE86)*2+Data!AF86</f>
        <v>43.198053931115673</v>
      </c>
      <c r="W86" s="48">
        <f>SUM(Data!Z86:AF86)*2+Data!AG86</f>
        <v>43.428463135576102</v>
      </c>
      <c r="X86" s="48">
        <f>SUM(Data!AA86:AG86)*2+Data!AH86</f>
        <v>42.42981898268615</v>
      </c>
      <c r="Y86" s="48">
        <f>SUM(Data!AB86:AH86)*2+Data!AI86</f>
        <v>41.058104877359519</v>
      </c>
      <c r="Z86" s="80">
        <f>(SUM(Data!CS86:CY86)*2+Data!CZ86)/('Useful Constants'!$B$1*1000000)*$K86/100</f>
        <v>0.12018858793308569</v>
      </c>
      <c r="AA86" s="80">
        <f>(SUM(Data!CT86:CZ86)*2+Data!DA86)/('Useful Constants'!$B$1*1000000)*$K86/100</f>
        <v>0.10298198177355827</v>
      </c>
      <c r="AB86" s="80">
        <f>(SUM(Data!CU86:DA86)*2+Data!DB86)/('Useful Constants'!$B$1*1000000)*$K86/100</f>
        <v>8.7564228413531106E-2</v>
      </c>
      <c r="AC86" s="80">
        <f>(SUM(Data!CV86:DB86)*2+Data!DC86)/('Useful Constants'!$B$1*1000000)*$K86/100</f>
        <v>7.4688472383569182E-2</v>
      </c>
      <c r="AD86" s="80">
        <f>(SUM(Data!CW86:DC86)*2+Data!DD86)/('Useful Constants'!$B$1*1000000)*$K86/100</f>
        <v>6.2938275848209851E-2</v>
      </c>
      <c r="AE86" s="80">
        <f>(SUM(Data!CX86:DD86)*2+Data!DE86)/('Useful Constants'!$B$1*1000000)*$K86/100</f>
        <v>5.7427098270864521E-2</v>
      </c>
      <c r="AF86" s="80">
        <f>(SUM(Data!CY86:DE86)*2+Data!DF86)/('Useful Constants'!$B$1*1000000)*$K86/100</f>
        <v>5.347528064650766E-2</v>
      </c>
      <c r="AG86" s="80">
        <f>(SUM(Data!CZ86:DF86)*2+Data!DG86)/('Useful Constants'!$B$1*1000000)*$K86/100</f>
        <v>5.016999672180214E-2</v>
      </c>
      <c r="AH86" s="48">
        <f>Z86*'Useful Constants'!$B$3</f>
        <v>10.095841386379199</v>
      </c>
      <c r="AI86" s="48">
        <f>AA86*'Useful Constants'!$B$3</f>
        <v>8.6504864689788956</v>
      </c>
      <c r="AJ86" s="48">
        <f>AB86*'Useful Constants'!$B$3</f>
        <v>7.3553951867366125</v>
      </c>
      <c r="AK86" s="48">
        <f>AC86*'Useful Constants'!$B$3</f>
        <v>6.2738316802198115</v>
      </c>
      <c r="AL86" s="48">
        <f>AD86*'Useful Constants'!$B$3</f>
        <v>5.2868151712496276</v>
      </c>
      <c r="AM86" s="48">
        <f>AE86*'Useful Constants'!$B$3</f>
        <v>4.8238762547526202</v>
      </c>
      <c r="AN86" s="48">
        <f>AF86*'Useful Constants'!$B$3</f>
        <v>4.491923574306643</v>
      </c>
      <c r="AO86" s="48">
        <f>AG86*'Useful Constants'!$B$3</f>
        <v>4.2142797246313801</v>
      </c>
      <c r="AP86" s="10">
        <f>Z86*'Useful Constants'!$B$4</f>
        <v>3.3652804621263992</v>
      </c>
      <c r="AQ86" s="10">
        <f>AA86*'Useful Constants'!$B$4</f>
        <v>2.8834954896596319</v>
      </c>
      <c r="AR86" s="10">
        <f>AB86*'Useful Constants'!$B$4</f>
        <v>2.4517983955788711</v>
      </c>
      <c r="AS86" s="10">
        <f>AC86*'Useful Constants'!$B$4</f>
        <v>2.0912772267399369</v>
      </c>
      <c r="AT86" s="10">
        <f>AD86*'Useful Constants'!$B$4</f>
        <v>1.7622717237498757</v>
      </c>
      <c r="AU86" s="10">
        <f>AE86*'Useful Constants'!$B$4</f>
        <v>1.6079587515842066</v>
      </c>
      <c r="AV86" s="10">
        <f>AF86*'Useful Constants'!$B$4</f>
        <v>1.4973078581022146</v>
      </c>
      <c r="AW86" s="10">
        <f>AG86*'Useful Constants'!$B$4</f>
        <v>1.40475990821046</v>
      </c>
      <c r="AX86" s="48">
        <f>P86/1000000/'Useful Constants'!$B$1*K86/100*'Useful Constants'!$B$3*15</f>
        <v>2033.5326842478487</v>
      </c>
      <c r="AY86" s="48">
        <f>P86/1000000/'Useful Constants'!$B$1*L86/100*'Useful Constants'!$B$3*15</f>
        <v>598.09784830819081</v>
      </c>
      <c r="AZ86" s="48">
        <f>P86/1000000/'Useful Constants'!$B$1*K86/100*'Useful Constants'!$B$4*15</f>
        <v>677.84422808261616</v>
      </c>
      <c r="BA86" s="48">
        <f>P86/1000000/'Useful Constants'!$B$1*L86/100*'Useful Constants'!$B$4*15</f>
        <v>199.3659494360636</v>
      </c>
      <c r="BB86" s="7">
        <f>Data!AN86</f>
        <v>6016.0194199999996</v>
      </c>
      <c r="BC86" s="7">
        <f>Data!AQ86</f>
        <v>6016.0194199999996</v>
      </c>
      <c r="BD86" s="7">
        <f>Data!AT86</f>
        <v>3778.8486400000002</v>
      </c>
      <c r="BE86" s="6">
        <f>Data!AO86</f>
        <v>4327931858.8459902</v>
      </c>
      <c r="BF86" s="6">
        <f>Data!AP86</f>
        <v>1282547455.44417</v>
      </c>
      <c r="BG86" s="6">
        <f>Data!AR86</f>
        <v>59229266.021052197</v>
      </c>
      <c r="BH86" s="6">
        <f>Data!AS86</f>
        <v>59229266.021052197</v>
      </c>
      <c r="BI86" s="8">
        <f t="shared" si="100"/>
        <v>0.98649940945060521</v>
      </c>
      <c r="BJ86" s="8">
        <f t="shared" si="101"/>
        <v>0.95585758414680677</v>
      </c>
      <c r="BK86" s="13">
        <f>BB86*'Useful Constants'!$B$5/'Useful Constants'!$B$6*'Useful Constants'!$B$7</f>
        <v>1.5394993695780002</v>
      </c>
      <c r="BL86" s="52">
        <f>1-VLOOKUP($G86,'Useful Constants'!$A$17:$X$23,10,FALSE)</f>
        <v>0</v>
      </c>
      <c r="BM86" s="52">
        <f>1-VLOOKUP($G86,'Useful Constants'!$A$17:$X$23,12,FALSE)</f>
        <v>0</v>
      </c>
      <c r="BN86" s="52">
        <f>1-VLOOKUP($G86,'Useful Constants'!$A$17:$X$23,14,FALSE)</f>
        <v>0</v>
      </c>
      <c r="BO86" s="52">
        <f>1-VLOOKUP($G86,'Useful Constants'!$A$17:$X$23,16,FALSE)</f>
        <v>0</v>
      </c>
      <c r="BP86" s="52">
        <f>1-VLOOKUP($G86,'Useful Constants'!$A$17:$X$23,18,FALSE)</f>
        <v>0</v>
      </c>
      <c r="BQ86" s="52">
        <f>1-VLOOKUP($G86,'Useful Constants'!$A$17:$X$23,20, FALSE)</f>
        <v>0</v>
      </c>
      <c r="BR86" s="52">
        <f>1-VLOOKUP($G86,'Useful Constants'!$A$17:$X$23,22, FALSE)</f>
        <v>0</v>
      </c>
      <c r="BS86" s="52">
        <f>1-VLOOKUP($G86,'Useful Constants'!$A$17:$X$23,24, FALSE)</f>
        <v>0</v>
      </c>
      <c r="BT86" s="13">
        <f t="shared" si="102"/>
        <v>0</v>
      </c>
      <c r="BU86" s="13">
        <f t="shared" si="103"/>
        <v>0</v>
      </c>
      <c r="BV86" s="13">
        <f t="shared" si="104"/>
        <v>0</v>
      </c>
      <c r="BW86" s="13">
        <f t="shared" si="105"/>
        <v>0</v>
      </c>
      <c r="BX86" s="13">
        <f t="shared" si="106"/>
        <v>0</v>
      </c>
      <c r="BY86" s="13">
        <f t="shared" si="107"/>
        <v>0</v>
      </c>
      <c r="BZ86" s="13">
        <f t="shared" si="108"/>
        <v>0</v>
      </c>
      <c r="CA86" s="13">
        <f t="shared" si="109"/>
        <v>0</v>
      </c>
      <c r="CB86" s="59">
        <f>+SUM(Data!BM86:BS86)*2+Data!BT86</f>
        <v>290.42007695135896</v>
      </c>
      <c r="CC86" s="59">
        <f>+SUM(Data!BN86:BT86)*2+Data!BU86</f>
        <v>273.87031290474931</v>
      </c>
      <c r="CD86" s="59">
        <f>+SUM(Data!BO86:BU86)*2+Data!BV86</f>
        <v>237.72626266267247</v>
      </c>
      <c r="CE86" s="59">
        <f>+SUM(Data!BP86:BV86)*2+Data!BW86</f>
        <v>214.3468520347966</v>
      </c>
      <c r="CF86" s="59">
        <f>+SUM(Data!BQ86:BW86)*2+Data!BX86</f>
        <v>215.24229756696693</v>
      </c>
      <c r="CG86" s="59">
        <f>+SUM(Data!BR86:BX86)*2+Data!BY86</f>
        <v>216.42146765522153</v>
      </c>
      <c r="CH86" s="59">
        <f>+SUM(Data!BS86:BY86)*2+Data!BZ86</f>
        <v>211.47848098466679</v>
      </c>
      <c r="CI86" s="59">
        <f>+SUM(Data!BT86:BZ86)*2+Data!CA86</f>
        <v>204.62298714294556</v>
      </c>
      <c r="CJ86" s="13">
        <f>+SUM(Data!AW86:BC86)*2+Data!BD86</f>
        <v>1711.9646407416244</v>
      </c>
      <c r="CK86" s="13">
        <f>+SUM(Data!AX86:BD86)*2+Data!BE86</f>
        <v>1617.0359800132055</v>
      </c>
      <c r="CL86" s="13">
        <f>+SUM(Data!AY86:BE86)*2+Data!BF86</f>
        <v>1405.9689354643433</v>
      </c>
      <c r="CM86" s="13">
        <f>+SUM(Data!AZ86:BF86)*2+Data!BG86</f>
        <v>1264.7409982995489</v>
      </c>
      <c r="CN86" s="13">
        <f>+SUM(Data!BA86:BG86)*2+Data!BH86</f>
        <v>1271.7489586761474</v>
      </c>
      <c r="CO86" s="13">
        <f>+SUM(Data!BB86:BH86)*2+Data!BI86</f>
        <v>1278.1342371038438</v>
      </c>
      <c r="CP86" s="13">
        <f>+SUM(Data!BC86:BI86)*2+Data!BJ86</f>
        <v>1248.4301202036654</v>
      </c>
      <c r="CQ86" s="13">
        <f>+SUM(Data!BD86:BJ86)*2+Data!BK86</f>
        <v>1209.0571879771753</v>
      </c>
      <c r="CR86" s="59">
        <f>+SUM(Data!CC86:CI86)*2+Data!CJ86</f>
        <v>91.565658652799996</v>
      </c>
      <c r="CS86" s="59">
        <f>+SUM(Data!CD86:CJ86)*2+Data!CK86</f>
        <v>86.373515106253606</v>
      </c>
      <c r="CT86" s="59">
        <f>+SUM(Data!CE86:CK86)*2+Data!CL86</f>
        <v>75.822773885979942</v>
      </c>
      <c r="CU86" s="59">
        <f>+SUM(Data!CF86:CL86)*2+Data!CM86</f>
        <v>67.190479237530681</v>
      </c>
      <c r="CV86" s="59">
        <f>+SUM(Data!CG86:CM86)*2+Data!CN86</f>
        <v>66.574271960207753</v>
      </c>
      <c r="CW86" s="59">
        <f>+SUM(Data!CH86:CN86)*2+Data!CO86</f>
        <v>66.252305565286449</v>
      </c>
      <c r="CX86" s="59">
        <f>+SUM(Data!CI86:CO86)*2+Data!CP86</f>
        <v>63.579538534967604</v>
      </c>
      <c r="CY86" s="59">
        <f>+SUM(Data!CJ86:CP86)*2+Data!CQ86</f>
        <v>61.228563717621853</v>
      </c>
      <c r="CZ86" s="60">
        <f t="shared" si="110"/>
        <v>2093.9503763457833</v>
      </c>
      <c r="DA86" s="60">
        <f t="shared" si="111"/>
        <v>1977.2798080242085</v>
      </c>
      <c r="DB86" s="60">
        <f t="shared" si="112"/>
        <v>1719.5179720129959</v>
      </c>
      <c r="DC86" s="60">
        <f t="shared" si="113"/>
        <v>1546.2783295718764</v>
      </c>
      <c r="DD86" s="60">
        <f t="shared" si="114"/>
        <v>1553.5655282033222</v>
      </c>
      <c r="DE86" s="60">
        <f t="shared" si="115"/>
        <v>1560.8080103243517</v>
      </c>
      <c r="DF86" s="60">
        <f t="shared" si="116"/>
        <v>1523.4881397232998</v>
      </c>
      <c r="DG86" s="60">
        <f t="shared" si="117"/>
        <v>1474.9087388377427</v>
      </c>
      <c r="DH86" s="13">
        <f t="shared" si="118"/>
        <v>0</v>
      </c>
      <c r="DI86" s="13">
        <f t="shared" si="119"/>
        <v>0</v>
      </c>
      <c r="DJ86" s="13">
        <f t="shared" si="120"/>
        <v>0</v>
      </c>
      <c r="DK86" s="13">
        <f t="shared" si="121"/>
        <v>0</v>
      </c>
      <c r="DL86" s="13">
        <f t="shared" si="122"/>
        <v>0</v>
      </c>
      <c r="DM86" s="13">
        <f t="shared" si="123"/>
        <v>0</v>
      </c>
      <c r="DN86" s="13">
        <f t="shared" si="124"/>
        <v>0</v>
      </c>
      <c r="DO86" s="13">
        <f t="shared" si="125"/>
        <v>0</v>
      </c>
      <c r="DP86" s="50">
        <f>DH86*'Useful Constants'!$B$8</f>
        <v>0</v>
      </c>
      <c r="DQ86" s="50">
        <f>DI86*'Useful Constants'!$B$8</f>
        <v>0</v>
      </c>
      <c r="DR86" s="50">
        <f>DJ86*'Useful Constants'!$B$10</f>
        <v>0</v>
      </c>
      <c r="DS86" s="50">
        <f>DK86*'Useful Constants'!$B$10</f>
        <v>0</v>
      </c>
      <c r="DT86" s="50">
        <f>DL86*'Useful Constants'!$B$10</f>
        <v>0</v>
      </c>
      <c r="DU86" s="50">
        <f>DM86*'Useful Constants'!$B$10</f>
        <v>0</v>
      </c>
      <c r="DV86" s="50">
        <f>DN86*'Useful Constants'!$B$10</f>
        <v>0</v>
      </c>
      <c r="DW86" s="50">
        <f>DO86*'Useful Constants'!$B$10</f>
        <v>0</v>
      </c>
      <c r="DX86" s="14">
        <f>DH86*'Useful Constants'!$B$9</f>
        <v>0</v>
      </c>
      <c r="DY86" s="14">
        <f>DI86*'Useful Constants'!$B$9</f>
        <v>0</v>
      </c>
      <c r="DZ86" s="14">
        <f>DJ86*'Useful Constants'!$B$11</f>
        <v>0</v>
      </c>
      <c r="EA86" s="14">
        <f>DK86*'Useful Constants'!$B$11</f>
        <v>0</v>
      </c>
      <c r="EB86" s="14">
        <f>DL86*'Useful Constants'!$B$11</f>
        <v>0</v>
      </c>
      <c r="EC86" s="14">
        <f>DM86*'Useful Constants'!$B$11</f>
        <v>0</v>
      </c>
      <c r="ED86" s="14">
        <f>DN86*'Useful Constants'!$B$11</f>
        <v>0</v>
      </c>
      <c r="EE86" s="14">
        <f>DO86*'Useful Constants'!$B$11</f>
        <v>0</v>
      </c>
      <c r="EF86" s="78">
        <f>(SUM(Data!DI86:DO86)*2+Data!DP86)/('Useful Constants'!$B$1*1000000)*$K86/100</f>
        <v>4.2033311044055957</v>
      </c>
      <c r="EG86" s="78">
        <f>(SUM(Data!DJ86:DP86)*2+Data!DQ86)/('Useful Constants'!$B$1*1000000)*$K86/100</f>
        <v>3.6058904020600342</v>
      </c>
      <c r="EH86" s="78">
        <f>(SUM(Data!DK86:DQ86)*2+Data!DR86)/('Useful Constants'!$B$1*1000000)*$K86/100</f>
        <v>3.0674347517995697</v>
      </c>
      <c r="EI86" s="78">
        <f>(SUM(Data!DL86:DR86)*2+Data!DS86)/('Useful Constants'!$B$1*1000000)*$K86/100</f>
        <v>2.615755044185514</v>
      </c>
      <c r="EJ86" s="78">
        <f>(SUM(Data!DM86:DS86)*2+Data!DT86)/('Useful Constants'!$B$1*1000000)*$K86/100</f>
        <v>2.1974882193843257</v>
      </c>
      <c r="EK86" s="78">
        <f>(SUM(Data!DN86:DT86)*2+Data!DU86)/('Useful Constants'!$B$1*1000000)*$K86/100</f>
        <v>2.006981476919393</v>
      </c>
      <c r="EL86" s="78">
        <f>(SUM(Data!DO86:DU86)*2+Data!DV86)/('Useful Constants'!$B$1*1000000)*$K86/100</f>
        <v>1.8693321784084096</v>
      </c>
      <c r="EM86" s="78">
        <f>(SUM(Data!DP86:DV86)*2+Data!DW86)/('Useful Constants'!$B$1*1000000)*$K86/100</f>
        <v>1.7532485552139385</v>
      </c>
      <c r="EN86" s="79">
        <f>EF86*'Useful Constants'!$B$3</f>
        <v>353.07981277007002</v>
      </c>
      <c r="EO86" s="79">
        <f>EG86*'Useful Constants'!$B$3</f>
        <v>302.89479377304286</v>
      </c>
      <c r="EP86" s="79">
        <f>EH86*'Useful Constants'!$B$3</f>
        <v>257.66451915116386</v>
      </c>
      <c r="EQ86" s="79">
        <f>EI86*'Useful Constants'!$B$3</f>
        <v>219.72342371158317</v>
      </c>
      <c r="ER86" s="79">
        <f>EJ86*'Useful Constants'!$B$3</f>
        <v>184.58901042828336</v>
      </c>
      <c r="ES86" s="79">
        <f>EK86*'Useful Constants'!$B$3</f>
        <v>168.586444061229</v>
      </c>
      <c r="ET86" s="79">
        <f>EL86*'Useful Constants'!$B$3</f>
        <v>157.02390298630641</v>
      </c>
      <c r="EU86" s="79">
        <f>EM86*'Useful Constants'!$B$3</f>
        <v>147.27287863797085</v>
      </c>
      <c r="EV86" s="78">
        <f>EF86*'Useful Constants'!$B$4</f>
        <v>117.69327092335668</v>
      </c>
      <c r="EW86" s="78">
        <f>EG86*'Useful Constants'!$B$4</f>
        <v>100.96493125768096</v>
      </c>
      <c r="EX86" s="78">
        <f>EH86*'Useful Constants'!$B$4</f>
        <v>85.888173050387948</v>
      </c>
      <c r="EY86" s="78">
        <f>EI86*'Useful Constants'!$B$4</f>
        <v>73.241141237194398</v>
      </c>
      <c r="EZ86" s="78">
        <f>EJ86*'Useful Constants'!$B$4</f>
        <v>61.52967014276112</v>
      </c>
      <c r="FA86" s="78">
        <f>EK86*'Useful Constants'!$B$4</f>
        <v>56.195481353743006</v>
      </c>
      <c r="FB86" s="78">
        <f>EL86*'Useful Constants'!$B$4</f>
        <v>52.341300995435468</v>
      </c>
      <c r="FC86" s="78">
        <f>EM86*'Useful Constants'!$B$4</f>
        <v>49.09095954599028</v>
      </c>
      <c r="FD86" s="40">
        <f t="shared" si="126"/>
        <v>0.42470610638909506</v>
      </c>
      <c r="FE86" s="40">
        <f t="shared" si="127"/>
        <v>0.45626817277218307</v>
      </c>
      <c r="FF86" s="40">
        <f t="shared" si="128"/>
        <v>0.52620572913098562</v>
      </c>
      <c r="FG86" s="40">
        <f t="shared" si="129"/>
        <v>0.57338736327783735</v>
      </c>
      <c r="FH86" s="40">
        <f t="shared" si="130"/>
        <v>0.57139842751540748</v>
      </c>
      <c r="FI86" s="40">
        <f t="shared" si="131"/>
        <v>0.56942772300096822</v>
      </c>
      <c r="FJ86" s="40">
        <f t="shared" si="132"/>
        <v>0.57960715408616448</v>
      </c>
      <c r="FK86" s="40">
        <f t="shared" si="133"/>
        <v>0.59285809454542093</v>
      </c>
      <c r="FL86" s="4">
        <f t="shared" si="134"/>
        <v>0.61043972743857611</v>
      </c>
      <c r="FM86" s="4">
        <f t="shared" si="135"/>
        <v>0.63672856345306394</v>
      </c>
      <c r="FN86" s="4">
        <f t="shared" si="136"/>
        <v>0.68457115562444193</v>
      </c>
      <c r="FO86" s="4">
        <f t="shared" si="137"/>
        <v>0.71800160400886293</v>
      </c>
      <c r="FP86" s="4">
        <f t="shared" si="138"/>
        <v>0.72241263590004334</v>
      </c>
      <c r="FQ86" s="4">
        <f t="shared" si="139"/>
        <v>0.72380138515330505</v>
      </c>
      <c r="FR86" s="4">
        <f t="shared" si="140"/>
        <v>0.73155126375043944</v>
      </c>
      <c r="FS86" s="4">
        <f t="shared" si="141"/>
        <v>0.74080080402095716</v>
      </c>
      <c r="FT86" s="38">
        <f t="shared" si="142"/>
        <v>0.51073813297596438</v>
      </c>
      <c r="FU86" s="38">
        <f t="shared" si="143"/>
        <v>0.53986439327910696</v>
      </c>
      <c r="FV86" s="38">
        <f t="shared" si="144"/>
        <v>0.59959164029485801</v>
      </c>
      <c r="FW86" s="38">
        <f t="shared" si="145"/>
        <v>0.64041445173429334</v>
      </c>
      <c r="FX86" s="38">
        <f t="shared" si="146"/>
        <v>0.6413851145701096</v>
      </c>
      <c r="FY86" s="38">
        <f t="shared" si="147"/>
        <v>0.64096746447140152</v>
      </c>
      <c r="FZ86" s="38">
        <f t="shared" si="148"/>
        <v>0.65002337421062006</v>
      </c>
      <c r="GA86" s="38">
        <f t="shared" si="149"/>
        <v>0.66142415918583164</v>
      </c>
    </row>
    <row r="87" spans="1:183" x14ac:dyDescent="0.25">
      <c r="A87" s="1" t="str">
        <f>Data!A87</f>
        <v>TX_LUBBOCK-IAP_722670_TY3A</v>
      </c>
      <c r="B87" s="1" t="str">
        <f>TY3A_REP_CITIES!B87</f>
        <v>Lubbock</v>
      </c>
      <c r="C87" s="1" t="str">
        <f>TY3A_REP_CITIES!C87</f>
        <v>Lubbock</v>
      </c>
      <c r="D87" s="2" t="str">
        <f>TY3A_REP_CITIES!A87</f>
        <v>TX</v>
      </c>
      <c r="E87" s="42">
        <f>TY3A_REP_CITIES!E87</f>
        <v>310569</v>
      </c>
      <c r="F87" s="2">
        <f>TY3A_REP_CITIES!G87</f>
        <v>4</v>
      </c>
      <c r="G87" s="2" t="str">
        <f>TY3A_REP_CITIES!H87</f>
        <v>Hot-Dry</v>
      </c>
      <c r="H87" s="2" t="str">
        <f>TY3A_REP_CITIES!I87</f>
        <v>Southwest</v>
      </c>
      <c r="I87" s="2">
        <f>Data!B87</f>
        <v>33.67</v>
      </c>
      <c r="J87" s="2">
        <f>Data!C87</f>
        <v>-101.82</v>
      </c>
      <c r="K87" s="2">
        <f>VLOOKUP(D87,Table1[],2,FALSE)</f>
        <v>1.7</v>
      </c>
      <c r="L87" s="2">
        <v>0.5</v>
      </c>
      <c r="M87" s="10">
        <f>Data!N87</f>
        <v>5395.8877000000002</v>
      </c>
      <c r="N87" s="10">
        <f>Data!Q87</f>
        <v>29308</v>
      </c>
      <c r="O87" s="10">
        <f>Data!O87</f>
        <v>19593590498.7388</v>
      </c>
      <c r="P87" s="10">
        <f>Data!P87</f>
        <v>20409990102.852917</v>
      </c>
      <c r="Q87" s="10">
        <f>Data!S87*15</f>
        <v>15399.622831708875</v>
      </c>
      <c r="R87" s="48">
        <f>SUM(Data!U87:AA87)*2+Data!AB87</f>
        <v>280.34033410027365</v>
      </c>
      <c r="S87" s="48">
        <f>SUM(Data!V87:AB87)*2+Data!AC87</f>
        <v>264.2538641217709</v>
      </c>
      <c r="T87" s="48">
        <f>SUM(Data!W87:AC87)*2+Data!AD87</f>
        <v>229.71702928234521</v>
      </c>
      <c r="U87" s="48">
        <f>SUM(Data!X87:AD87)*2+Data!AE87</f>
        <v>209.81222879570072</v>
      </c>
      <c r="V87" s="48">
        <f>SUM(Data!Y87:AE87)*2+Data!AF87</f>
        <v>209.32596636977215</v>
      </c>
      <c r="W87" s="48">
        <f>SUM(Data!Z87:AF87)*2+Data!AG87</f>
        <v>210.59400271396086</v>
      </c>
      <c r="X87" s="48">
        <f>SUM(Data!AA87:AG87)*2+Data!AH87</f>
        <v>204.40383085224002</v>
      </c>
      <c r="Y87" s="48">
        <f>SUM(Data!AB87:AH87)*2+Data!AI87</f>
        <v>196.51404111888041</v>
      </c>
      <c r="Z87" s="80">
        <f>(SUM(Data!CS87:CY87)*2+Data!CZ87)/('Useful Constants'!$B$1*1000000)*$K87/100</f>
        <v>0.61828574075771703</v>
      </c>
      <c r="AA87" s="80">
        <f>(SUM(Data!CT87:CZ87)*2+Data!DA87)/('Useful Constants'!$B$1*1000000)*$K87/100</f>
        <v>0.53084589528736448</v>
      </c>
      <c r="AB87" s="80">
        <f>(SUM(Data!CU87:DA87)*2+Data!DB87)/('Useful Constants'!$B$1*1000000)*$K87/100</f>
        <v>0.45282610753786834</v>
      </c>
      <c r="AC87" s="80">
        <f>(SUM(Data!CV87:DB87)*2+Data!DC87)/('Useful Constants'!$B$1*1000000)*$K87/100</f>
        <v>0.38776175229293808</v>
      </c>
      <c r="AD87" s="80">
        <f>(SUM(Data!CW87:DC87)*2+Data!DD87)/('Useful Constants'!$B$1*1000000)*$K87/100</f>
        <v>0.33247721627026072</v>
      </c>
      <c r="AE87" s="80">
        <f>(SUM(Data!CX87:DD87)*2+Data!DE87)/('Useful Constants'!$B$1*1000000)*$K87/100</f>
        <v>0.30012661775036187</v>
      </c>
      <c r="AF87" s="80">
        <f>(SUM(Data!CY87:DE87)*2+Data!DF87)/('Useful Constants'!$B$1*1000000)*$K87/100</f>
        <v>0.27812455909321127</v>
      </c>
      <c r="AG87" s="80">
        <f>(SUM(Data!CZ87:DF87)*2+Data!DG87)/('Useful Constants'!$B$1*1000000)*$K87/100</f>
        <v>0.26062846509800758</v>
      </c>
      <c r="AH87" s="48">
        <f>Z87*'Useful Constants'!$B$3</f>
        <v>51.936002223648231</v>
      </c>
      <c r="AI87" s="48">
        <f>AA87*'Useful Constants'!$B$3</f>
        <v>44.591055204138613</v>
      </c>
      <c r="AJ87" s="48">
        <f>AB87*'Useful Constants'!$B$3</f>
        <v>38.03739303318094</v>
      </c>
      <c r="AK87" s="48">
        <f>AC87*'Useful Constants'!$B$3</f>
        <v>32.571987192606798</v>
      </c>
      <c r="AL87" s="48">
        <f>AD87*'Useful Constants'!$B$3</f>
        <v>27.928086166701902</v>
      </c>
      <c r="AM87" s="48">
        <f>AE87*'Useful Constants'!$B$3</f>
        <v>25.210635891030396</v>
      </c>
      <c r="AN87" s="48">
        <f>AF87*'Useful Constants'!$B$3</f>
        <v>23.362462963829746</v>
      </c>
      <c r="AO87" s="48">
        <f>AG87*'Useful Constants'!$B$3</f>
        <v>21.892791068232636</v>
      </c>
      <c r="AP87" s="10">
        <f>Z87*'Useful Constants'!$B$4</f>
        <v>17.312000741216078</v>
      </c>
      <c r="AQ87" s="10">
        <f>AA87*'Useful Constants'!$B$4</f>
        <v>14.863685068046205</v>
      </c>
      <c r="AR87" s="10">
        <f>AB87*'Useful Constants'!$B$4</f>
        <v>12.679131011060313</v>
      </c>
      <c r="AS87" s="10">
        <f>AC87*'Useful Constants'!$B$4</f>
        <v>10.857329064202267</v>
      </c>
      <c r="AT87" s="10">
        <f>AD87*'Useful Constants'!$B$4</f>
        <v>9.3093620555673002</v>
      </c>
      <c r="AU87" s="10">
        <f>AE87*'Useful Constants'!$B$4</f>
        <v>8.4035452970101332</v>
      </c>
      <c r="AV87" s="10">
        <f>AF87*'Useful Constants'!$B$4</f>
        <v>7.7874876546099152</v>
      </c>
      <c r="AW87" s="10">
        <f>AG87*'Useful Constants'!$B$4</f>
        <v>7.2975970227442124</v>
      </c>
      <c r="AX87" s="48">
        <f>P87/1000000/'Useful Constants'!$B$1*K87/100*'Useful Constants'!$B$3*15</f>
        <v>8743.6397600621895</v>
      </c>
      <c r="AY87" s="48">
        <f>P87/1000000/'Useful Constants'!$B$1*L87/100*'Useful Constants'!$B$3*15</f>
        <v>2571.6587529594672</v>
      </c>
      <c r="AZ87" s="48">
        <f>P87/1000000/'Useful Constants'!$B$1*K87/100*'Useful Constants'!$B$4*15</f>
        <v>2914.5465866873965</v>
      </c>
      <c r="BA87" s="48">
        <f>P87/1000000/'Useful Constants'!$B$1*L87/100*'Useful Constants'!$B$4*15</f>
        <v>857.21958431982239</v>
      </c>
      <c r="BB87" s="7">
        <f>Data!AN87</f>
        <v>5395.8877000000002</v>
      </c>
      <c r="BC87" s="7">
        <f>Data!AQ87</f>
        <v>5395.8877000000002</v>
      </c>
      <c r="BD87" s="7">
        <f>Data!AT87</f>
        <v>5821.8679899999997</v>
      </c>
      <c r="BE87" s="6">
        <f>Data!AO87</f>
        <v>17773075890.665199</v>
      </c>
      <c r="BF87" s="6">
        <f>Data!AP87</f>
        <v>5806859877.8769197</v>
      </c>
      <c r="BG87" s="6">
        <f>Data!AR87</f>
        <v>915045575.01721096</v>
      </c>
      <c r="BH87" s="6">
        <f>Data!AS87</f>
        <v>915045575.01721096</v>
      </c>
      <c r="BI87" s="8">
        <f t="shared" si="100"/>
        <v>0.95103597883299618</v>
      </c>
      <c r="BJ87" s="8">
        <f t="shared" si="101"/>
        <v>0.86387110300350389</v>
      </c>
      <c r="BK87" s="13">
        <f>BB87*'Useful Constants'!$B$5/'Useful Constants'!$B$6*'Useful Constants'!$B$7</f>
        <v>1.3808076624300001</v>
      </c>
      <c r="BL87" s="52">
        <f>1-VLOOKUP($G87,'Useful Constants'!$A$17:$X$23,10,FALSE)</f>
        <v>0.10654528000000008</v>
      </c>
      <c r="BM87" s="52">
        <f>1-VLOOKUP($G87,'Useful Constants'!$A$17:$X$23,12,FALSE)</f>
        <v>8.5501519999999998E-2</v>
      </c>
      <c r="BN87" s="52">
        <f>1-VLOOKUP($G87,'Useful Constants'!$A$17:$X$23,14,FALSE)</f>
        <v>6.6471999999999865E-2</v>
      </c>
      <c r="BO87" s="52">
        <f>1-VLOOKUP($G87,'Useful Constants'!$A$17:$X$23,16,FALSE)</f>
        <v>4.945672000000001E-2</v>
      </c>
      <c r="BP87" s="52">
        <f>1-VLOOKUP($G87,'Useful Constants'!$A$17:$X$23,18,FALSE)</f>
        <v>3.4455679999999989E-2</v>
      </c>
      <c r="BQ87" s="52">
        <f>1-VLOOKUP($G87,'Useful Constants'!$A$17:$X$23,20, FALSE)</f>
        <v>2.1468880000000024E-2</v>
      </c>
      <c r="BR87" s="52">
        <f>1-VLOOKUP($G87,'Useful Constants'!$A$17:$X$23,22, FALSE)</f>
        <v>0</v>
      </c>
      <c r="BS87" s="52">
        <f>1-VLOOKUP($G87,'Useful Constants'!$A$17:$X$23,24, FALSE)</f>
        <v>0</v>
      </c>
      <c r="BT87" s="13">
        <f t="shared" si="102"/>
        <v>0.14711853901974994</v>
      </c>
      <c r="BU87" s="13">
        <f t="shared" si="103"/>
        <v>0.11806115396541189</v>
      </c>
      <c r="BV87" s="13">
        <f t="shared" si="104"/>
        <v>9.1785046937046783E-2</v>
      </c>
      <c r="BW87" s="13">
        <f t="shared" si="105"/>
        <v>6.8290217934655048E-2</v>
      </c>
      <c r="BX87" s="13">
        <f t="shared" si="106"/>
        <v>4.7576666958236091E-2</v>
      </c>
      <c r="BY87" s="13">
        <f t="shared" si="107"/>
        <v>2.9644394007790214E-2</v>
      </c>
      <c r="BZ87" s="13">
        <f t="shared" si="108"/>
        <v>0</v>
      </c>
      <c r="CA87" s="13">
        <f t="shared" si="109"/>
        <v>0</v>
      </c>
      <c r="CB87" s="59">
        <f>+SUM(Data!BM87:BS87)*2+Data!BT87</f>
        <v>1552.9996366929688</v>
      </c>
      <c r="CC87" s="59">
        <f>+SUM(Data!BN87:BT87)*2+Data!BU87</f>
        <v>1463.6168842204884</v>
      </c>
      <c r="CD87" s="59">
        <f>+SUM(Data!BO87:BU87)*2+Data!BV87</f>
        <v>1271.7485522571026</v>
      </c>
      <c r="CE87" s="59">
        <f>+SUM(Data!BP87:BV87)*2+Data!BW87</f>
        <v>1162.2609118117925</v>
      </c>
      <c r="CF87" s="59">
        <f>+SUM(Data!BQ87:BW87)*2+Data!BX87</f>
        <v>1158.9683222491983</v>
      </c>
      <c r="CG87" s="59">
        <f>+SUM(Data!BR87:BX87)*2+Data!BY87</f>
        <v>1165.8322617381145</v>
      </c>
      <c r="CH87" s="59">
        <f>+SUM(Data!BS87:BY87)*2+Data!BZ87</f>
        <v>1131.4882176419983</v>
      </c>
      <c r="CI87" s="59">
        <f>+SUM(Data!BT87:BZ87)*2+Data!CA87</f>
        <v>1087.4701607397635</v>
      </c>
      <c r="CJ87" s="13">
        <f>+SUM(Data!AW87:BC87)*2+Data!BD87</f>
        <v>7622.8093113731384</v>
      </c>
      <c r="CK87" s="13">
        <f>+SUM(Data!AX87:BD87)*2+Data!BE87</f>
        <v>7194.4812534765124</v>
      </c>
      <c r="CL87" s="13">
        <f>+SUM(Data!AY87:BE87)*2+Data!BF87</f>
        <v>6266.0429935584825</v>
      </c>
      <c r="CM87" s="13">
        <f>+SUM(Data!AZ87:BF87)*2+Data!BG87</f>
        <v>5704.7683261739248</v>
      </c>
      <c r="CN87" s="13">
        <f>+SUM(Data!BA87:BG87)*2+Data!BH87</f>
        <v>5699.1650244920247</v>
      </c>
      <c r="CO87" s="13">
        <f>+SUM(Data!BB87:BH87)*2+Data!BI87</f>
        <v>5730.9143531339132</v>
      </c>
      <c r="CP87" s="13">
        <f>+SUM(Data!BC87:BI87)*2+Data!BJ87</f>
        <v>5560.5919087020502</v>
      </c>
      <c r="CQ87" s="13">
        <f>+SUM(Data!BD87:BJ87)*2+Data!BK87</f>
        <v>5353.1273993657305</v>
      </c>
      <c r="CR87" s="59">
        <f>+SUM(Data!CC87:CI87)*2+Data!CJ87</f>
        <v>1181.9596813495893</v>
      </c>
      <c r="CS87" s="59">
        <f>+SUM(Data!CD87:CJ87)*2+Data!CK87</f>
        <v>1125.0525435963684</v>
      </c>
      <c r="CT87" s="59">
        <f>+SUM(Data!CE87:CK87)*2+Data!CL87</f>
        <v>973.08556095875645</v>
      </c>
      <c r="CU87" s="59">
        <f>+SUM(Data!CF87:CL87)*2+Data!CM87</f>
        <v>877.47360062169423</v>
      </c>
      <c r="CV87" s="59">
        <f>+SUM(Data!CG87:CM87)*2+Data!CN87</f>
        <v>873.03089295109851</v>
      </c>
      <c r="CW87" s="59">
        <f>+SUM(Data!CH87:CN87)*2+Data!CO87</f>
        <v>874.54426267374981</v>
      </c>
      <c r="CX87" s="59">
        <f>+SUM(Data!CI87:CO87)*2+Data!CP87</f>
        <v>849.14405747833985</v>
      </c>
      <c r="CY87" s="59">
        <f>+SUM(Data!CJ87:CP87)*2+Data!CQ87</f>
        <v>819.82729164233035</v>
      </c>
      <c r="CZ87" s="60">
        <f t="shared" si="110"/>
        <v>10357.768629415697</v>
      </c>
      <c r="DA87" s="60">
        <f t="shared" si="111"/>
        <v>9783.1506812933694</v>
      </c>
      <c r="DB87" s="60">
        <f t="shared" si="112"/>
        <v>8510.8771067743419</v>
      </c>
      <c r="DC87" s="60">
        <f t="shared" si="113"/>
        <v>7744.5028386074118</v>
      </c>
      <c r="DD87" s="60">
        <f t="shared" si="114"/>
        <v>7731.1642396923216</v>
      </c>
      <c r="DE87" s="60">
        <f t="shared" si="115"/>
        <v>7771.2908775457772</v>
      </c>
      <c r="DF87" s="60">
        <f t="shared" si="116"/>
        <v>7541.2241838223881</v>
      </c>
      <c r="DG87" s="60">
        <f t="shared" si="117"/>
        <v>7260.4248517478245</v>
      </c>
      <c r="DH87" s="13">
        <f t="shared" si="118"/>
        <v>0.15126324833440294</v>
      </c>
      <c r="DI87" s="13">
        <f t="shared" si="119"/>
        <v>0.12138724167536008</v>
      </c>
      <c r="DJ87" s="13">
        <f t="shared" si="120"/>
        <v>9.4370868829519297E-2</v>
      </c>
      <c r="DK87" s="13">
        <f t="shared" si="121"/>
        <v>7.0214129796881006E-2</v>
      </c>
      <c r="DL87" s="13">
        <f t="shared" si="122"/>
        <v>4.8917024577444596E-2</v>
      </c>
      <c r="DM87" s="13">
        <f t="shared" si="123"/>
        <v>3.0479553171210379E-2</v>
      </c>
      <c r="DN87" s="13">
        <f t="shared" si="124"/>
        <v>0</v>
      </c>
      <c r="DO87" s="13">
        <f t="shared" si="125"/>
        <v>0</v>
      </c>
      <c r="DP87" s="50">
        <f>DH87*'Useful Constants'!$B$8</f>
        <v>644.38143790455649</v>
      </c>
      <c r="DQ87" s="50">
        <f>DI87*'Useful Constants'!$B$8</f>
        <v>517.10964953703399</v>
      </c>
      <c r="DR87" s="50">
        <f>DJ87*'Useful Constants'!$B$10</f>
        <v>229.3212112557319</v>
      </c>
      <c r="DS87" s="50">
        <f>DK87*'Useful Constants'!$B$10</f>
        <v>170.62033540642085</v>
      </c>
      <c r="DT87" s="50">
        <f>DL87*'Useful Constants'!$B$10</f>
        <v>118.86836972319037</v>
      </c>
      <c r="DU87" s="50">
        <f>DM87*'Useful Constants'!$B$10</f>
        <v>74.065314206041222</v>
      </c>
      <c r="DV87" s="50">
        <f>DN87*'Useful Constants'!$B$10</f>
        <v>0</v>
      </c>
      <c r="DW87" s="50">
        <f>DO87*'Useful Constants'!$B$10</f>
        <v>0</v>
      </c>
      <c r="DX87" s="14">
        <f>DH87*'Useful Constants'!$B$9</f>
        <v>291.03048979539125</v>
      </c>
      <c r="DY87" s="14">
        <f>DI87*'Useful Constants'!$B$9</f>
        <v>233.54905298339278</v>
      </c>
      <c r="DZ87" s="14">
        <f>DJ87*'Useful Constants'!$B$11</f>
        <v>63.889078197584567</v>
      </c>
      <c r="EA87" s="14">
        <f>DK87*'Useful Constants'!$B$11</f>
        <v>47.534965872488442</v>
      </c>
      <c r="EB87" s="14">
        <f>DL87*'Useful Constants'!$B$11</f>
        <v>33.116825638929988</v>
      </c>
      <c r="EC87" s="14">
        <f>DM87*'Useful Constants'!$B$11</f>
        <v>20.634657496909426</v>
      </c>
      <c r="ED87" s="14">
        <f>DN87*'Useful Constants'!$B$11</f>
        <v>0</v>
      </c>
      <c r="EE87" s="14">
        <f>DO87*'Useful Constants'!$B$11</f>
        <v>0</v>
      </c>
      <c r="EF87" s="78">
        <f>(SUM(Data!DI87:DO87)*2+Data!DP87)/('Useful Constants'!$B$1*1000000)*$K87/100</f>
        <v>22.677805338194574</v>
      </c>
      <c r="EG87" s="78">
        <f>(SUM(Data!DJ87:DP87)*2+Data!DQ87)/('Useful Constants'!$B$1*1000000)*$K87/100</f>
        <v>19.521626029911175</v>
      </c>
      <c r="EH87" s="78">
        <f>(SUM(Data!DK87:DQ87)*2+Data!DR87)/('Useful Constants'!$B$1*1000000)*$K87/100</f>
        <v>16.704171555359679</v>
      </c>
      <c r="EI87" s="78">
        <f>(SUM(Data!DL87:DR87)*2+Data!DS87)/('Useful Constants'!$B$1*1000000)*$K87/100</f>
        <v>14.334736701507509</v>
      </c>
      <c r="EJ87" s="78">
        <f>(SUM(Data!DM87:DS87)*2+Data!DT87)/('Useful Constants'!$B$1*1000000)*$K87/100</f>
        <v>12.292854174992522</v>
      </c>
      <c r="EK87" s="78">
        <f>(SUM(Data!DN87:DT87)*2+Data!DU87)/('Useful Constants'!$B$1*1000000)*$K87/100</f>
        <v>11.085049421590385</v>
      </c>
      <c r="EL87" s="78">
        <f>(SUM(Data!DO87:DU87)*2+Data!DV87)/('Useful Constants'!$B$1*1000000)*$K87/100</f>
        <v>10.24542953203442</v>
      </c>
      <c r="EM87" s="78">
        <f>(SUM(Data!DP87:DV87)*2+Data!DW87)/('Useful Constants'!$B$1*1000000)*$K87/100</f>
        <v>9.5908950937062141</v>
      </c>
      <c r="EN87" s="79">
        <f>EF87*'Useful Constants'!$B$3</f>
        <v>1904.9356484083442</v>
      </c>
      <c r="EO87" s="79">
        <f>EG87*'Useful Constants'!$B$3</f>
        <v>1639.8165865125388</v>
      </c>
      <c r="EP87" s="79">
        <f>EH87*'Useful Constants'!$B$3</f>
        <v>1403.150410650213</v>
      </c>
      <c r="EQ87" s="79">
        <f>EI87*'Useful Constants'!$B$3</f>
        <v>1204.1178829266307</v>
      </c>
      <c r="ER87" s="79">
        <f>EJ87*'Useful Constants'!$B$3</f>
        <v>1032.599750699372</v>
      </c>
      <c r="ES87" s="79">
        <f>EK87*'Useful Constants'!$B$3</f>
        <v>931.14415141359234</v>
      </c>
      <c r="ET87" s="79">
        <f>EL87*'Useful Constants'!$B$3</f>
        <v>860.61608069089129</v>
      </c>
      <c r="EU87" s="79">
        <f>EM87*'Useful Constants'!$B$3</f>
        <v>805.63518787132193</v>
      </c>
      <c r="EV87" s="78">
        <f>EF87*'Useful Constants'!$B$4</f>
        <v>634.97854946944813</v>
      </c>
      <c r="EW87" s="78">
        <f>EG87*'Useful Constants'!$B$4</f>
        <v>546.60552883751291</v>
      </c>
      <c r="EX87" s="78">
        <f>EH87*'Useful Constants'!$B$4</f>
        <v>467.71680355007101</v>
      </c>
      <c r="EY87" s="78">
        <f>EI87*'Useful Constants'!$B$4</f>
        <v>401.37262764221026</v>
      </c>
      <c r="EZ87" s="78">
        <f>EJ87*'Useful Constants'!$B$4</f>
        <v>344.19991689979059</v>
      </c>
      <c r="FA87" s="78">
        <f>EK87*'Useful Constants'!$B$4</f>
        <v>310.3813838045308</v>
      </c>
      <c r="FB87" s="78">
        <f>EL87*'Useful Constants'!$B$4</f>
        <v>286.87202689696375</v>
      </c>
      <c r="FC87" s="78">
        <f>EM87*'Useful Constants'!$B$4</f>
        <v>268.54506262377402</v>
      </c>
      <c r="FD87" s="40">
        <f t="shared" si="126"/>
        <v>0.33942646931714304</v>
      </c>
      <c r="FE87" s="40">
        <f t="shared" si="127"/>
        <v>0.37543234850045692</v>
      </c>
      <c r="FF87" s="40">
        <f t="shared" si="128"/>
        <v>0.45545511310964748</v>
      </c>
      <c r="FG87" s="40">
        <f t="shared" si="129"/>
        <v>0.50385758302023587</v>
      </c>
      <c r="FH87" s="40">
        <f t="shared" si="130"/>
        <v>0.50469667498403392</v>
      </c>
      <c r="FI87" s="40">
        <f t="shared" si="131"/>
        <v>0.50216637219228555</v>
      </c>
      <c r="FJ87" s="40">
        <f t="shared" si="132"/>
        <v>0.51671293910845995</v>
      </c>
      <c r="FK87" s="40">
        <f t="shared" si="133"/>
        <v>0.53447286908611058</v>
      </c>
      <c r="FL87" s="4">
        <f t="shared" si="134"/>
        <v>0.52279397415098849</v>
      </c>
      <c r="FM87" s="4">
        <f t="shared" si="135"/>
        <v>0.55816384730857793</v>
      </c>
      <c r="FN87" s="4">
        <f t="shared" si="136"/>
        <v>0.62407921229708585</v>
      </c>
      <c r="FO87" s="4">
        <f t="shared" si="137"/>
        <v>0.66171541008057289</v>
      </c>
      <c r="FP87" s="4">
        <f t="shared" si="138"/>
        <v>0.67042985476357519</v>
      </c>
      <c r="FQ87" s="4">
        <f t="shared" si="139"/>
        <v>0.6743501325866994</v>
      </c>
      <c r="FR87" s="4">
        <f t="shared" si="140"/>
        <v>0.68815879183141093</v>
      </c>
      <c r="FS87" s="4">
        <f t="shared" si="141"/>
        <v>0.70051751545017349</v>
      </c>
      <c r="FT87" s="38">
        <f t="shared" si="142"/>
        <v>0.42042458726958032</v>
      </c>
      <c r="FU87" s="38">
        <f t="shared" si="143"/>
        <v>0.45691361636650007</v>
      </c>
      <c r="FV87" s="38">
        <f t="shared" si="144"/>
        <v>0.53422359871627201</v>
      </c>
      <c r="FW87" s="38">
        <f t="shared" si="145"/>
        <v>0.57748629901627413</v>
      </c>
      <c r="FX87" s="38">
        <f t="shared" si="146"/>
        <v>0.5818220315892858</v>
      </c>
      <c r="FY87" s="38">
        <f t="shared" si="147"/>
        <v>0.58214825178183915</v>
      </c>
      <c r="FZ87" s="38">
        <f t="shared" si="148"/>
        <v>0.59614807579441731</v>
      </c>
      <c r="GA87" s="38">
        <f t="shared" si="149"/>
        <v>0.61141202850334453</v>
      </c>
    </row>
    <row r="88" spans="1:183" x14ac:dyDescent="0.25">
      <c r="A88" s="1" t="str">
        <f>Data!A88</f>
        <v>UT_SALT-LAKE-CITY-IAP_725720_TY3A</v>
      </c>
      <c r="B88" s="1" t="str">
        <f>TY3A_REP_CITIES!B88</f>
        <v>Salt-Lake-City</v>
      </c>
      <c r="C88" s="1" t="str">
        <f>TY3A_REP_CITIES!C88</f>
        <v>Salt Lake</v>
      </c>
      <c r="D88" s="2" t="str">
        <f>TY3A_REP_CITIES!A88</f>
        <v>UT</v>
      </c>
      <c r="E88" s="42">
        <f>TY3A_REP_CITIES!E88</f>
        <v>1160437</v>
      </c>
      <c r="F88" s="2">
        <f>TY3A_REP_CITIES!G88</f>
        <v>5</v>
      </c>
      <c r="G88" s="2" t="str">
        <f>TY3A_REP_CITIES!H88</f>
        <v>Cold</v>
      </c>
      <c r="H88" s="2" t="str">
        <f>TY3A_REP_CITIES!I88</f>
        <v>Rocky Mountains</v>
      </c>
      <c r="I88" s="2">
        <f>Data!B88</f>
        <v>40.770000000000003</v>
      </c>
      <c r="J88" s="2">
        <f>Data!C88</f>
        <v>-111.97</v>
      </c>
      <c r="K88" s="2">
        <f>VLOOKUP(D88,Table1[],2,FALSE)</f>
        <v>1.5</v>
      </c>
      <c r="L88" s="2">
        <v>0.5</v>
      </c>
      <c r="M88" s="10">
        <f>Data!N88</f>
        <v>4980.9839499999998</v>
      </c>
      <c r="N88" s="10">
        <f>Data!Q88</f>
        <v>29308</v>
      </c>
      <c r="O88" s="10">
        <f>Data!O88</f>
        <v>33045726811.945599</v>
      </c>
      <c r="P88" s="10">
        <f>Data!P88</f>
        <v>34422632095.776665</v>
      </c>
      <c r="Q88" s="10">
        <f>Data!S88*15</f>
        <v>25972.357089753878</v>
      </c>
      <c r="R88" s="48">
        <f>SUM(Data!U88:AA88)*2+Data!AB88</f>
        <v>572.11050325940005</v>
      </c>
      <c r="S88" s="48">
        <f>SUM(Data!V88:AB88)*2+Data!AC88</f>
        <v>607.58353137374399</v>
      </c>
      <c r="T88" s="48">
        <f>SUM(Data!W88:AC88)*2+Data!AD88</f>
        <v>553.18078394785084</v>
      </c>
      <c r="U88" s="48">
        <f>SUM(Data!X88:AD88)*2+Data!AE88</f>
        <v>558.56531628924165</v>
      </c>
      <c r="V88" s="48">
        <f>SUM(Data!Y88:AE88)*2+Data!AF88</f>
        <v>550.0574751843742</v>
      </c>
      <c r="W88" s="48">
        <f>SUM(Data!Z88:AF88)*2+Data!AG88</f>
        <v>493.56116789593761</v>
      </c>
      <c r="X88" s="48">
        <f>SUM(Data!AA88:AG88)*2+Data!AH88</f>
        <v>425.20221959770686</v>
      </c>
      <c r="Y88" s="48">
        <f>SUM(Data!AB88:AH88)*2+Data!AI88</f>
        <v>357.56819321217199</v>
      </c>
      <c r="Z88" s="80">
        <f>(SUM(Data!CS88:CY88)*2+Data!CZ88)/('Useful Constants'!$B$1*1000000)*$K88/100</f>
        <v>0.50373538598012579</v>
      </c>
      <c r="AA88" s="80">
        <f>(SUM(Data!CT88:CZ88)*2+Data!DA88)/('Useful Constants'!$B$1*1000000)*$K88/100</f>
        <v>0.46451380018772503</v>
      </c>
      <c r="AB88" s="80">
        <f>(SUM(Data!CU88:DA88)*2+Data!DB88)/('Useful Constants'!$B$1*1000000)*$K88/100</f>
        <v>0.41373208206168244</v>
      </c>
      <c r="AC88" s="80">
        <f>(SUM(Data!CV88:DB88)*2+Data!DC88)/('Useful Constants'!$B$1*1000000)*$K88/100</f>
        <v>0.36560574797382422</v>
      </c>
      <c r="AD88" s="80">
        <f>(SUM(Data!CW88:DC88)*2+Data!DD88)/('Useful Constants'!$B$1*1000000)*$K88/100</f>
        <v>0.32783746691447246</v>
      </c>
      <c r="AE88" s="80">
        <f>(SUM(Data!CX88:DD88)*2+Data!DE88)/('Useful Constants'!$B$1*1000000)*$K88/100</f>
        <v>0.30221131121683437</v>
      </c>
      <c r="AF88" s="80">
        <f>(SUM(Data!CY88:DE88)*2+Data!DF88)/('Useful Constants'!$B$1*1000000)*$K88/100</f>
        <v>0.27937541013259048</v>
      </c>
      <c r="AG88" s="80">
        <f>(SUM(Data!CZ88:DF88)*2+Data!DG88)/('Useful Constants'!$B$1*1000000)*$K88/100</f>
        <v>0.2442700953953198</v>
      </c>
      <c r="AH88" s="48">
        <f>Z88*'Useful Constants'!$B$3</f>
        <v>42.313772422330565</v>
      </c>
      <c r="AI88" s="48">
        <f>AA88*'Useful Constants'!$B$3</f>
        <v>39.019159215768902</v>
      </c>
      <c r="AJ88" s="48">
        <f>AB88*'Useful Constants'!$B$3</f>
        <v>34.753494893181326</v>
      </c>
      <c r="AK88" s="48">
        <f>AC88*'Useful Constants'!$B$3</f>
        <v>30.710882829801236</v>
      </c>
      <c r="AL88" s="48">
        <f>AD88*'Useful Constants'!$B$3</f>
        <v>27.538347220815687</v>
      </c>
      <c r="AM88" s="48">
        <f>AE88*'Useful Constants'!$B$3</f>
        <v>25.385750142214086</v>
      </c>
      <c r="AN88" s="48">
        <f>AF88*'Useful Constants'!$B$3</f>
        <v>23.467534451137603</v>
      </c>
      <c r="AO88" s="48">
        <f>AG88*'Useful Constants'!$B$3</f>
        <v>20.518688013206862</v>
      </c>
      <c r="AP88" s="10">
        <f>Z88*'Useful Constants'!$B$4</f>
        <v>14.104590807443522</v>
      </c>
      <c r="AQ88" s="10">
        <f>AA88*'Useful Constants'!$B$4</f>
        <v>13.006386405256301</v>
      </c>
      <c r="AR88" s="10">
        <f>AB88*'Useful Constants'!$B$4</f>
        <v>11.584498297727109</v>
      </c>
      <c r="AS88" s="10">
        <f>AC88*'Useful Constants'!$B$4</f>
        <v>10.236960943267079</v>
      </c>
      <c r="AT88" s="10">
        <f>AD88*'Useful Constants'!$B$4</f>
        <v>9.1794490736052285</v>
      </c>
      <c r="AU88" s="10">
        <f>AE88*'Useful Constants'!$B$4</f>
        <v>8.4619167140713625</v>
      </c>
      <c r="AV88" s="10">
        <f>AF88*'Useful Constants'!$B$4</f>
        <v>7.8225114837125336</v>
      </c>
      <c r="AW88" s="10">
        <f>AG88*'Useful Constants'!$B$4</f>
        <v>6.8395626710689541</v>
      </c>
      <c r="AX88" s="48">
        <f>P88/1000000/'Useful Constants'!$B$1*K88/100*'Useful Constants'!$B$3*15</f>
        <v>13011.754932203581</v>
      </c>
      <c r="AY88" s="48">
        <f>P88/1000000/'Useful Constants'!$B$1*L88/100*'Useful Constants'!$B$3*15</f>
        <v>4337.2516440678601</v>
      </c>
      <c r="AZ88" s="48">
        <f>P88/1000000/'Useful Constants'!$B$1*K88/100*'Useful Constants'!$B$4*15</f>
        <v>4337.2516440678601</v>
      </c>
      <c r="BA88" s="48">
        <f>P88/1000000/'Useful Constants'!$B$1*L88/100*'Useful Constants'!$B$4*15</f>
        <v>1445.7505480226198</v>
      </c>
      <c r="BB88" s="7">
        <f>Data!AN88</f>
        <v>4980.9839499999998</v>
      </c>
      <c r="BC88" s="7">
        <f>Data!AQ88</f>
        <v>4980.9839499999998</v>
      </c>
      <c r="BD88" s="7">
        <f>Data!AT88</f>
        <v>6739.2362599999997</v>
      </c>
      <c r="BE88" s="6">
        <f>Data!AO88</f>
        <v>30032337412.0574</v>
      </c>
      <c r="BF88" s="6">
        <f>Data!AP88</f>
        <v>9840766461.2464905</v>
      </c>
      <c r="BG88" s="6">
        <f>Data!AR88</f>
        <v>1297942946.60941</v>
      </c>
      <c r="BH88" s="6">
        <f>Data!AS88</f>
        <v>1297942946.60941</v>
      </c>
      <c r="BI88" s="8">
        <f t="shared" si="100"/>
        <v>0.95857225241042687</v>
      </c>
      <c r="BJ88" s="8">
        <f t="shared" si="101"/>
        <v>0.88347456612038044</v>
      </c>
      <c r="BK88" s="13">
        <f>BB88*'Useful Constants'!$B$5/'Useful Constants'!$B$6*'Useful Constants'!$B$7</f>
        <v>1.274633792805</v>
      </c>
      <c r="BL88" s="52">
        <f>1-VLOOKUP($G88,'Useful Constants'!$A$17:$X$23,10,FALSE)</f>
        <v>6.6471999999999865E-2</v>
      </c>
      <c r="BM88" s="52">
        <f>1-VLOOKUP($G88,'Useful Constants'!$A$17:$X$23,12,FALSE)</f>
        <v>4.945672000000001E-2</v>
      </c>
      <c r="BN88" s="52">
        <f>1-VLOOKUP($G88,'Useful Constants'!$A$17:$X$23,14,FALSE)</f>
        <v>3.4455679999999989E-2</v>
      </c>
      <c r="BO88" s="52">
        <f>1-VLOOKUP($G88,'Useful Constants'!$A$17:$X$23,16,FALSE)</f>
        <v>2.1468880000000024E-2</v>
      </c>
      <c r="BP88" s="52">
        <f>1-VLOOKUP($G88,'Useful Constants'!$A$17:$X$23,18,FALSE)</f>
        <v>0</v>
      </c>
      <c r="BQ88" s="52">
        <f>1-VLOOKUP($G88,'Useful Constants'!$A$17:$X$23,20, FALSE)</f>
        <v>0</v>
      </c>
      <c r="BR88" s="52">
        <f>1-VLOOKUP($G88,'Useful Constants'!$A$17:$X$23,22, FALSE)</f>
        <v>0</v>
      </c>
      <c r="BS88" s="52">
        <f>1-VLOOKUP($G88,'Useful Constants'!$A$17:$X$23,24, FALSE)</f>
        <v>0</v>
      </c>
      <c r="BT88" s="13">
        <f t="shared" si="102"/>
        <v>8.4727457475333792E-2</v>
      </c>
      <c r="BU88" s="13">
        <f t="shared" si="103"/>
        <v>6.3039206593294914E-2</v>
      </c>
      <c r="BV88" s="13">
        <f t="shared" si="104"/>
        <v>4.391837408207537E-2</v>
      </c>
      <c r="BW88" s="13">
        <f t="shared" si="105"/>
        <v>2.7364959941675437E-2</v>
      </c>
      <c r="BX88" s="13">
        <f t="shared" si="106"/>
        <v>0</v>
      </c>
      <c r="BY88" s="13">
        <f t="shared" si="107"/>
        <v>0</v>
      </c>
      <c r="BZ88" s="13">
        <f t="shared" si="108"/>
        <v>0</v>
      </c>
      <c r="CA88" s="13">
        <f t="shared" si="109"/>
        <v>0</v>
      </c>
      <c r="CB88" s="59">
        <f>+SUM(Data!BM88:BS88)*2+Data!BT88</f>
        <v>3506.3107029321445</v>
      </c>
      <c r="CC88" s="59">
        <f>+SUM(Data!BN88:BT88)*2+Data!BU88</f>
        <v>3723.4545340696568</v>
      </c>
      <c r="CD88" s="59">
        <f>+SUM(Data!BO88:BU88)*2+Data!BV88</f>
        <v>3391.0246242764647</v>
      </c>
      <c r="CE88" s="59">
        <f>+SUM(Data!BP88:BV88)*2+Data!BW88</f>
        <v>3423.4686522994502</v>
      </c>
      <c r="CF88" s="59">
        <f>+SUM(Data!BQ88:BW88)*2+Data!BX88</f>
        <v>3373.2033041953773</v>
      </c>
      <c r="CG88" s="59">
        <f>+SUM(Data!BR88:BX88)*2+Data!BY88</f>
        <v>3028.4785229949166</v>
      </c>
      <c r="CH88" s="59">
        <f>+SUM(Data!BS88:BY88)*2+Data!BZ88</f>
        <v>2609.8466336871193</v>
      </c>
      <c r="CI88" s="59">
        <f>+SUM(Data!BT88:BZ88)*2+Data!CA88</f>
        <v>2194.8172858857934</v>
      </c>
      <c r="CJ88" s="13">
        <f>+SUM(Data!AW88:BC88)*2+Data!BD88</f>
        <v>15760.114343703039</v>
      </c>
      <c r="CK88" s="13">
        <f>+SUM(Data!AX88:BD88)*2+Data!BE88</f>
        <v>16777.473265709439</v>
      </c>
      <c r="CL88" s="13">
        <f>+SUM(Data!AY88:BE88)*2+Data!BF88</f>
        <v>15307.153851754243</v>
      </c>
      <c r="CM88" s="13">
        <f>+SUM(Data!AZ88:BF88)*2+Data!BG88</f>
        <v>15468.517599600482</v>
      </c>
      <c r="CN88" s="13">
        <f>+SUM(Data!BA88:BG88)*2+Data!BH88</f>
        <v>15241.535175182158</v>
      </c>
      <c r="CO88" s="13">
        <f>+SUM(Data!BB88:BH88)*2+Data!BI88</f>
        <v>13669.955751209978</v>
      </c>
      <c r="CP88" s="13">
        <f>+SUM(Data!BC88:BI88)*2+Data!BJ88</f>
        <v>11800.807990962956</v>
      </c>
      <c r="CQ88" s="13">
        <f>+SUM(Data!BD88:BJ88)*2+Data!BK88</f>
        <v>9931.7174040754999</v>
      </c>
      <c r="CR88" s="59">
        <f>+SUM(Data!CC88:CI88)*2+Data!CJ88</f>
        <v>2128.5295243467754</v>
      </c>
      <c r="CS88" s="59">
        <f>+SUM(Data!CD88:CJ88)*2+Data!CK88</f>
        <v>2302.8325866816317</v>
      </c>
      <c r="CT88" s="59">
        <f>+SUM(Data!CE88:CK88)*2+Data!CL88</f>
        <v>2125.7979720196417</v>
      </c>
      <c r="CU88" s="59">
        <f>+SUM(Data!CF88:CL88)*2+Data!CM88</f>
        <v>2161.0483101998338</v>
      </c>
      <c r="CV88" s="59">
        <f>+SUM(Data!CG88:CM88)*2+Data!CN88</f>
        <v>2133.9937931167192</v>
      </c>
      <c r="CW88" s="59">
        <f>+SUM(Data!CH88:CN88)*2+Data!CO88</f>
        <v>1919.6324537320088</v>
      </c>
      <c r="CX88" s="59">
        <f>+SUM(Data!CI88:CO88)*2+Data!CP88</f>
        <v>1677.6987357283328</v>
      </c>
      <c r="CY88" s="59">
        <f>+SUM(Data!CJ88:CP88)*2+Data!CQ88</f>
        <v>1412.1918788065016</v>
      </c>
      <c r="CZ88" s="60">
        <f t="shared" si="110"/>
        <v>21394.954570981958</v>
      </c>
      <c r="DA88" s="60">
        <f t="shared" si="111"/>
        <v>22803.760386460726</v>
      </c>
      <c r="DB88" s="60">
        <f t="shared" si="112"/>
        <v>20823.976448050351</v>
      </c>
      <c r="DC88" s="60">
        <f t="shared" si="113"/>
        <v>21053.034562099765</v>
      </c>
      <c r="DD88" s="60">
        <f t="shared" si="114"/>
        <v>20748.732272494253</v>
      </c>
      <c r="DE88" s="60">
        <f t="shared" si="115"/>
        <v>18618.066727936901</v>
      </c>
      <c r="DF88" s="60">
        <f t="shared" si="116"/>
        <v>16088.353360378407</v>
      </c>
      <c r="DG88" s="60">
        <f t="shared" si="117"/>
        <v>13538.726568767794</v>
      </c>
      <c r="DH88" s="13">
        <f t="shared" si="118"/>
        <v>8.7114448839880565E-2</v>
      </c>
      <c r="DI88" s="13">
        <f t="shared" si="119"/>
        <v>6.4815183900413825E-2</v>
      </c>
      <c r="DJ88" s="13">
        <f t="shared" si="120"/>
        <v>4.5155668140018375E-2</v>
      </c>
      <c r="DK88" s="13">
        <f t="shared" si="121"/>
        <v>2.8135901558694502E-2</v>
      </c>
      <c r="DL88" s="13">
        <f t="shared" si="122"/>
        <v>0</v>
      </c>
      <c r="DM88" s="13">
        <f t="shared" si="123"/>
        <v>0</v>
      </c>
      <c r="DN88" s="13">
        <f t="shared" si="124"/>
        <v>0</v>
      </c>
      <c r="DO88" s="13">
        <f t="shared" si="125"/>
        <v>0</v>
      </c>
      <c r="DP88" s="50">
        <f>DH88*'Useful Constants'!$B$8</f>
        <v>371.10755205789121</v>
      </c>
      <c r="DQ88" s="50">
        <f>DI88*'Useful Constants'!$B$8</f>
        <v>276.11268341576289</v>
      </c>
      <c r="DR88" s="50">
        <f>DJ88*'Useful Constants'!$B$10</f>
        <v>109.72827358024465</v>
      </c>
      <c r="DS88" s="50">
        <f>DK88*'Useful Constants'!$B$10</f>
        <v>68.370240787627637</v>
      </c>
      <c r="DT88" s="50">
        <f>DL88*'Useful Constants'!$B$10</f>
        <v>0</v>
      </c>
      <c r="DU88" s="50">
        <f>DM88*'Useful Constants'!$B$10</f>
        <v>0</v>
      </c>
      <c r="DV88" s="50">
        <f>DN88*'Useful Constants'!$B$10</f>
        <v>0</v>
      </c>
      <c r="DW88" s="50">
        <f>DO88*'Useful Constants'!$B$10</f>
        <v>0</v>
      </c>
      <c r="DX88" s="14">
        <f>DH88*'Useful Constants'!$B$9</f>
        <v>167.6081995679302</v>
      </c>
      <c r="DY88" s="14">
        <f>DI88*'Useful Constants'!$B$9</f>
        <v>124.7044138243962</v>
      </c>
      <c r="DZ88" s="14">
        <f>DJ88*'Useful Constants'!$B$11</f>
        <v>30.570387330792439</v>
      </c>
      <c r="EA88" s="14">
        <f>DK88*'Useful Constants'!$B$11</f>
        <v>19.048005355236178</v>
      </c>
      <c r="EB88" s="14">
        <f>DL88*'Useful Constants'!$B$11</f>
        <v>0</v>
      </c>
      <c r="EC88" s="14">
        <f>DM88*'Useful Constants'!$B$11</f>
        <v>0</v>
      </c>
      <c r="ED88" s="14">
        <f>DN88*'Useful Constants'!$B$11</f>
        <v>0</v>
      </c>
      <c r="EE88" s="14">
        <f>DO88*'Useful Constants'!$B$11</f>
        <v>0</v>
      </c>
      <c r="EF88" s="78">
        <f>(SUM(Data!DI88:DO88)*2+Data!DP88)/('Useful Constants'!$B$1*1000000)*$K88/100</f>
        <v>19.47233053875194</v>
      </c>
      <c r="EG88" s="78">
        <f>(SUM(Data!DJ88:DP88)*2+Data!DQ88)/('Useful Constants'!$B$1*1000000)*$K88/100</f>
        <v>18.078669253554008</v>
      </c>
      <c r="EH88" s="78">
        <f>(SUM(Data!DK88:DQ88)*2+Data!DR88)/('Useful Constants'!$B$1*1000000)*$K88/100</f>
        <v>16.232085382305613</v>
      </c>
      <c r="EI88" s="78">
        <f>(SUM(Data!DL88:DR88)*2+Data!DS88)/('Useful Constants'!$B$1*1000000)*$K88/100</f>
        <v>14.43062864022345</v>
      </c>
      <c r="EJ88" s="78">
        <f>(SUM(Data!DM88:DS88)*2+Data!DT88)/('Useful Constants'!$B$1*1000000)*$K88/100</f>
        <v>12.996236570806737</v>
      </c>
      <c r="EK88" s="78">
        <f>(SUM(Data!DN88:DT88)*2+Data!DU88)/('Useful Constants'!$B$1*1000000)*$K88/100</f>
        <v>12.000332536707496</v>
      </c>
      <c r="EL88" s="78">
        <f>(SUM(Data!DO88:DU88)*2+Data!DV88)/('Useful Constants'!$B$1*1000000)*$K88/100</f>
        <v>11.128940057185323</v>
      </c>
      <c r="EM88" s="78">
        <f>(SUM(Data!DP88:DV88)*2+Data!DW88)/('Useful Constants'!$B$1*1000000)*$K88/100</f>
        <v>9.7613482526106221</v>
      </c>
      <c r="EN88" s="79">
        <f>EF88*'Useful Constants'!$B$3</f>
        <v>1635.675765255163</v>
      </c>
      <c r="EO88" s="79">
        <f>EG88*'Useful Constants'!$B$3</f>
        <v>1518.6082172985366</v>
      </c>
      <c r="EP88" s="79">
        <f>EH88*'Useful Constants'!$B$3</f>
        <v>1363.4951721136715</v>
      </c>
      <c r="EQ88" s="79">
        <f>EI88*'Useful Constants'!$B$3</f>
        <v>1212.1728057787698</v>
      </c>
      <c r="ER88" s="79">
        <f>EJ88*'Useful Constants'!$B$3</f>
        <v>1091.683871947766</v>
      </c>
      <c r="ES88" s="79">
        <f>EK88*'Useful Constants'!$B$3</f>
        <v>1008.0279330834297</v>
      </c>
      <c r="ET88" s="79">
        <f>EL88*'Useful Constants'!$B$3</f>
        <v>934.8309648035671</v>
      </c>
      <c r="EU88" s="79">
        <f>EM88*'Useful Constants'!$B$3</f>
        <v>819.95325321929226</v>
      </c>
      <c r="EV88" s="78">
        <f>EF88*'Useful Constants'!$B$4</f>
        <v>545.2252550850543</v>
      </c>
      <c r="EW88" s="78">
        <f>EG88*'Useful Constants'!$B$4</f>
        <v>506.2027390995122</v>
      </c>
      <c r="EX88" s="78">
        <f>EH88*'Useful Constants'!$B$4</f>
        <v>454.49839070455715</v>
      </c>
      <c r="EY88" s="78">
        <f>EI88*'Useful Constants'!$B$4</f>
        <v>404.05760192625661</v>
      </c>
      <c r="EZ88" s="78">
        <f>EJ88*'Useful Constants'!$B$4</f>
        <v>363.89462398258866</v>
      </c>
      <c r="FA88" s="78">
        <f>EK88*'Useful Constants'!$B$4</f>
        <v>336.00931102780987</v>
      </c>
      <c r="FB88" s="78">
        <f>EL88*'Useful Constants'!$B$4</f>
        <v>311.61032160118907</v>
      </c>
      <c r="FC88" s="78">
        <f>EM88*'Useful Constants'!$B$4</f>
        <v>273.31775107309744</v>
      </c>
      <c r="FD88" s="40">
        <f t="shared" si="126"/>
        <v>0.19399571696012141</v>
      </c>
      <c r="FE88" s="40">
        <f t="shared" si="127"/>
        <v>0.14206879874160891</v>
      </c>
      <c r="FF88" s="40">
        <f t="shared" si="128"/>
        <v>0.2149461192002477</v>
      </c>
      <c r="FG88" s="40">
        <f t="shared" si="129"/>
        <v>0.20647182031996067</v>
      </c>
      <c r="FH88" s="40">
        <f t="shared" si="130"/>
        <v>0.21769067361146727</v>
      </c>
      <c r="FI88" s="40">
        <f t="shared" si="131"/>
        <v>0.29652670477226079</v>
      </c>
      <c r="FJ88" s="40">
        <f t="shared" si="132"/>
        <v>0.39053633058117782</v>
      </c>
      <c r="FK88" s="40">
        <f t="shared" si="133"/>
        <v>0.48580459597708875</v>
      </c>
      <c r="FL88" s="4">
        <f t="shared" si="134"/>
        <v>0.46736501188179708</v>
      </c>
      <c r="FM88" s="4">
        <f t="shared" si="135"/>
        <v>0.44053629663783012</v>
      </c>
      <c r="FN88" s="4">
        <f t="shared" si="136"/>
        <v>0.49219867004612078</v>
      </c>
      <c r="FO88" s="4">
        <f t="shared" si="137"/>
        <v>0.49138573982853218</v>
      </c>
      <c r="FP88" s="4">
        <f t="shared" si="138"/>
        <v>0.50248442334497645</v>
      </c>
      <c r="FQ88" s="4">
        <f t="shared" si="139"/>
        <v>0.55232765462764133</v>
      </c>
      <c r="FR88" s="4">
        <f t="shared" si="140"/>
        <v>0.6110767345821887</v>
      </c>
      <c r="FS88" s="4">
        <f t="shared" si="141"/>
        <v>0.67142195972323404</v>
      </c>
      <c r="FT88" s="38">
        <f t="shared" si="142"/>
        <v>0.31642820573072145</v>
      </c>
      <c r="FU88" s="38">
        <f t="shared" si="143"/>
        <v>0.27617048708313213</v>
      </c>
      <c r="FV88" s="38">
        <f t="shared" si="144"/>
        <v>0.34068802291184119</v>
      </c>
      <c r="FW88" s="38">
        <f t="shared" si="145"/>
        <v>0.33560101380725238</v>
      </c>
      <c r="FX88" s="38">
        <f t="shared" si="146"/>
        <v>0.34665354436674345</v>
      </c>
      <c r="FY88" s="38">
        <f t="shared" si="147"/>
        <v>0.41241121726368751</v>
      </c>
      <c r="FZ88" s="38">
        <f t="shared" si="148"/>
        <v>0.49050055835689299</v>
      </c>
      <c r="GA88" s="38">
        <f t="shared" si="149"/>
        <v>0.56998304802094668</v>
      </c>
    </row>
    <row r="89" spans="1:183" x14ac:dyDescent="0.25">
      <c r="A89" s="1" t="str">
        <f>Data!A89</f>
        <v>UT_ST-GEORGE_AWOS_724754_TY3A</v>
      </c>
      <c r="B89" s="1" t="str">
        <f>TY3A_REP_CITIES!B89</f>
        <v>St.-Geroge</v>
      </c>
      <c r="C89" s="1" t="str">
        <f>TY3A_REP_CITIES!C89</f>
        <v>Washington</v>
      </c>
      <c r="D89" s="2" t="str">
        <f>TY3A_REP_CITIES!A89</f>
        <v>UT</v>
      </c>
      <c r="E89" s="42">
        <f>TY3A_REP_CITIES!E89</f>
        <v>129375</v>
      </c>
      <c r="F89" s="2">
        <f>TY3A_REP_CITIES!G89</f>
        <v>3</v>
      </c>
      <c r="G89" s="2" t="str">
        <f>TY3A_REP_CITIES!H89</f>
        <v>Hot-Dry</v>
      </c>
      <c r="H89" s="2" t="str">
        <f>TY3A_REP_CITIES!I89</f>
        <v>Rocky Mountains</v>
      </c>
      <c r="I89" s="2">
        <f>Data!B89</f>
        <v>37.08</v>
      </c>
      <c r="J89" s="2">
        <f>Data!C89</f>
        <v>-113.6</v>
      </c>
      <c r="K89" s="2">
        <f>VLOOKUP(D89,Table1[],2,FALSE)</f>
        <v>1.5</v>
      </c>
      <c r="L89" s="2">
        <v>0.5</v>
      </c>
      <c r="M89" s="10">
        <f>Data!N89</f>
        <v>6678.1514500000003</v>
      </c>
      <c r="N89" s="10">
        <f>Data!Q89</f>
        <v>29308</v>
      </c>
      <c r="O89" s="10">
        <f>Data!O89</f>
        <v>10312380728.510599</v>
      </c>
      <c r="P89" s="10">
        <f>Data!P89</f>
        <v>10742063258.86525</v>
      </c>
      <c r="Q89" s="10">
        <f>Data!S89*15</f>
        <v>8105.0368857239519</v>
      </c>
      <c r="R89" s="48">
        <f>SUM(Data!U89:AA89)*2+Data!AB89</f>
        <v>227.31657353380783</v>
      </c>
      <c r="S89" s="48">
        <f>SUM(Data!V89:AB89)*2+Data!AC89</f>
        <v>243.84281024007689</v>
      </c>
      <c r="T89" s="48">
        <f>SUM(Data!W89:AC89)*2+Data!AD89</f>
        <v>225.16716708039766</v>
      </c>
      <c r="U89" s="48">
        <f>SUM(Data!X89:AD89)*2+Data!AE89</f>
        <v>228.39331007999644</v>
      </c>
      <c r="V89" s="48">
        <f>SUM(Data!Y89:AE89)*2+Data!AF89</f>
        <v>225.7140986133297</v>
      </c>
      <c r="W89" s="48">
        <f>SUM(Data!Z89:AF89)*2+Data!AG89</f>
        <v>203.66759168754049</v>
      </c>
      <c r="X89" s="48">
        <f>SUM(Data!AA89:AG89)*2+Data!AH89</f>
        <v>177.84102096353698</v>
      </c>
      <c r="Y89" s="48">
        <f>SUM(Data!AB89:AH89)*2+Data!AI89</f>
        <v>150.54096024398146</v>
      </c>
      <c r="Z89" s="80">
        <f>(SUM(Data!CS89:CY89)*2+Data!CZ89)/('Useful Constants'!$B$1*1000000)*$K89/100</f>
        <v>0.22025295938214925</v>
      </c>
      <c r="AA89" s="80">
        <f>(SUM(Data!CT89:CZ89)*2+Data!DA89)/('Useful Constants'!$B$1*1000000)*$K89/100</f>
        <v>0.20668053470163084</v>
      </c>
      <c r="AB89" s="80">
        <f>(SUM(Data!CU89:DA89)*2+Data!DB89)/('Useful Constants'!$B$1*1000000)*$K89/100</f>
        <v>0.18768544829327574</v>
      </c>
      <c r="AC89" s="80">
        <f>(SUM(Data!CV89:DB89)*2+Data!DC89)/('Useful Constants'!$B$1*1000000)*$K89/100</f>
        <v>0.16700214913729211</v>
      </c>
      <c r="AD89" s="80">
        <f>(SUM(Data!CW89:DC89)*2+Data!DD89)/('Useful Constants'!$B$1*1000000)*$K89/100</f>
        <v>0.15122667798129444</v>
      </c>
      <c r="AE89" s="80">
        <f>(SUM(Data!CX89:DD89)*2+Data!DE89)/('Useful Constants'!$B$1*1000000)*$K89/100</f>
        <v>0.1402172559054059</v>
      </c>
      <c r="AF89" s="80">
        <f>(SUM(Data!CY89:DE89)*2+Data!DF89)/('Useful Constants'!$B$1*1000000)*$K89/100</f>
        <v>0.1307690964375928</v>
      </c>
      <c r="AG89" s="80">
        <f>(SUM(Data!CZ89:DF89)*2+Data!DG89)/('Useful Constants'!$B$1*1000000)*$K89/100</f>
        <v>0.11625623329495685</v>
      </c>
      <c r="AH89" s="48">
        <f>Z89*'Useful Constants'!$B$3</f>
        <v>18.501248588100538</v>
      </c>
      <c r="AI89" s="48">
        <f>AA89*'Useful Constants'!$B$3</f>
        <v>17.361164914936989</v>
      </c>
      <c r="AJ89" s="48">
        <f>AB89*'Useful Constants'!$B$3</f>
        <v>15.765577656635163</v>
      </c>
      <c r="AK89" s="48">
        <f>AC89*'Useful Constants'!$B$3</f>
        <v>14.028180527532538</v>
      </c>
      <c r="AL89" s="48">
        <f>AD89*'Useful Constants'!$B$3</f>
        <v>12.703040950428733</v>
      </c>
      <c r="AM89" s="48">
        <f>AE89*'Useful Constants'!$B$3</f>
        <v>11.778249496054096</v>
      </c>
      <c r="AN89" s="48">
        <f>AF89*'Useful Constants'!$B$3</f>
        <v>10.984604100757794</v>
      </c>
      <c r="AO89" s="48">
        <f>AG89*'Useful Constants'!$B$3</f>
        <v>9.7655235967763758</v>
      </c>
      <c r="AP89" s="10">
        <f>Z89*'Useful Constants'!$B$4</f>
        <v>6.1670828627001795</v>
      </c>
      <c r="AQ89" s="10">
        <f>AA89*'Useful Constants'!$B$4</f>
        <v>5.787054971645663</v>
      </c>
      <c r="AR89" s="10">
        <f>AB89*'Useful Constants'!$B$4</f>
        <v>5.2551925522117209</v>
      </c>
      <c r="AS89" s="10">
        <f>AC89*'Useful Constants'!$B$4</f>
        <v>4.6760601758441789</v>
      </c>
      <c r="AT89" s="10">
        <f>AD89*'Useful Constants'!$B$4</f>
        <v>4.2343469834762439</v>
      </c>
      <c r="AU89" s="10">
        <f>AE89*'Useful Constants'!$B$4</f>
        <v>3.9260831653513653</v>
      </c>
      <c r="AV89" s="10">
        <f>AF89*'Useful Constants'!$B$4</f>
        <v>3.6615347002525982</v>
      </c>
      <c r="AW89" s="10">
        <f>AG89*'Useful Constants'!$B$4</f>
        <v>3.2551745322587919</v>
      </c>
      <c r="AX89" s="48">
        <f>P89/1000000/'Useful Constants'!$B$1*K89/100*'Useful Constants'!$B$3*15</f>
        <v>4060.4999118510641</v>
      </c>
      <c r="AY89" s="48">
        <f>P89/1000000/'Useful Constants'!$B$1*L89/100*'Useful Constants'!$B$3*15</f>
        <v>1353.4999706170215</v>
      </c>
      <c r="AZ89" s="48">
        <f>P89/1000000/'Useful Constants'!$B$1*K89/100*'Useful Constants'!$B$4*15</f>
        <v>1353.4999706170215</v>
      </c>
      <c r="BA89" s="48">
        <f>P89/1000000/'Useful Constants'!$B$1*L89/100*'Useful Constants'!$B$4*15</f>
        <v>451.16665687234041</v>
      </c>
      <c r="BB89" s="7">
        <f>Data!AN89</f>
        <v>6678.1514500000003</v>
      </c>
      <c r="BC89" s="7">
        <f>Data!AQ89</f>
        <v>6678.1514500000003</v>
      </c>
      <c r="BD89" s="7">
        <f>Data!AT89</f>
        <v>4430.1654799999997</v>
      </c>
      <c r="BE89" s="6">
        <f>Data!AO89</f>
        <v>9730793511.2535591</v>
      </c>
      <c r="BF89" s="6">
        <f>Data!AP89</f>
        <v>2765659729.03827</v>
      </c>
      <c r="BG89" s="6">
        <f>Data!AR89</f>
        <v>110279500.780635</v>
      </c>
      <c r="BH89" s="6">
        <f>Data!AS89</f>
        <v>110279500.780635</v>
      </c>
      <c r="BI89" s="8">
        <f t="shared" si="100"/>
        <v>0.98879395563412853</v>
      </c>
      <c r="BJ89" s="8">
        <f t="shared" si="101"/>
        <v>0.96165443983057353</v>
      </c>
      <c r="BK89" s="13">
        <f>BB89*'Useful Constants'!$B$5/'Useful Constants'!$B$6*'Useful Constants'!$B$7</f>
        <v>1.7089389560549999</v>
      </c>
      <c r="BL89" s="52">
        <f>1-VLOOKUP($G89,'Useful Constants'!$A$17:$X$23,10,FALSE)</f>
        <v>0.10654528000000008</v>
      </c>
      <c r="BM89" s="52">
        <f>1-VLOOKUP($G89,'Useful Constants'!$A$17:$X$23,12,FALSE)</f>
        <v>8.5501519999999998E-2</v>
      </c>
      <c r="BN89" s="52">
        <f>1-VLOOKUP($G89,'Useful Constants'!$A$17:$X$23,14,FALSE)</f>
        <v>6.6471999999999865E-2</v>
      </c>
      <c r="BO89" s="52">
        <f>1-VLOOKUP($G89,'Useful Constants'!$A$17:$X$23,16,FALSE)</f>
        <v>4.945672000000001E-2</v>
      </c>
      <c r="BP89" s="52">
        <f>1-VLOOKUP($G89,'Useful Constants'!$A$17:$X$23,18,FALSE)</f>
        <v>3.4455679999999989E-2</v>
      </c>
      <c r="BQ89" s="52">
        <f>1-VLOOKUP($G89,'Useful Constants'!$A$17:$X$23,20, FALSE)</f>
        <v>2.1468880000000024E-2</v>
      </c>
      <c r="BR89" s="52">
        <f>1-VLOOKUP($G89,'Useful Constants'!$A$17:$X$23,22, FALSE)</f>
        <v>0</v>
      </c>
      <c r="BS89" s="52">
        <f>1-VLOOKUP($G89,'Useful Constants'!$A$17:$X$23,24, FALSE)</f>
        <v>0</v>
      </c>
      <c r="BT89" s="13">
        <f t="shared" si="102"/>
        <v>0.18207937957578779</v>
      </c>
      <c r="BU89" s="13">
        <f t="shared" si="103"/>
        <v>0.14611687832991568</v>
      </c>
      <c r="BV89" s="13">
        <f t="shared" si="104"/>
        <v>0.11359659028688772</v>
      </c>
      <c r="BW89" s="13">
        <f t="shared" si="105"/>
        <v>8.4518515446704454E-2</v>
      </c>
      <c r="BX89" s="13">
        <f t="shared" si="106"/>
        <v>5.8882653809365117E-2</v>
      </c>
      <c r="BY89" s="13">
        <f t="shared" si="107"/>
        <v>3.6689005374870104E-2</v>
      </c>
      <c r="BZ89" s="13">
        <f t="shared" si="108"/>
        <v>0</v>
      </c>
      <c r="CA89" s="13">
        <f t="shared" si="109"/>
        <v>0</v>
      </c>
      <c r="CB89" s="59">
        <f>+SUM(Data!BM89:BS89)*2+Data!BT89</f>
        <v>1030.8132325820368</v>
      </c>
      <c r="CC89" s="59">
        <f>+SUM(Data!BN89:BT89)*2+Data!BU89</f>
        <v>1105.577721804355</v>
      </c>
      <c r="CD89" s="59">
        <f>+SUM(Data!BO89:BU89)*2+Data!BV89</f>
        <v>1020.7378650909817</v>
      </c>
      <c r="CE89" s="59">
        <f>+SUM(Data!BP89:BV89)*2+Data!BW89</f>
        <v>1035.4030056237805</v>
      </c>
      <c r="CF89" s="59">
        <f>+SUM(Data!BQ89:BW89)*2+Data!BX89</f>
        <v>1023.2571820975688</v>
      </c>
      <c r="CG89" s="59">
        <f>+SUM(Data!BR89:BX89)*2+Data!BY89</f>
        <v>923.13029952921329</v>
      </c>
      <c r="CH89" s="59">
        <f>+SUM(Data!BS89:BY89)*2+Data!BZ89</f>
        <v>805.70690793565655</v>
      </c>
      <c r="CI89" s="59">
        <f>+SUM(Data!BT89:BZ89)*2+Data!CA89</f>
        <v>682.38884754967251</v>
      </c>
      <c r="CJ89" s="13">
        <f>+SUM(Data!AW89:BC89)*2+Data!BD89</f>
        <v>4474.1208140026029</v>
      </c>
      <c r="CK89" s="13">
        <f>+SUM(Data!AX89:BD89)*2+Data!BE89</f>
        <v>4803.1714633279607</v>
      </c>
      <c r="CL89" s="13">
        <f>+SUM(Data!AY89:BE89)*2+Data!BF89</f>
        <v>4439.6959919556175</v>
      </c>
      <c r="CM89" s="13">
        <f>+SUM(Data!AZ89:BF89)*2+Data!BG89</f>
        <v>4504.46929760077</v>
      </c>
      <c r="CN89" s="13">
        <f>+SUM(Data!BA89:BG89)*2+Data!BH89</f>
        <v>4447.3674761366628</v>
      </c>
      <c r="CO89" s="13">
        <f>+SUM(Data!BB89:BH89)*2+Data!BI89</f>
        <v>4011.4963127825658</v>
      </c>
      <c r="CP89" s="13">
        <f>+SUM(Data!BC89:BI89)*2+Data!BJ89</f>
        <v>3510.1142442124201</v>
      </c>
      <c r="CQ89" s="13">
        <f>+SUM(Data!BD89:BJ89)*2+Data!BK89</f>
        <v>2965.6626981386166</v>
      </c>
      <c r="CR89" s="59">
        <f>+SUM(Data!CC89:CI89)*2+Data!CJ89</f>
        <v>180.45733327973036</v>
      </c>
      <c r="CS89" s="59">
        <f>+SUM(Data!CD89:CJ89)*2+Data!CK89</f>
        <v>197.47750096336577</v>
      </c>
      <c r="CT89" s="59">
        <f>+SUM(Data!CE89:CK89)*2+Data!CL89</f>
        <v>182.79242914303248</v>
      </c>
      <c r="CU89" s="59">
        <f>+SUM(Data!CF89:CL89)*2+Data!CM89</f>
        <v>189.14829964105726</v>
      </c>
      <c r="CV89" s="59">
        <f>+SUM(Data!CG89:CM89)*2+Data!CN89</f>
        <v>184.96131086994239</v>
      </c>
      <c r="CW89" s="59">
        <f>+SUM(Data!CH89:CN89)*2+Data!CO89</f>
        <v>165.55885825740677</v>
      </c>
      <c r="CX89" s="59">
        <f>+SUM(Data!CI89:CO89)*2+Data!CP89</f>
        <v>144.73794111335729</v>
      </c>
      <c r="CY89" s="59">
        <f>+SUM(Data!CJ89:CP89)*2+Data!CQ89</f>
        <v>122.60620009123352</v>
      </c>
      <c r="CZ89" s="60">
        <f t="shared" si="110"/>
        <v>5685.3913798643698</v>
      </c>
      <c r="DA89" s="60">
        <f t="shared" si="111"/>
        <v>6106.2266860956815</v>
      </c>
      <c r="DB89" s="60">
        <f t="shared" si="112"/>
        <v>5643.2262861896315</v>
      </c>
      <c r="DC89" s="60">
        <f t="shared" si="113"/>
        <v>5729.0206028656075</v>
      </c>
      <c r="DD89" s="60">
        <f t="shared" si="114"/>
        <v>5655.5859691041742</v>
      </c>
      <c r="DE89" s="60">
        <f t="shared" si="115"/>
        <v>5100.1854705691858</v>
      </c>
      <c r="DF89" s="60">
        <f t="shared" si="116"/>
        <v>4460.5590932614341</v>
      </c>
      <c r="DG89" s="60">
        <f t="shared" si="117"/>
        <v>3770.6577457795224</v>
      </c>
      <c r="DH89" s="13">
        <f t="shared" si="118"/>
        <v>0.1872090260877933</v>
      </c>
      <c r="DI89" s="13">
        <f t="shared" si="119"/>
        <v>0.15023336827521563</v>
      </c>
      <c r="DJ89" s="13">
        <f t="shared" si="120"/>
        <v>0.11679689970412356</v>
      </c>
      <c r="DK89" s="13">
        <f t="shared" si="121"/>
        <v>8.6899620374517608E-2</v>
      </c>
      <c r="DL89" s="13">
        <f t="shared" si="122"/>
        <v>6.054153028639702E-2</v>
      </c>
      <c r="DM89" s="13">
        <f t="shared" si="123"/>
        <v>3.7722629439762186E-2</v>
      </c>
      <c r="DN89" s="13">
        <f t="shared" si="124"/>
        <v>0</v>
      </c>
      <c r="DO89" s="13">
        <f t="shared" si="125"/>
        <v>0</v>
      </c>
      <c r="DP89" s="50">
        <f>DH89*'Useful Constants'!$B$8</f>
        <v>797.51045113399948</v>
      </c>
      <c r="DQ89" s="50">
        <f>DI89*'Useful Constants'!$B$8</f>
        <v>639.99414885241856</v>
      </c>
      <c r="DR89" s="50">
        <f>DJ89*'Useful Constants'!$B$10</f>
        <v>283.81646628102027</v>
      </c>
      <c r="DS89" s="50">
        <f>DK89*'Useful Constants'!$B$10</f>
        <v>211.1660775100778</v>
      </c>
      <c r="DT89" s="50">
        <f>DL89*'Useful Constants'!$B$10</f>
        <v>147.11591859594475</v>
      </c>
      <c r="DU89" s="50">
        <f>DM89*'Useful Constants'!$B$10</f>
        <v>91.665989538622114</v>
      </c>
      <c r="DV89" s="50">
        <f>DN89*'Useful Constants'!$B$10</f>
        <v>0</v>
      </c>
      <c r="DW89" s="50">
        <f>DO89*'Useful Constants'!$B$10</f>
        <v>0</v>
      </c>
      <c r="DX89" s="14">
        <f>DH89*'Useful Constants'!$B$9</f>
        <v>360.19016619291432</v>
      </c>
      <c r="DY89" s="14">
        <f>DI89*'Useful Constants'!$B$9</f>
        <v>289.0490005615149</v>
      </c>
      <c r="DZ89" s="14">
        <f>DJ89*'Useful Constants'!$B$11</f>
        <v>79.071501099691645</v>
      </c>
      <c r="EA89" s="14">
        <f>DK89*'Useful Constants'!$B$11</f>
        <v>58.831042993548422</v>
      </c>
      <c r="EB89" s="14">
        <f>DL89*'Useful Constants'!$B$11</f>
        <v>40.986616003890781</v>
      </c>
      <c r="EC89" s="14">
        <f>DM89*'Useful Constants'!$B$11</f>
        <v>25.538220130719001</v>
      </c>
      <c r="ED89" s="14">
        <f>DN89*'Useful Constants'!$B$11</f>
        <v>0</v>
      </c>
      <c r="EE89" s="14">
        <f>DO89*'Useful Constants'!$B$11</f>
        <v>0</v>
      </c>
      <c r="EF89" s="78">
        <f>(SUM(Data!DI89:DO89)*2+Data!DP89)/('Useful Constants'!$B$1*1000000)*$K89/100</f>
        <v>5.5763625846884564</v>
      </c>
      <c r="EG89" s="78">
        <f>(SUM(Data!DJ89:DP89)*2+Data!DQ89)/('Useful Constants'!$B$1*1000000)*$K89/100</f>
        <v>5.2404521666769508</v>
      </c>
      <c r="EH89" s="78">
        <f>(SUM(Data!DK89:DQ89)*2+Data!DR89)/('Useful Constants'!$B$1*1000000)*$K89/100</f>
        <v>4.7689467771556462</v>
      </c>
      <c r="EI89" s="78">
        <f>(SUM(Data!DL89:DR89)*2+Data!DS89)/('Useful Constants'!$B$1*1000000)*$K89/100</f>
        <v>4.2493428152005031</v>
      </c>
      <c r="EJ89" s="78">
        <f>(SUM(Data!DM89:DS89)*2+Data!DT89)/('Useful Constants'!$B$1*1000000)*$K89/100</f>
        <v>3.8506952184941294</v>
      </c>
      <c r="EK89" s="78">
        <f>(SUM(Data!DN89:DT89)*2+Data!DU89)/('Useful Constants'!$B$1*1000000)*$K89/100</f>
        <v>3.5675742602738678</v>
      </c>
      <c r="EL89" s="78">
        <f>(SUM(Data!DO89:DU89)*2+Data!DV89)/('Useful Constants'!$B$1*1000000)*$K89/100</f>
        <v>3.3264910042896996</v>
      </c>
      <c r="EM89" s="78">
        <f>(SUM(Data!DP89:DV89)*2+Data!DW89)/('Useful Constants'!$B$1*1000000)*$K89/100</f>
        <v>2.9584281498298366</v>
      </c>
      <c r="EN89" s="79">
        <f>EF89*'Useful Constants'!$B$3</f>
        <v>468.41445711383034</v>
      </c>
      <c r="EO89" s="79">
        <f>EG89*'Useful Constants'!$B$3</f>
        <v>440.19798200086387</v>
      </c>
      <c r="EP89" s="79">
        <f>EH89*'Useful Constants'!$B$3</f>
        <v>400.59152928107426</v>
      </c>
      <c r="EQ89" s="79">
        <f>EI89*'Useful Constants'!$B$3</f>
        <v>356.94479647684227</v>
      </c>
      <c r="ER89" s="79">
        <f>EJ89*'Useful Constants'!$B$3</f>
        <v>323.45839835350688</v>
      </c>
      <c r="ES89" s="79">
        <f>EK89*'Useful Constants'!$B$3</f>
        <v>299.67623786300487</v>
      </c>
      <c r="ET89" s="79">
        <f>EL89*'Useful Constants'!$B$3</f>
        <v>279.42524436033477</v>
      </c>
      <c r="EU89" s="79">
        <f>EM89*'Useful Constants'!$B$3</f>
        <v>248.50796458570628</v>
      </c>
      <c r="EV89" s="78">
        <f>EF89*'Useful Constants'!$B$4</f>
        <v>156.13815237127679</v>
      </c>
      <c r="EW89" s="78">
        <f>EG89*'Useful Constants'!$B$4</f>
        <v>146.73266066695462</v>
      </c>
      <c r="EX89" s="78">
        <f>EH89*'Useful Constants'!$B$4</f>
        <v>133.53050976035809</v>
      </c>
      <c r="EY89" s="78">
        <f>EI89*'Useful Constants'!$B$4</f>
        <v>118.98159882561409</v>
      </c>
      <c r="EZ89" s="78">
        <f>EJ89*'Useful Constants'!$B$4</f>
        <v>107.81946611783562</v>
      </c>
      <c r="FA89" s="78">
        <f>EK89*'Useful Constants'!$B$4</f>
        <v>99.892079287668295</v>
      </c>
      <c r="FB89" s="78">
        <f>EL89*'Useful Constants'!$B$4</f>
        <v>93.141748120111586</v>
      </c>
      <c r="FC89" s="78">
        <f>EM89*'Useful Constants'!$B$4</f>
        <v>82.83598819523543</v>
      </c>
      <c r="FD89" s="40">
        <f t="shared" si="126"/>
        <v>0.31767280304851342</v>
      </c>
      <c r="FE89" s="40">
        <f t="shared" si="127"/>
        <v>0.26861723866406639</v>
      </c>
      <c r="FF89" s="40">
        <f t="shared" si="128"/>
        <v>0.32255845710167819</v>
      </c>
      <c r="FG89" s="40">
        <f t="shared" si="129"/>
        <v>0.31252551851333848</v>
      </c>
      <c r="FH89" s="40">
        <f t="shared" si="130"/>
        <v>0.32111931088358159</v>
      </c>
      <c r="FI89" s="40">
        <f t="shared" si="131"/>
        <v>0.38616357286086728</v>
      </c>
      <c r="FJ89" s="40">
        <f t="shared" si="132"/>
        <v>0.46147231149453061</v>
      </c>
      <c r="FK89" s="40">
        <f t="shared" si="133"/>
        <v>0.54325937976332794</v>
      </c>
      <c r="FL89" s="4">
        <f t="shared" si="134"/>
        <v>0.49499529817018895</v>
      </c>
      <c r="FM89" s="4">
        <f t="shared" si="135"/>
        <v>0.4784983114015271</v>
      </c>
      <c r="FN89" s="4">
        <f t="shared" si="136"/>
        <v>0.54014183855522446</v>
      </c>
      <c r="FO89" s="4">
        <f t="shared" si="137"/>
        <v>0.5424081257648754</v>
      </c>
      <c r="FP89" s="4">
        <f t="shared" si="138"/>
        <v>0.55470246695865799</v>
      </c>
      <c r="FQ89" s="4">
        <f t="shared" si="139"/>
        <v>0.60016493855967279</v>
      </c>
      <c r="FR89" s="4">
        <f t="shared" si="140"/>
        <v>0.65421418732991998</v>
      </c>
      <c r="FS89" s="4">
        <f t="shared" si="141"/>
        <v>0.7061872316298542</v>
      </c>
      <c r="FT89" s="38">
        <f t="shared" si="142"/>
        <v>0.38858274083617028</v>
      </c>
      <c r="FU89" s="38">
        <f t="shared" si="143"/>
        <v>0.35605929014819548</v>
      </c>
      <c r="FV89" s="38">
        <f t="shared" si="144"/>
        <v>0.42250930900858857</v>
      </c>
      <c r="FW89" s="38">
        <f t="shared" si="145"/>
        <v>0.41763132108461032</v>
      </c>
      <c r="FX89" s="38">
        <f t="shared" si="146"/>
        <v>0.42755510003648667</v>
      </c>
      <c r="FY89" s="38">
        <f t="shared" si="147"/>
        <v>0.4834968596008612</v>
      </c>
      <c r="FZ89" s="38">
        <f t="shared" si="148"/>
        <v>0.54874562958080031</v>
      </c>
      <c r="GA89" s="38">
        <f t="shared" si="149"/>
        <v>0.61708214152473362</v>
      </c>
    </row>
    <row r="90" spans="1:183" x14ac:dyDescent="0.25">
      <c r="A90" s="1" t="str">
        <f>Data!A90</f>
        <v>UT_VERNAL-AP_725705_TY3A</v>
      </c>
      <c r="B90" s="1" t="str">
        <f>TY3A_REP_CITIES!B90</f>
        <v>Vernal</v>
      </c>
      <c r="C90" s="1" t="str">
        <f>TY3A_REP_CITIES!C90</f>
        <v>Uintah</v>
      </c>
      <c r="D90" s="2" t="str">
        <f>TY3A_REP_CITIES!A90</f>
        <v>UT</v>
      </c>
      <c r="E90" s="42">
        <f>TY3A_REP_CITIES!E90</f>
        <v>35734</v>
      </c>
      <c r="F90" s="2">
        <f>TY3A_REP_CITIES!G90</f>
        <v>6</v>
      </c>
      <c r="G90" s="2" t="str">
        <f>TY3A_REP_CITIES!H90</f>
        <v>Cold</v>
      </c>
      <c r="H90" s="2" t="str">
        <f>TY3A_REP_CITIES!I90</f>
        <v>Rocky Mountains</v>
      </c>
      <c r="I90" s="2">
        <f>Data!B90</f>
        <v>40.43</v>
      </c>
      <c r="J90" s="2">
        <f>Data!C90</f>
        <v>-109.52</v>
      </c>
      <c r="K90" s="2">
        <f>VLOOKUP(D90,Table1[],2,FALSE)</f>
        <v>1.5</v>
      </c>
      <c r="L90" s="2">
        <v>0.5</v>
      </c>
      <c r="M90" s="10">
        <f>Data!N90</f>
        <v>4626.9781499999999</v>
      </c>
      <c r="N90" s="10">
        <f>Data!Q90</f>
        <v>29308</v>
      </c>
      <c r="O90" s="10">
        <f>Data!O90</f>
        <v>40034079209.694099</v>
      </c>
      <c r="P90" s="10">
        <f>Data!P90</f>
        <v>41702165843.431084</v>
      </c>
      <c r="Q90" s="10">
        <f>Data!S90*15</f>
        <v>31464.867058629625</v>
      </c>
      <c r="R90" s="48">
        <f>SUM(Data!U90:AA90)*2+Data!AB90</f>
        <v>650.84961712780171</v>
      </c>
      <c r="S90" s="48">
        <f>SUM(Data!V90:AB90)*2+Data!AC90</f>
        <v>696.37297377600396</v>
      </c>
      <c r="T90" s="48">
        <f>SUM(Data!W90:AC90)*2+Data!AD90</f>
        <v>640.62433526551399</v>
      </c>
      <c r="U90" s="48">
        <f>SUM(Data!X90:AD90)*2+Data!AE90</f>
        <v>652.21951242164607</v>
      </c>
      <c r="V90" s="48">
        <f>SUM(Data!Y90:AE90)*2+Data!AF90</f>
        <v>644.15975195728652</v>
      </c>
      <c r="W90" s="48">
        <f>SUM(Data!Z90:AF90)*2+Data!AG90</f>
        <v>582.78029095586328</v>
      </c>
      <c r="X90" s="48">
        <f>SUM(Data!AA90:AG90)*2+Data!AH90</f>
        <v>505.88651674928684</v>
      </c>
      <c r="Y90" s="48">
        <f>SUM(Data!AB90:AH90)*2+Data!AI90</f>
        <v>432.06061871761585</v>
      </c>
      <c r="Z90" s="80">
        <f>(SUM(Data!CS90:CY90)*2+Data!CZ90)/('Useful Constants'!$B$1*1000000)*$K90/100</f>
        <v>0.60631118269869089</v>
      </c>
      <c r="AA90" s="80">
        <f>(SUM(Data!CT90:CZ90)*2+Data!DA90)/('Useful Constants'!$B$1*1000000)*$K90/100</f>
        <v>0.56615855682757665</v>
      </c>
      <c r="AB90" s="80">
        <f>(SUM(Data!CU90:DA90)*2+Data!DB90)/('Useful Constants'!$B$1*1000000)*$K90/100</f>
        <v>0.50973094741960268</v>
      </c>
      <c r="AC90" s="80">
        <f>(SUM(Data!CV90:DB90)*2+Data!DC90)/('Useful Constants'!$B$1*1000000)*$K90/100</f>
        <v>0.45312007603651244</v>
      </c>
      <c r="AD90" s="80">
        <f>(SUM(Data!CW90:DC90)*2+Data!DD90)/('Useful Constants'!$B$1*1000000)*$K90/100</f>
        <v>0.41103871458794233</v>
      </c>
      <c r="AE90" s="80">
        <f>(SUM(Data!CX90:DD90)*2+Data!DE90)/('Useful Constants'!$B$1*1000000)*$K90/100</f>
        <v>0.37980654165844185</v>
      </c>
      <c r="AF90" s="80">
        <f>(SUM(Data!CY90:DE90)*2+Data!DF90)/('Useful Constants'!$B$1*1000000)*$K90/100</f>
        <v>0.35112497083268335</v>
      </c>
      <c r="AG90" s="80">
        <f>(SUM(Data!CZ90:DF90)*2+Data!DG90)/('Useful Constants'!$B$1*1000000)*$K90/100</f>
        <v>0.30867846362138246</v>
      </c>
      <c r="AH90" s="48">
        <f>Z90*'Useful Constants'!$B$3</f>
        <v>50.930139346690034</v>
      </c>
      <c r="AI90" s="48">
        <f>AA90*'Useful Constants'!$B$3</f>
        <v>47.557318773516442</v>
      </c>
      <c r="AJ90" s="48">
        <f>AB90*'Useful Constants'!$B$3</f>
        <v>42.817399583246626</v>
      </c>
      <c r="AK90" s="48">
        <f>AC90*'Useful Constants'!$B$3</f>
        <v>38.062086387067048</v>
      </c>
      <c r="AL90" s="48">
        <f>AD90*'Useful Constants'!$B$3</f>
        <v>34.527252025387156</v>
      </c>
      <c r="AM90" s="48">
        <f>AE90*'Useful Constants'!$B$3</f>
        <v>31.903749499309114</v>
      </c>
      <c r="AN90" s="48">
        <f>AF90*'Useful Constants'!$B$3</f>
        <v>29.4944975499454</v>
      </c>
      <c r="AO90" s="48">
        <f>AG90*'Useful Constants'!$B$3</f>
        <v>25.928990944196126</v>
      </c>
      <c r="AP90" s="10">
        <f>Z90*'Useful Constants'!$B$4</f>
        <v>16.976713115563346</v>
      </c>
      <c r="AQ90" s="10">
        <f>AA90*'Useful Constants'!$B$4</f>
        <v>15.852439591172146</v>
      </c>
      <c r="AR90" s="10">
        <f>AB90*'Useful Constants'!$B$4</f>
        <v>14.272466527748875</v>
      </c>
      <c r="AS90" s="10">
        <f>AC90*'Useful Constants'!$B$4</f>
        <v>12.687362129022349</v>
      </c>
      <c r="AT90" s="10">
        <f>AD90*'Useful Constants'!$B$4</f>
        <v>11.509084008462386</v>
      </c>
      <c r="AU90" s="10">
        <f>AE90*'Useful Constants'!$B$4</f>
        <v>10.634583166436371</v>
      </c>
      <c r="AV90" s="10">
        <f>AF90*'Useful Constants'!$B$4</f>
        <v>9.8314991833151346</v>
      </c>
      <c r="AW90" s="10">
        <f>AG90*'Useful Constants'!$B$4</f>
        <v>8.6429969813987082</v>
      </c>
      <c r="AX90" s="48">
        <f>P90/1000000/'Useful Constants'!$B$1*K90/100*'Useful Constants'!$B$3*15</f>
        <v>15763.418688816948</v>
      </c>
      <c r="AY90" s="48">
        <f>P90/1000000/'Useful Constants'!$B$1*L90/100*'Useful Constants'!$B$3*15</f>
        <v>5254.4728962723166</v>
      </c>
      <c r="AZ90" s="48">
        <f>P90/1000000/'Useful Constants'!$B$1*K90/100*'Useful Constants'!$B$4*15</f>
        <v>5254.4728962723166</v>
      </c>
      <c r="BA90" s="48">
        <f>P90/1000000/'Useful Constants'!$B$1*L90/100*'Useful Constants'!$B$4*15</f>
        <v>1751.4909654241053</v>
      </c>
      <c r="BB90" s="7">
        <f>Data!AN90</f>
        <v>4626.9781499999999</v>
      </c>
      <c r="BC90" s="7">
        <f>Data!AQ90</f>
        <v>4626.9781499999999</v>
      </c>
      <c r="BD90" s="7">
        <f>Data!AT90</f>
        <v>8358.0573600000007</v>
      </c>
      <c r="BE90" s="6">
        <f>Data!AO90</f>
        <v>32897455237.424198</v>
      </c>
      <c r="BF90" s="6">
        <f>Data!AP90</f>
        <v>12425383090.8641</v>
      </c>
      <c r="BG90" s="6">
        <f>Data!AR90</f>
        <v>5075268573.6670799</v>
      </c>
      <c r="BH90" s="6">
        <f>Data!AS90</f>
        <v>5075268573.6670799</v>
      </c>
      <c r="BI90" s="8">
        <f t="shared" si="100"/>
        <v>0.86634436341949561</v>
      </c>
      <c r="BJ90" s="8">
        <f t="shared" si="101"/>
        <v>0.70999545211489468</v>
      </c>
      <c r="BK90" s="13">
        <f>BB90*'Useful Constants'!$B$5/'Useful Constants'!$B$6*'Useful Constants'!$B$7</f>
        <v>1.184043708585</v>
      </c>
      <c r="BL90" s="52">
        <f>1-VLOOKUP($G90,'Useful Constants'!$A$17:$X$23,10,FALSE)</f>
        <v>6.6471999999999865E-2</v>
      </c>
      <c r="BM90" s="52">
        <f>1-VLOOKUP($G90,'Useful Constants'!$A$17:$X$23,12,FALSE)</f>
        <v>4.945672000000001E-2</v>
      </c>
      <c r="BN90" s="52">
        <f>1-VLOOKUP($G90,'Useful Constants'!$A$17:$X$23,14,FALSE)</f>
        <v>3.4455679999999989E-2</v>
      </c>
      <c r="BO90" s="52">
        <f>1-VLOOKUP($G90,'Useful Constants'!$A$17:$X$23,16,FALSE)</f>
        <v>2.1468880000000024E-2</v>
      </c>
      <c r="BP90" s="52">
        <f>1-VLOOKUP($G90,'Useful Constants'!$A$17:$X$23,18,FALSE)</f>
        <v>0</v>
      </c>
      <c r="BQ90" s="52">
        <f>1-VLOOKUP($G90,'Useful Constants'!$A$17:$X$23,20, FALSE)</f>
        <v>0</v>
      </c>
      <c r="BR90" s="52">
        <f>1-VLOOKUP($G90,'Useful Constants'!$A$17:$X$23,22, FALSE)</f>
        <v>0</v>
      </c>
      <c r="BS90" s="52">
        <f>1-VLOOKUP($G90,'Useful Constants'!$A$17:$X$23,24, FALSE)</f>
        <v>0</v>
      </c>
      <c r="BT90" s="13">
        <f t="shared" si="102"/>
        <v>7.8705753397061956E-2</v>
      </c>
      <c r="BU90" s="13">
        <f t="shared" si="103"/>
        <v>5.855891816324995E-2</v>
      </c>
      <c r="BV90" s="13">
        <f t="shared" si="104"/>
        <v>4.0797031129017995E-2</v>
      </c>
      <c r="BW90" s="13">
        <f t="shared" si="105"/>
        <v>2.5420092294366363E-2</v>
      </c>
      <c r="BX90" s="13">
        <f t="shared" si="106"/>
        <v>0</v>
      </c>
      <c r="BY90" s="13">
        <f t="shared" si="107"/>
        <v>0</v>
      </c>
      <c r="BZ90" s="13">
        <f t="shared" si="108"/>
        <v>0</v>
      </c>
      <c r="CA90" s="13">
        <f t="shared" si="109"/>
        <v>0</v>
      </c>
      <c r="CB90" s="59">
        <f>+SUM(Data!BM90:BS90)*2+Data!BT90</f>
        <v>4185.1502020014459</v>
      </c>
      <c r="CC90" s="59">
        <f>+SUM(Data!BN90:BT90)*2+Data!BU90</f>
        <v>4474.3192892523684</v>
      </c>
      <c r="CD90" s="59">
        <f>+SUM(Data!BO90:BU90)*2+Data!BV90</f>
        <v>4115.4740711236827</v>
      </c>
      <c r="CE90" s="59">
        <f>+SUM(Data!BP90:BV90)*2+Data!BW90</f>
        <v>4190.070651867205</v>
      </c>
      <c r="CF90" s="59">
        <f>+SUM(Data!BQ90:BW90)*2+Data!BX90</f>
        <v>4140.8584727498946</v>
      </c>
      <c r="CG90" s="59">
        <f>+SUM(Data!BR90:BX90)*2+Data!BY90</f>
        <v>3747.1717628509332</v>
      </c>
      <c r="CH90" s="59">
        <f>+SUM(Data!BS90:BY90)*2+Data!BZ90</f>
        <v>3251.5802666140557</v>
      </c>
      <c r="CI90" s="59">
        <f>+SUM(Data!BT90:BZ90)*2+Data!CA90</f>
        <v>2777.9772057595474</v>
      </c>
      <c r="CJ90" s="13">
        <f>+SUM(Data!AW90:BC90)*2+Data!BD90</f>
        <v>20066.248374050443</v>
      </c>
      <c r="CK90" s="13">
        <f>+SUM(Data!AX90:BD90)*2+Data!BE90</f>
        <v>21492.268741610322</v>
      </c>
      <c r="CL90" s="13">
        <f>+SUM(Data!AY90:BE90)*2+Data!BF90</f>
        <v>19778.50406192019</v>
      </c>
      <c r="CM90" s="13">
        <f>+SUM(Data!AZ90:BF90)*2+Data!BG90</f>
        <v>20136.678333661548</v>
      </c>
      <c r="CN90" s="13">
        <f>+SUM(Data!BA90:BG90)*2+Data!BH90</f>
        <v>19884.806848127882</v>
      </c>
      <c r="CO90" s="13">
        <f>+SUM(Data!BB90:BH90)*2+Data!BI90</f>
        <v>17965.864622074827</v>
      </c>
      <c r="CP90" s="13">
        <f>+SUM(Data!BC90:BI90)*2+Data!BJ90</f>
        <v>15601.170135212302</v>
      </c>
      <c r="CQ90" s="13">
        <f>+SUM(Data!BD90:BJ90)*2+Data!BK90</f>
        <v>13314.287001579014</v>
      </c>
      <c r="CR90" s="59">
        <f>+SUM(Data!CC90:CI90)*2+Data!CJ90</f>
        <v>8393.0237478771778</v>
      </c>
      <c r="CS90" s="59">
        <f>+SUM(Data!CD90:CJ90)*2+Data!CK90</f>
        <v>9108.2861471326978</v>
      </c>
      <c r="CT90" s="59">
        <f>+SUM(Data!CE90:CK90)*2+Data!CL90</f>
        <v>8465.1778610753663</v>
      </c>
      <c r="CU90" s="59">
        <f>+SUM(Data!CF90:CL90)*2+Data!CM90</f>
        <v>8662.3496695002268</v>
      </c>
      <c r="CV90" s="59">
        <f>+SUM(Data!CG90:CM90)*2+Data!CN90</f>
        <v>8487.4457441589057</v>
      </c>
      <c r="CW90" s="59">
        <f>+SUM(Data!CH90:CN90)*2+Data!CO90</f>
        <v>7619.0725735741817</v>
      </c>
      <c r="CX90" s="59">
        <f>+SUM(Data!CI90:CO90)*2+Data!CP90</f>
        <v>6719.3562159524081</v>
      </c>
      <c r="CY90" s="59">
        <f>+SUM(Data!CJ90:CP90)*2+Data!CQ90</f>
        <v>5703.7267279723146</v>
      </c>
      <c r="CZ90" s="60">
        <f t="shared" si="110"/>
        <v>32644.422323929066</v>
      </c>
      <c r="DA90" s="60">
        <f t="shared" si="111"/>
        <v>35074.874177995385</v>
      </c>
      <c r="DB90" s="60">
        <f t="shared" si="112"/>
        <v>32359.155994119239</v>
      </c>
      <c r="DC90" s="60">
        <f t="shared" si="113"/>
        <v>32989.098655028982</v>
      </c>
      <c r="DD90" s="60">
        <f t="shared" si="114"/>
        <v>32513.111065036683</v>
      </c>
      <c r="DE90" s="60">
        <f t="shared" si="115"/>
        <v>29332.108958499943</v>
      </c>
      <c r="DF90" s="60">
        <f t="shared" si="116"/>
        <v>25572.106617778765</v>
      </c>
      <c r="DG90" s="60">
        <f t="shared" si="117"/>
        <v>21795.990935310874</v>
      </c>
      <c r="DH90" s="13">
        <f t="shared" si="118"/>
        <v>8.0923097801072069E-2</v>
      </c>
      <c r="DI90" s="13">
        <f t="shared" si="119"/>
        <v>6.0208674170782364E-2</v>
      </c>
      <c r="DJ90" s="13">
        <f t="shared" si="120"/>
        <v>4.1946388892201938E-2</v>
      </c>
      <c r="DK90" s="13">
        <f t="shared" si="121"/>
        <v>2.6136241965331049E-2</v>
      </c>
      <c r="DL90" s="13">
        <f t="shared" si="122"/>
        <v>0</v>
      </c>
      <c r="DM90" s="13">
        <f t="shared" si="123"/>
        <v>0</v>
      </c>
      <c r="DN90" s="13">
        <f t="shared" si="124"/>
        <v>0</v>
      </c>
      <c r="DO90" s="13">
        <f t="shared" si="125"/>
        <v>0</v>
      </c>
      <c r="DP90" s="50">
        <f>DH90*'Useful Constants'!$B$8</f>
        <v>344.73239663256703</v>
      </c>
      <c r="DQ90" s="50">
        <f>DI90*'Useful Constants'!$B$8</f>
        <v>256.4889519675329</v>
      </c>
      <c r="DR90" s="50">
        <f>DJ90*'Useful Constants'!$B$10</f>
        <v>101.92972500805071</v>
      </c>
      <c r="DS90" s="50">
        <f>DK90*'Useful Constants'!$B$10</f>
        <v>63.51106797575445</v>
      </c>
      <c r="DT90" s="50">
        <f>DL90*'Useful Constants'!$B$10</f>
        <v>0</v>
      </c>
      <c r="DU90" s="50">
        <f>DM90*'Useful Constants'!$B$10</f>
        <v>0</v>
      </c>
      <c r="DV90" s="50">
        <f>DN90*'Useful Constants'!$B$10</f>
        <v>0</v>
      </c>
      <c r="DW90" s="50">
        <f>DO90*'Useful Constants'!$B$10</f>
        <v>0</v>
      </c>
      <c r="DX90" s="14">
        <f>DH90*'Useful Constants'!$B$9</f>
        <v>155.69604016926266</v>
      </c>
      <c r="DY90" s="14">
        <f>DI90*'Useful Constants'!$B$9</f>
        <v>115.84148910458526</v>
      </c>
      <c r="DZ90" s="14">
        <f>DJ90*'Useful Constants'!$B$11</f>
        <v>28.397705280020713</v>
      </c>
      <c r="EA90" s="14">
        <f>DK90*'Useful Constants'!$B$11</f>
        <v>17.694235810529118</v>
      </c>
      <c r="EB90" s="14">
        <f>DL90*'Useful Constants'!$B$11</f>
        <v>0</v>
      </c>
      <c r="EC90" s="14">
        <f>DM90*'Useful Constants'!$B$11</f>
        <v>0</v>
      </c>
      <c r="ED90" s="14">
        <f>DN90*'Useful Constants'!$B$11</f>
        <v>0</v>
      </c>
      <c r="EE90" s="14">
        <f>DO90*'Useful Constants'!$B$11</f>
        <v>0</v>
      </c>
      <c r="EF90" s="78">
        <f>(SUM(Data!DI90:DO90)*2+Data!DP90)/('Useful Constants'!$B$1*1000000)*$K90/100</f>
        <v>31.333624924097794</v>
      </c>
      <c r="EG90" s="78">
        <f>(SUM(Data!DJ90:DP90)*2+Data!DQ90)/('Useful Constants'!$B$1*1000000)*$K90/100</f>
        <v>29.433507323267548</v>
      </c>
      <c r="EH90" s="78">
        <f>(SUM(Data!DK90:DQ90)*2+Data!DR90)/('Useful Constants'!$B$1*1000000)*$K90/100</f>
        <v>26.721759079531743</v>
      </c>
      <c r="EI90" s="78">
        <f>(SUM(Data!DL90:DR90)*2+Data!DS90)/('Useful Constants'!$B$1*1000000)*$K90/100</f>
        <v>23.863055602035807</v>
      </c>
      <c r="EJ90" s="78">
        <f>(SUM(Data!DM90:DS90)*2+Data!DT90)/('Useful Constants'!$B$1*1000000)*$K90/100</f>
        <v>21.697015868535722</v>
      </c>
      <c r="EK90" s="78">
        <f>(SUM(Data!DN90:DT90)*2+Data!DU90)/('Useful Constants'!$B$1*1000000)*$K90/100</f>
        <v>20.026571796865866</v>
      </c>
      <c r="EL90" s="78">
        <f>(SUM(Data!DO90:DU90)*2+Data!DV90)/('Useful Constants'!$B$1*1000000)*$K90/100</f>
        <v>18.514773162522602</v>
      </c>
      <c r="EM90" s="78">
        <f>(SUM(Data!DP90:DV90)*2+Data!DW90)/('Useful Constants'!$B$1*1000000)*$K90/100</f>
        <v>16.328664184424191</v>
      </c>
      <c r="EN90" s="79">
        <f>EF90*'Useful Constants'!$B$3</f>
        <v>2632.0244936242148</v>
      </c>
      <c r="EO90" s="79">
        <f>EG90*'Useful Constants'!$B$3</f>
        <v>2472.4146151544742</v>
      </c>
      <c r="EP90" s="79">
        <f>EH90*'Useful Constants'!$B$3</f>
        <v>2244.6277626806664</v>
      </c>
      <c r="EQ90" s="79">
        <f>EI90*'Useful Constants'!$B$3</f>
        <v>2004.4966705710078</v>
      </c>
      <c r="ER90" s="79">
        <f>EJ90*'Useful Constants'!$B$3</f>
        <v>1822.5493329570006</v>
      </c>
      <c r="ES90" s="79">
        <f>EK90*'Useful Constants'!$B$3</f>
        <v>1682.2320309367328</v>
      </c>
      <c r="ET90" s="79">
        <f>EL90*'Useful Constants'!$B$3</f>
        <v>1555.2409456518985</v>
      </c>
      <c r="EU90" s="79">
        <f>EM90*'Useful Constants'!$B$3</f>
        <v>1371.607791491632</v>
      </c>
      <c r="EV90" s="78">
        <f>EF90*'Useful Constants'!$B$4</f>
        <v>877.34149787473825</v>
      </c>
      <c r="EW90" s="78">
        <f>EG90*'Useful Constants'!$B$4</f>
        <v>824.13820505149135</v>
      </c>
      <c r="EX90" s="78">
        <f>EH90*'Useful Constants'!$B$4</f>
        <v>748.20925422688879</v>
      </c>
      <c r="EY90" s="78">
        <f>EI90*'Useful Constants'!$B$4</f>
        <v>668.16555685700257</v>
      </c>
      <c r="EZ90" s="78">
        <f>EJ90*'Useful Constants'!$B$4</f>
        <v>607.51644431900024</v>
      </c>
      <c r="FA90" s="78">
        <f>EK90*'Useful Constants'!$B$4</f>
        <v>560.7440103122442</v>
      </c>
      <c r="FB90" s="78">
        <f>EL90*'Useful Constants'!$B$4</f>
        <v>518.41364855063284</v>
      </c>
      <c r="FC90" s="78">
        <f>EM90*'Useful Constants'!$B$4</f>
        <v>457.20259716387739</v>
      </c>
      <c r="FD90" s="40">
        <f t="shared" si="126"/>
        <v>-1.6462520625321525E-2</v>
      </c>
      <c r="FE90" s="40">
        <f t="shared" si="127"/>
        <v>-9.0594583500324677E-2</v>
      </c>
      <c r="FF90" s="40">
        <f t="shared" si="128"/>
        <v>-7.900972363635397E-3</v>
      </c>
      <c r="FG90" s="40">
        <f t="shared" si="129"/>
        <v>-2.7151033206221756E-2</v>
      </c>
      <c r="FH90" s="40">
        <f t="shared" si="130"/>
        <v>-1.2584755583951182E-2</v>
      </c>
      <c r="FI90" s="40">
        <f t="shared" si="131"/>
        <v>8.4734406911796872E-2</v>
      </c>
      <c r="FJ90" s="40">
        <f t="shared" si="132"/>
        <v>0.20014063611337043</v>
      </c>
      <c r="FK90" s="40">
        <f t="shared" si="133"/>
        <v>0.31667428425120431</v>
      </c>
      <c r="FL90" s="4">
        <f t="shared" si="134"/>
        <v>0.33023430708094048</v>
      </c>
      <c r="FM90" s="4">
        <f t="shared" si="135"/>
        <v>0.28975898180737508</v>
      </c>
      <c r="FN90" s="4">
        <f t="shared" si="136"/>
        <v>0.34722223452706019</v>
      </c>
      <c r="FO90" s="4">
        <f t="shared" si="137"/>
        <v>0.34069772513144347</v>
      </c>
      <c r="FP90" s="4">
        <f t="shared" si="138"/>
        <v>0.35412478009844739</v>
      </c>
      <c r="FQ90" s="4">
        <f t="shared" si="139"/>
        <v>0.41589765115598232</v>
      </c>
      <c r="FR90" s="4">
        <f t="shared" si="140"/>
        <v>0.4883383736507983</v>
      </c>
      <c r="FS90" s="4">
        <f t="shared" si="141"/>
        <v>0.56238626216766652</v>
      </c>
      <c r="FT90" s="38">
        <f t="shared" si="142"/>
        <v>0.13953461289265084</v>
      </c>
      <c r="FU90" s="38">
        <f t="shared" si="143"/>
        <v>8.085644046142075E-2</v>
      </c>
      <c r="FV90" s="38">
        <f t="shared" si="144"/>
        <v>0.15309529348656162</v>
      </c>
      <c r="FW90" s="38">
        <f t="shared" si="145"/>
        <v>0.13953434009094046</v>
      </c>
      <c r="FX90" s="38">
        <f t="shared" si="146"/>
        <v>0.15349883798308145</v>
      </c>
      <c r="FY90" s="38">
        <f t="shared" si="147"/>
        <v>0.23477716359596434</v>
      </c>
      <c r="FZ90" s="38">
        <f t="shared" si="148"/>
        <v>0.33078148802074564</v>
      </c>
      <c r="GA90" s="38">
        <f t="shared" si="149"/>
        <v>0.42810804565231653</v>
      </c>
    </row>
    <row r="91" spans="1:183" x14ac:dyDescent="0.25">
      <c r="A91" s="1" t="str">
        <f>Data!A91</f>
        <v>VA_NORFOLK-IAP_723080_TY3A</v>
      </c>
      <c r="B91" s="1" t="str">
        <f>TY3A_REP_CITIES!B91</f>
        <v>Virginia-Beach</v>
      </c>
      <c r="C91" s="1" t="str">
        <f>TY3A_REP_CITIES!C91</f>
        <v>Virginia Beach city</v>
      </c>
      <c r="D91" s="2" t="str">
        <f>TY3A_REP_CITIES!A91</f>
        <v>VA</v>
      </c>
      <c r="E91" s="42">
        <f>TY3A_REP_CITIES!E91</f>
        <v>449974</v>
      </c>
      <c r="F91" s="2">
        <f>TY3A_REP_CITIES!G91</f>
        <v>4</v>
      </c>
      <c r="G91" s="2" t="str">
        <f>TY3A_REP_CITIES!H91</f>
        <v>Mixed-Humid</v>
      </c>
      <c r="H91" s="2" t="str">
        <f>TY3A_REP_CITIES!I91</f>
        <v>Southeast</v>
      </c>
      <c r="I91" s="2">
        <f>Data!B91</f>
        <v>36.9</v>
      </c>
      <c r="J91" s="2">
        <f>Data!C91</f>
        <v>-76.2</v>
      </c>
      <c r="K91" s="2">
        <f>VLOOKUP(D91,Table1[],2,FALSE)</f>
        <v>1.1000000000000001</v>
      </c>
      <c r="L91" s="2">
        <v>0.5</v>
      </c>
      <c r="M91" s="10">
        <f>Data!N91</f>
        <v>5557.2416300000004</v>
      </c>
      <c r="N91" s="10">
        <f>Data!Q91</f>
        <v>29308</v>
      </c>
      <c r="O91" s="10">
        <f>Data!O91</f>
        <v>28788838909.1077</v>
      </c>
      <c r="P91" s="10">
        <f>Data!P91</f>
        <v>29988373863.653831</v>
      </c>
      <c r="Q91" s="10">
        <f>Data!S91*15</f>
        <v>22626.647269760128</v>
      </c>
      <c r="R91" s="48">
        <f>SUM(Data!U91:AA91)*2+Data!AB91</f>
        <v>119.46055223854714</v>
      </c>
      <c r="S91" s="48">
        <f>SUM(Data!V91:AB91)*2+Data!AC91</f>
        <v>129.97249909724951</v>
      </c>
      <c r="T91" s="48">
        <f>SUM(Data!W91:AC91)*2+Data!AD91</f>
        <v>128.93895429232649</v>
      </c>
      <c r="U91" s="48">
        <f>SUM(Data!X91:AD91)*2+Data!AE91</f>
        <v>113.6110007321128</v>
      </c>
      <c r="V91" s="48">
        <f>SUM(Data!Y91:AE91)*2+Data!AF91</f>
        <v>116.6150142160741</v>
      </c>
      <c r="W91" s="48">
        <f>SUM(Data!Z91:AF91)*2+Data!AG91</f>
        <v>111.64519481406117</v>
      </c>
      <c r="X91" s="48">
        <f>SUM(Data!AA91:AG91)*2+Data!AH91</f>
        <v>117.88292418837764</v>
      </c>
      <c r="Y91" s="48">
        <f>SUM(Data!AB91:AH91)*2+Data!AI91</f>
        <v>113.09845100179247</v>
      </c>
      <c r="Z91" s="80">
        <f>(SUM(Data!CS91:CY91)*2+Data!CZ91)/('Useful Constants'!$B$1*1000000)*$K91/100</f>
        <v>0.55655467174893414</v>
      </c>
      <c r="AA91" s="80">
        <f>(SUM(Data!CT91:CZ91)*2+Data!DA91)/('Useful Constants'!$B$1*1000000)*$K91/100</f>
        <v>0.48123772802716813</v>
      </c>
      <c r="AB91" s="80">
        <f>(SUM(Data!CU91:DA91)*2+Data!DB91)/('Useful Constants'!$B$1*1000000)*$K91/100</f>
        <v>0.40848193901578711</v>
      </c>
      <c r="AC91" s="80">
        <f>(SUM(Data!CV91:DB91)*2+Data!DC91)/('Useful Constants'!$B$1*1000000)*$K91/100</f>
        <v>0.3639748370692748</v>
      </c>
      <c r="AD91" s="80">
        <f>(SUM(Data!CW91:DC91)*2+Data!DD91)/('Useful Constants'!$B$1*1000000)*$K91/100</f>
        <v>0.32165751812236398</v>
      </c>
      <c r="AE91" s="80">
        <f>(SUM(Data!CX91:DD91)*2+Data!DE91)/('Useful Constants'!$B$1*1000000)*$K91/100</f>
        <v>0.27364909827571765</v>
      </c>
      <c r="AF91" s="80">
        <f>(SUM(Data!CY91:DE91)*2+Data!DF91)/('Useful Constants'!$B$1*1000000)*$K91/100</f>
        <v>0.21407168699709644</v>
      </c>
      <c r="AG91" s="80">
        <f>(SUM(Data!CZ91:DF91)*2+Data!DG91)/('Useful Constants'!$B$1*1000000)*$K91/100</f>
        <v>0.17035366330258955</v>
      </c>
      <c r="AH91" s="48">
        <f>Z91*'Useful Constants'!$B$3</f>
        <v>46.750592426910465</v>
      </c>
      <c r="AI91" s="48">
        <f>AA91*'Useful Constants'!$B$3</f>
        <v>40.423969154282126</v>
      </c>
      <c r="AJ91" s="48">
        <f>AB91*'Useful Constants'!$B$3</f>
        <v>34.312482877326119</v>
      </c>
      <c r="AK91" s="48">
        <f>AC91*'Useful Constants'!$B$3</f>
        <v>30.573886313819084</v>
      </c>
      <c r="AL91" s="48">
        <f>AD91*'Useful Constants'!$B$3</f>
        <v>27.019231522278574</v>
      </c>
      <c r="AM91" s="48">
        <f>AE91*'Useful Constants'!$B$3</f>
        <v>22.986524255160283</v>
      </c>
      <c r="AN91" s="48">
        <f>AF91*'Useful Constants'!$B$3</f>
        <v>17.9820217077561</v>
      </c>
      <c r="AO91" s="48">
        <f>AG91*'Useful Constants'!$B$3</f>
        <v>14.309707717417522</v>
      </c>
      <c r="AP91" s="10">
        <f>Z91*'Useful Constants'!$B$4</f>
        <v>15.583530808970156</v>
      </c>
      <c r="AQ91" s="10">
        <f>AA91*'Useful Constants'!$B$4</f>
        <v>13.474656384760708</v>
      </c>
      <c r="AR91" s="10">
        <f>AB91*'Useful Constants'!$B$4</f>
        <v>11.43749429244204</v>
      </c>
      <c r="AS91" s="10">
        <f>AC91*'Useful Constants'!$B$4</f>
        <v>10.191295437939694</v>
      </c>
      <c r="AT91" s="10">
        <f>AD91*'Useful Constants'!$B$4</f>
        <v>9.0064105074261924</v>
      </c>
      <c r="AU91" s="10">
        <f>AE91*'Useful Constants'!$B$4</f>
        <v>7.6621747517200944</v>
      </c>
      <c r="AV91" s="10">
        <f>AF91*'Useful Constants'!$B$4</f>
        <v>5.9940072359187004</v>
      </c>
      <c r="AW91" s="10">
        <f>AG91*'Useful Constants'!$B$4</f>
        <v>4.7699025724725077</v>
      </c>
      <c r="AX91" s="48">
        <f>P91/1000000/'Useful Constants'!$B$1*K91/100*'Useful Constants'!$B$3*15</f>
        <v>8312.7772350048435</v>
      </c>
      <c r="AY91" s="48">
        <f>P91/1000000/'Useful Constants'!$B$1*L91/100*'Useful Constants'!$B$3*15</f>
        <v>3778.5351068203827</v>
      </c>
      <c r="AZ91" s="48">
        <f>P91/1000000/'Useful Constants'!$B$1*K91/100*'Useful Constants'!$B$4*15</f>
        <v>2770.9257450016148</v>
      </c>
      <c r="BA91" s="48">
        <f>P91/1000000/'Useful Constants'!$B$1*L91/100*'Useful Constants'!$B$4*15</f>
        <v>1259.511702273461</v>
      </c>
      <c r="BB91" s="7">
        <f>Data!AN91</f>
        <v>5557.2416300000004</v>
      </c>
      <c r="BC91" s="7">
        <f>Data!AQ91</f>
        <v>5557.2416300000004</v>
      </c>
      <c r="BD91" s="7">
        <f>Data!AT91</f>
        <v>5427.8786899999996</v>
      </c>
      <c r="BE91" s="6">
        <f>Data!AO91</f>
        <v>27116642894.833302</v>
      </c>
      <c r="BF91" s="6">
        <f>Data!AP91</f>
        <v>7719134497.66432</v>
      </c>
      <c r="BG91" s="6">
        <f>Data!AR91</f>
        <v>604248874.76716197</v>
      </c>
      <c r="BH91" s="6">
        <f>Data!AS91</f>
        <v>604248874.76716197</v>
      </c>
      <c r="BI91" s="8">
        <f t="shared" si="100"/>
        <v>0.97820240128675084</v>
      </c>
      <c r="BJ91" s="8">
        <f t="shared" si="101"/>
        <v>0.92740345509392952</v>
      </c>
      <c r="BK91" s="13">
        <f>BB91*'Useful Constants'!$B$5/'Useful Constants'!$B$6*'Useful Constants'!$B$7</f>
        <v>1.4220981331170002</v>
      </c>
      <c r="BL91" s="52">
        <f>1-VLOOKUP($G91,'Useful Constants'!$A$17:$X$23,10,FALSE)</f>
        <v>0</v>
      </c>
      <c r="BM91" s="52">
        <f>1-VLOOKUP($G91,'Useful Constants'!$A$17:$X$23,12,FALSE)</f>
        <v>0</v>
      </c>
      <c r="BN91" s="52">
        <f>1-VLOOKUP($G91,'Useful Constants'!$A$17:$X$23,14,FALSE)</f>
        <v>0</v>
      </c>
      <c r="BO91" s="52">
        <f>1-VLOOKUP($G91,'Useful Constants'!$A$17:$X$23,16,FALSE)</f>
        <v>0</v>
      </c>
      <c r="BP91" s="52">
        <f>1-VLOOKUP($G91,'Useful Constants'!$A$17:$X$23,18,FALSE)</f>
        <v>0</v>
      </c>
      <c r="BQ91" s="52">
        <f>1-VLOOKUP($G91,'Useful Constants'!$A$17:$X$23,20, FALSE)</f>
        <v>0</v>
      </c>
      <c r="BR91" s="52">
        <f>1-VLOOKUP($G91,'Useful Constants'!$A$17:$X$23,22, FALSE)</f>
        <v>0</v>
      </c>
      <c r="BS91" s="52">
        <f>1-VLOOKUP($G91,'Useful Constants'!$A$17:$X$23,24, FALSE)</f>
        <v>0</v>
      </c>
      <c r="BT91" s="13">
        <f t="shared" si="102"/>
        <v>0</v>
      </c>
      <c r="BU91" s="13">
        <f t="shared" si="103"/>
        <v>0</v>
      </c>
      <c r="BV91" s="13">
        <f t="shared" si="104"/>
        <v>0</v>
      </c>
      <c r="BW91" s="13">
        <f t="shared" si="105"/>
        <v>0</v>
      </c>
      <c r="BX91" s="13">
        <f t="shared" si="106"/>
        <v>0</v>
      </c>
      <c r="BY91" s="13">
        <f t="shared" si="107"/>
        <v>0</v>
      </c>
      <c r="BZ91" s="13">
        <f t="shared" si="108"/>
        <v>0</v>
      </c>
      <c r="CA91" s="13">
        <f t="shared" si="109"/>
        <v>0</v>
      </c>
      <c r="CB91" s="59">
        <f>+SUM(Data!BM91:BS91)*2+Data!BT91</f>
        <v>659.78899320556479</v>
      </c>
      <c r="CC91" s="59">
        <f>+SUM(Data!BN91:BT91)*2+Data!BU91</f>
        <v>718.06807163599649</v>
      </c>
      <c r="CD91" s="59">
        <f>+SUM(Data!BO91:BU91)*2+Data!BV91</f>
        <v>711.99702435520771</v>
      </c>
      <c r="CE91" s="59">
        <f>+SUM(Data!BP91:BV91)*2+Data!BW91</f>
        <v>627.18544097168467</v>
      </c>
      <c r="CF91" s="59">
        <f>+SUM(Data!BQ91:BW91)*2+Data!BX91</f>
        <v>644.04788528954839</v>
      </c>
      <c r="CG91" s="59">
        <f>+SUM(Data!BR91:BX91)*2+Data!BY91</f>
        <v>616.70648964281941</v>
      </c>
      <c r="CH91" s="59">
        <f>+SUM(Data!BS91:BY91)*2+Data!BZ91</f>
        <v>651.63277525147237</v>
      </c>
      <c r="CI91" s="59">
        <f>+SUM(Data!BT91:BZ91)*2+Data!CA91</f>
        <v>625.53514882961679</v>
      </c>
      <c r="CJ91" s="13">
        <f>+SUM(Data!AW91:BC91)*2+Data!BD91</f>
        <v>3654.2267931848137</v>
      </c>
      <c r="CK91" s="13">
        <f>+SUM(Data!AX91:BD91)*2+Data!BE91</f>
        <v>3986.2542683583033</v>
      </c>
      <c r="CL91" s="13">
        <f>+SUM(Data!AY91:BE91)*2+Data!BF91</f>
        <v>3947.2540483694243</v>
      </c>
      <c r="CM91" s="13">
        <f>+SUM(Data!AZ91:BF91)*2+Data!BG91</f>
        <v>3476.3558446703078</v>
      </c>
      <c r="CN91" s="13">
        <f>+SUM(Data!BA91:BG91)*2+Data!BH91</f>
        <v>3576.1845545548003</v>
      </c>
      <c r="CO91" s="13">
        <f>+SUM(Data!BB91:BH91)*2+Data!BI91</f>
        <v>3433.3942928819138</v>
      </c>
      <c r="CP91" s="13">
        <f>+SUM(Data!BC91:BI91)*2+Data!BJ91</f>
        <v>3632.1107179691353</v>
      </c>
      <c r="CQ91" s="13">
        <f>+SUM(Data!BD91:BJ91)*2+Data!BK91</f>
        <v>3497.9125005978376</v>
      </c>
      <c r="CR91" s="59">
        <f>+SUM(Data!CC91:CI91)*2+Data!CJ91</f>
        <v>293.62703438308995</v>
      </c>
      <c r="CS91" s="59">
        <f>+SUM(Data!CD91:CJ91)*2+Data!CK91</f>
        <v>320.45882378652607</v>
      </c>
      <c r="CT91" s="59">
        <f>+SUM(Data!CE91:CK91)*2+Data!CL91</f>
        <v>313.69958044154788</v>
      </c>
      <c r="CU91" s="59">
        <f>+SUM(Data!CF91:CL91)*2+Data!CM91</f>
        <v>271.88540453812539</v>
      </c>
      <c r="CV91" s="59">
        <f>+SUM(Data!CG91:CM91)*2+Data!CN91</f>
        <v>280.86972922531226</v>
      </c>
      <c r="CW91" s="59">
        <f>+SUM(Data!CH91:CN91)*2+Data!CO91</f>
        <v>277.0646062073393</v>
      </c>
      <c r="CX91" s="59">
        <f>+SUM(Data!CI91:CO91)*2+Data!CP91</f>
        <v>297.04775454255184</v>
      </c>
      <c r="CY91" s="59">
        <f>+SUM(Data!CJ91:CP91)*2+Data!CQ91</f>
        <v>289.23155173283192</v>
      </c>
      <c r="CZ91" s="60">
        <f t="shared" si="110"/>
        <v>4607.6428207734689</v>
      </c>
      <c r="DA91" s="60">
        <f t="shared" si="111"/>
        <v>5024.7811637808263</v>
      </c>
      <c r="DB91" s="60">
        <f t="shared" si="112"/>
        <v>4972.95065316618</v>
      </c>
      <c r="DC91" s="60">
        <f t="shared" si="113"/>
        <v>4375.4266901801184</v>
      </c>
      <c r="DD91" s="60">
        <f t="shared" si="114"/>
        <v>4501.1021690696607</v>
      </c>
      <c r="DE91" s="60">
        <f t="shared" si="115"/>
        <v>4327.1653887320726</v>
      </c>
      <c r="DF91" s="60">
        <f t="shared" si="116"/>
        <v>4580.7912477631598</v>
      </c>
      <c r="DG91" s="60">
        <f t="shared" si="117"/>
        <v>4412.6792011602856</v>
      </c>
      <c r="DH91" s="13">
        <f t="shared" si="118"/>
        <v>0</v>
      </c>
      <c r="DI91" s="13">
        <f t="shared" si="119"/>
        <v>0</v>
      </c>
      <c r="DJ91" s="13">
        <f t="shared" si="120"/>
        <v>0</v>
      </c>
      <c r="DK91" s="13">
        <f t="shared" si="121"/>
        <v>0</v>
      </c>
      <c r="DL91" s="13">
        <f t="shared" si="122"/>
        <v>0</v>
      </c>
      <c r="DM91" s="13">
        <f t="shared" si="123"/>
        <v>0</v>
      </c>
      <c r="DN91" s="13">
        <f t="shared" si="124"/>
        <v>0</v>
      </c>
      <c r="DO91" s="13">
        <f t="shared" si="125"/>
        <v>0</v>
      </c>
      <c r="DP91" s="50">
        <f>DH91*'Useful Constants'!$B$8</f>
        <v>0</v>
      </c>
      <c r="DQ91" s="50">
        <f>DI91*'Useful Constants'!$B$8</f>
        <v>0</v>
      </c>
      <c r="DR91" s="50">
        <f>DJ91*'Useful Constants'!$B$10</f>
        <v>0</v>
      </c>
      <c r="DS91" s="50">
        <f>DK91*'Useful Constants'!$B$10</f>
        <v>0</v>
      </c>
      <c r="DT91" s="50">
        <f>DL91*'Useful Constants'!$B$10</f>
        <v>0</v>
      </c>
      <c r="DU91" s="50">
        <f>DM91*'Useful Constants'!$B$10</f>
        <v>0</v>
      </c>
      <c r="DV91" s="50">
        <f>DN91*'Useful Constants'!$B$10</f>
        <v>0</v>
      </c>
      <c r="DW91" s="50">
        <f>DO91*'Useful Constants'!$B$10</f>
        <v>0</v>
      </c>
      <c r="DX91" s="14">
        <f>DH91*'Useful Constants'!$B$9</f>
        <v>0</v>
      </c>
      <c r="DY91" s="14">
        <f>DI91*'Useful Constants'!$B$9</f>
        <v>0</v>
      </c>
      <c r="DZ91" s="14">
        <f>DJ91*'Useful Constants'!$B$11</f>
        <v>0</v>
      </c>
      <c r="EA91" s="14">
        <f>DK91*'Useful Constants'!$B$11</f>
        <v>0</v>
      </c>
      <c r="EB91" s="14">
        <f>DL91*'Useful Constants'!$B$11</f>
        <v>0</v>
      </c>
      <c r="EC91" s="14">
        <f>DM91*'Useful Constants'!$B$11</f>
        <v>0</v>
      </c>
      <c r="ED91" s="14">
        <f>DN91*'Useful Constants'!$B$11</f>
        <v>0</v>
      </c>
      <c r="EE91" s="14">
        <f>DO91*'Useful Constants'!$B$11</f>
        <v>0</v>
      </c>
      <c r="EF91" s="78">
        <f>(SUM(Data!DI91:DO91)*2+Data!DP91)/('Useful Constants'!$B$1*1000000)*$K91/100</f>
        <v>21.265151912624074</v>
      </c>
      <c r="EG91" s="78">
        <f>(SUM(Data!DJ91:DP91)*2+Data!DQ91)/('Useful Constants'!$B$1*1000000)*$K91/100</f>
        <v>18.491292335286236</v>
      </c>
      <c r="EH91" s="78">
        <f>(SUM(Data!DK91:DQ91)*2+Data!DR91)/('Useful Constants'!$B$1*1000000)*$K91/100</f>
        <v>15.793608522070828</v>
      </c>
      <c r="EI91" s="78">
        <f>(SUM(Data!DL91:DR91)*2+Data!DS91)/('Useful Constants'!$B$1*1000000)*$K91/100</f>
        <v>14.138139366966733</v>
      </c>
      <c r="EJ91" s="78">
        <f>(SUM(Data!DM91:DS91)*2+Data!DT91)/('Useful Constants'!$B$1*1000000)*$K91/100</f>
        <v>12.564478202599931</v>
      </c>
      <c r="EK91" s="78">
        <f>(SUM(Data!DN91:DT91)*2+Data!DU91)/('Useful Constants'!$B$1*1000000)*$K91/100</f>
        <v>10.718280705042858</v>
      </c>
      <c r="EL91" s="78">
        <f>(SUM(Data!DO91:DU91)*2+Data!DV91)/('Useful Constants'!$B$1*1000000)*$K91/100</f>
        <v>8.4014191808811045</v>
      </c>
      <c r="EM91" s="78">
        <f>(SUM(Data!DP91:DV91)*2+Data!DW91)/('Useful Constants'!$B$1*1000000)*$K91/100</f>
        <v>6.693806026944781</v>
      </c>
      <c r="EN91" s="79">
        <f>EF91*'Useful Constants'!$B$3</f>
        <v>1786.2727606604221</v>
      </c>
      <c r="EO91" s="79">
        <f>EG91*'Useful Constants'!$B$3</f>
        <v>1553.2685561640437</v>
      </c>
      <c r="EP91" s="79">
        <f>EH91*'Useful Constants'!$B$3</f>
        <v>1326.6631158539496</v>
      </c>
      <c r="EQ91" s="79">
        <f>EI91*'Useful Constants'!$B$3</f>
        <v>1187.6037068252056</v>
      </c>
      <c r="ER91" s="79">
        <f>EJ91*'Useful Constants'!$B$3</f>
        <v>1055.4161690183942</v>
      </c>
      <c r="ES91" s="79">
        <f>EK91*'Useful Constants'!$B$3</f>
        <v>900.33557922360001</v>
      </c>
      <c r="ET91" s="79">
        <f>EL91*'Useful Constants'!$B$3</f>
        <v>705.71921119401281</v>
      </c>
      <c r="EU91" s="79">
        <f>EM91*'Useful Constants'!$B$3</f>
        <v>562.27970626336162</v>
      </c>
      <c r="EV91" s="78">
        <f>EF91*'Useful Constants'!$B$4</f>
        <v>595.42425355347405</v>
      </c>
      <c r="EW91" s="78">
        <f>EG91*'Useful Constants'!$B$4</f>
        <v>517.75618538801461</v>
      </c>
      <c r="EX91" s="78">
        <f>EH91*'Useful Constants'!$B$4</f>
        <v>442.2210386179832</v>
      </c>
      <c r="EY91" s="78">
        <f>EI91*'Useful Constants'!$B$4</f>
        <v>395.86790227506856</v>
      </c>
      <c r="EZ91" s="78">
        <f>EJ91*'Useful Constants'!$B$4</f>
        <v>351.80538967279807</v>
      </c>
      <c r="FA91" s="78">
        <f>EK91*'Useful Constants'!$B$4</f>
        <v>300.11185974120002</v>
      </c>
      <c r="FB91" s="78">
        <f>EL91*'Useful Constants'!$B$4</f>
        <v>235.23973706467092</v>
      </c>
      <c r="FC91" s="78">
        <f>EM91*'Useful Constants'!$B$4</f>
        <v>187.42656875445385</v>
      </c>
      <c r="FD91" s="40">
        <f t="shared" si="126"/>
        <v>0.79743159327165281</v>
      </c>
      <c r="FE91" s="40">
        <f t="shared" si="127"/>
        <v>0.77919474795385557</v>
      </c>
      <c r="FF91" s="40">
        <f t="shared" si="128"/>
        <v>0.78146242403064026</v>
      </c>
      <c r="FG91" s="40">
        <f t="shared" si="129"/>
        <v>0.80759116109698403</v>
      </c>
      <c r="FH91" s="40">
        <f t="shared" si="130"/>
        <v>0.80209074173844797</v>
      </c>
      <c r="FI91" s="40">
        <f t="shared" si="131"/>
        <v>0.80969699481727975</v>
      </c>
      <c r="FJ91" s="40">
        <f t="shared" si="132"/>
        <v>0.79859811529622449</v>
      </c>
      <c r="FK91" s="40">
        <f t="shared" si="133"/>
        <v>0.80594861282325569</v>
      </c>
      <c r="FL91" s="4">
        <f t="shared" si="134"/>
        <v>0.816710116857567</v>
      </c>
      <c r="FM91" s="4">
        <f t="shared" si="135"/>
        <v>0.81145429423811288</v>
      </c>
      <c r="FN91" s="4">
        <f t="shared" si="136"/>
        <v>0.81939807765805839</v>
      </c>
      <c r="FO91" s="4">
        <f t="shared" si="137"/>
        <v>0.84042776263451802</v>
      </c>
      <c r="FP91" s="4">
        <f t="shared" si="138"/>
        <v>0.84061203968960974</v>
      </c>
      <c r="FQ91" s="4">
        <f t="shared" si="139"/>
        <v>0.85001112490141228</v>
      </c>
      <c r="FR91" s="4">
        <f t="shared" si="140"/>
        <v>0.8483233755240096</v>
      </c>
      <c r="FS91" s="4">
        <f t="shared" si="141"/>
        <v>0.85722753910310745</v>
      </c>
      <c r="FT91" s="38">
        <f t="shared" si="142"/>
        <v>0.8057986689616512</v>
      </c>
      <c r="FU91" s="38">
        <f t="shared" si="143"/>
        <v>0.79319300917111746</v>
      </c>
      <c r="FV91" s="38">
        <f t="shared" si="144"/>
        <v>0.79792221142458064</v>
      </c>
      <c r="FW91" s="38">
        <f t="shared" si="145"/>
        <v>0.8218395607993666</v>
      </c>
      <c r="FX91" s="38">
        <f t="shared" si="146"/>
        <v>0.81880443547950643</v>
      </c>
      <c r="FY91" s="38">
        <f t="shared" si="147"/>
        <v>0.82718817256979205</v>
      </c>
      <c r="FZ91" s="38">
        <f t="shared" si="148"/>
        <v>0.82016960227024338</v>
      </c>
      <c r="GA91" s="38">
        <f t="shared" si="149"/>
        <v>0.82819369439103829</v>
      </c>
    </row>
    <row r="92" spans="1:183" x14ac:dyDescent="0.25">
      <c r="A92" s="1" t="str">
        <f>Data!A92</f>
        <v>VT_BURLINGTON-IAP_726170_TY3A</v>
      </c>
      <c r="B92" s="1" t="str">
        <f>TY3A_REP_CITIES!B92</f>
        <v>Burlington</v>
      </c>
      <c r="C92" s="1" t="str">
        <f>TY3A_REP_CITIES!C92</f>
        <v>Chittenden</v>
      </c>
      <c r="D92" s="2" t="str">
        <f>TY3A_REP_CITIES!A92</f>
        <v>VT</v>
      </c>
      <c r="E92" s="42">
        <f>TY3A_REP_CITIES!E92</f>
        <v>163774</v>
      </c>
      <c r="F92" s="2">
        <f>TY3A_REP_CITIES!G92</f>
        <v>6</v>
      </c>
      <c r="G92" s="2" t="str">
        <f>TY3A_REP_CITIES!H92</f>
        <v>Cold</v>
      </c>
      <c r="H92" s="2" t="str">
        <f>TY3A_REP_CITIES!I92</f>
        <v>Northeast</v>
      </c>
      <c r="I92" s="2">
        <f>Data!B92</f>
        <v>44.47</v>
      </c>
      <c r="J92" s="2">
        <f>Data!C92</f>
        <v>-73.150000000000006</v>
      </c>
      <c r="K92" s="2">
        <f>VLOOKUP(D92,Table1[],2,FALSE)</f>
        <v>0.9</v>
      </c>
      <c r="L92" s="2">
        <v>0.5</v>
      </c>
      <c r="M92" s="10">
        <f>Data!N92</f>
        <v>5587.7171099999996</v>
      </c>
      <c r="N92" s="10">
        <f>Data!Q92</f>
        <v>29308</v>
      </c>
      <c r="O92" s="10">
        <f>Data!O92</f>
        <v>64981921727.4963</v>
      </c>
      <c r="P92" s="10">
        <f>Data!P92</f>
        <v>67689501799.475586</v>
      </c>
      <c r="Q92" s="10">
        <f>Data!S92*15</f>
        <v>51072.675298970375</v>
      </c>
      <c r="R92" s="48">
        <f>SUM(Data!U92:AA92)*2+Data!AB92</f>
        <v>14.489859698837423</v>
      </c>
      <c r="S92" s="48">
        <f>SUM(Data!V92:AB92)*2+Data!AC92</f>
        <v>13.049906741105856</v>
      </c>
      <c r="T92" s="48">
        <f>SUM(Data!W92:AC92)*2+Data!AD92</f>
        <v>16.538920177879152</v>
      </c>
      <c r="U92" s="48">
        <f>SUM(Data!X92:AD92)*2+Data!AE92</f>
        <v>26.692388756513623</v>
      </c>
      <c r="V92" s="48">
        <f>SUM(Data!Y92:AE92)*2+Data!AF92</f>
        <v>30.730800461314725</v>
      </c>
      <c r="W92" s="48">
        <f>SUM(Data!Z92:AF92)*2+Data!AG92</f>
        <v>34.260250561691102</v>
      </c>
      <c r="X92" s="48">
        <f>SUM(Data!AA92:AG92)*2+Data!AH92</f>
        <v>35.332555420448891</v>
      </c>
      <c r="Y92" s="48">
        <f>SUM(Data!AB92:AH92)*2+Data!AI92</f>
        <v>36.540592226847863</v>
      </c>
      <c r="Z92" s="80">
        <f>(SUM(Data!CS92:CY92)*2+Data!CZ92)/('Useful Constants'!$B$1*1000000)*$K92/100</f>
        <v>0</v>
      </c>
      <c r="AA92" s="80">
        <f>(SUM(Data!CT92:CZ92)*2+Data!DA92)/('Useful Constants'!$B$1*1000000)*$K92/100</f>
        <v>0</v>
      </c>
      <c r="AB92" s="80">
        <f>(SUM(Data!CU92:DA92)*2+Data!DB92)/('Useful Constants'!$B$1*1000000)*$K92/100</f>
        <v>0</v>
      </c>
      <c r="AC92" s="80">
        <f>(SUM(Data!CV92:DB92)*2+Data!DC92)/('Useful Constants'!$B$1*1000000)*$K92/100</f>
        <v>0</v>
      </c>
      <c r="AD92" s="80">
        <f>(SUM(Data!CW92:DC92)*2+Data!DD92)/('Useful Constants'!$B$1*1000000)*$K92/100</f>
        <v>3.2907437590269957E-5</v>
      </c>
      <c r="AE92" s="80">
        <f>(SUM(Data!CX92:DD92)*2+Data!DE92)/('Useful Constants'!$B$1*1000000)*$K92/100</f>
        <v>9.0368901587136423E-5</v>
      </c>
      <c r="AF92" s="80">
        <f>(SUM(Data!CY92:DE92)*2+Data!DF92)/('Useful Constants'!$B$1*1000000)*$K92/100</f>
        <v>1.2056717723390809E-4</v>
      </c>
      <c r="AG92" s="80">
        <f>(SUM(Data!CZ92:DF92)*2+Data!DG92)/('Useful Constants'!$B$1*1000000)*$K92/100</f>
        <v>1.3179881431959708E-4</v>
      </c>
      <c r="AH92" s="48">
        <f>Z92*'Useful Constants'!$B$3</f>
        <v>0</v>
      </c>
      <c r="AI92" s="48">
        <f>AA92*'Useful Constants'!$B$3</f>
        <v>0</v>
      </c>
      <c r="AJ92" s="48">
        <f>AB92*'Useful Constants'!$B$3</f>
        <v>0</v>
      </c>
      <c r="AK92" s="48">
        <f>AC92*'Useful Constants'!$B$3</f>
        <v>0</v>
      </c>
      <c r="AL92" s="48">
        <f>AD92*'Useful Constants'!$B$3</f>
        <v>2.7642247575826763E-3</v>
      </c>
      <c r="AM92" s="48">
        <f>AE92*'Useful Constants'!$B$3</f>
        <v>7.5909877333194594E-3</v>
      </c>
      <c r="AN92" s="48">
        <f>AF92*'Useful Constants'!$B$3</f>
        <v>1.012764288764828E-2</v>
      </c>
      <c r="AO92" s="48">
        <f>AG92*'Useful Constants'!$B$3</f>
        <v>1.1071100402846154E-2</v>
      </c>
      <c r="AP92" s="10">
        <f>Z92*'Useful Constants'!$B$4</f>
        <v>0</v>
      </c>
      <c r="AQ92" s="10">
        <f>AA92*'Useful Constants'!$B$4</f>
        <v>0</v>
      </c>
      <c r="AR92" s="10">
        <f>AB92*'Useful Constants'!$B$4</f>
        <v>0</v>
      </c>
      <c r="AS92" s="10">
        <f>AC92*'Useful Constants'!$B$4</f>
        <v>0</v>
      </c>
      <c r="AT92" s="10">
        <f>AD92*'Useful Constants'!$B$4</f>
        <v>9.2140825252755884E-4</v>
      </c>
      <c r="AU92" s="10">
        <f>AE92*'Useful Constants'!$B$4</f>
        <v>2.5303292444398199E-3</v>
      </c>
      <c r="AV92" s="10">
        <f>AF92*'Useful Constants'!$B$4</f>
        <v>3.3758809625494264E-3</v>
      </c>
      <c r="AW92" s="10">
        <f>AG92*'Useful Constants'!$B$4</f>
        <v>3.6903668009487184E-3</v>
      </c>
      <c r="AX92" s="48">
        <f>P92/1000000/'Useful Constants'!$B$1*K92/100*'Useful Constants'!$B$3*15</f>
        <v>15351.979008121065</v>
      </c>
      <c r="AY92" s="48">
        <f>P92/1000000/'Useful Constants'!$B$1*L92/100*'Useful Constants'!$B$3*15</f>
        <v>8528.8772267339245</v>
      </c>
      <c r="AZ92" s="48">
        <f>P92/1000000/'Useful Constants'!$B$1*K92/100*'Useful Constants'!$B$4*15</f>
        <v>5117.3263360403553</v>
      </c>
      <c r="BA92" s="48">
        <f>P92/1000000/'Useful Constants'!$B$1*L92/100*'Useful Constants'!$B$4*15</f>
        <v>2842.959075577975</v>
      </c>
      <c r="BB92" s="7">
        <f>Data!AN92</f>
        <v>5587.7171099999996</v>
      </c>
      <c r="BC92" s="7">
        <f>Data!AQ92</f>
        <v>5587.7171099999996</v>
      </c>
      <c r="BD92" s="7">
        <f>Data!AT92</f>
        <v>9829.5398700000005</v>
      </c>
      <c r="BE92" s="6">
        <f>Data!AO92</f>
        <v>50029671540.823502</v>
      </c>
      <c r="BF92" s="6">
        <f>Data!AP92</f>
        <v>18400404974.251099</v>
      </c>
      <c r="BG92" s="6">
        <f>Data!AR92</f>
        <v>12355225139.3505</v>
      </c>
      <c r="BH92" s="6">
        <f>Data!AS92</f>
        <v>12355225139.3505</v>
      </c>
      <c r="BI92" s="8">
        <f t="shared" si="100"/>
        <v>0.80195166143030561</v>
      </c>
      <c r="BJ92" s="8">
        <f t="shared" si="101"/>
        <v>0.59827761311622629</v>
      </c>
      <c r="BK92" s="13">
        <f>BB92*'Useful Constants'!$B$5/'Useful Constants'!$B$6*'Useful Constants'!$B$7</f>
        <v>1.429896808449</v>
      </c>
      <c r="BL92" s="52">
        <f>1-VLOOKUP($G92,'Useful Constants'!$A$17:$X$23,10,FALSE)</f>
        <v>6.6471999999999865E-2</v>
      </c>
      <c r="BM92" s="52">
        <f>1-VLOOKUP($G92,'Useful Constants'!$A$17:$X$23,12,FALSE)</f>
        <v>4.945672000000001E-2</v>
      </c>
      <c r="BN92" s="52">
        <f>1-VLOOKUP($G92,'Useful Constants'!$A$17:$X$23,14,FALSE)</f>
        <v>3.4455679999999989E-2</v>
      </c>
      <c r="BO92" s="52">
        <f>1-VLOOKUP($G92,'Useful Constants'!$A$17:$X$23,16,FALSE)</f>
        <v>2.1468880000000024E-2</v>
      </c>
      <c r="BP92" s="52">
        <f>1-VLOOKUP($G92,'Useful Constants'!$A$17:$X$23,18,FALSE)</f>
        <v>0</v>
      </c>
      <c r="BQ92" s="52">
        <f>1-VLOOKUP($G92,'Useful Constants'!$A$17:$X$23,20, FALSE)</f>
        <v>0</v>
      </c>
      <c r="BR92" s="52">
        <f>1-VLOOKUP($G92,'Useful Constants'!$A$17:$X$23,22, FALSE)</f>
        <v>0</v>
      </c>
      <c r="BS92" s="52">
        <f>1-VLOOKUP($G92,'Useful Constants'!$A$17:$X$23,24, FALSE)</f>
        <v>0</v>
      </c>
      <c r="BT92" s="13">
        <f t="shared" si="102"/>
        <v>9.504810065122174E-2</v>
      </c>
      <c r="BU92" s="13">
        <f t="shared" si="103"/>
        <v>7.0718006084355842E-2</v>
      </c>
      <c r="BV92" s="13">
        <f t="shared" si="104"/>
        <v>4.9268066864940022E-2</v>
      </c>
      <c r="BW92" s="13">
        <f t="shared" si="105"/>
        <v>3.0698282992974602E-2</v>
      </c>
      <c r="BX92" s="13">
        <f t="shared" si="106"/>
        <v>0</v>
      </c>
      <c r="BY92" s="13">
        <f t="shared" si="107"/>
        <v>0</v>
      </c>
      <c r="BZ92" s="13">
        <f t="shared" si="108"/>
        <v>0</v>
      </c>
      <c r="CA92" s="13">
        <f t="shared" si="109"/>
        <v>0</v>
      </c>
      <c r="CB92" s="59">
        <f>+SUM(Data!BM92:BS92)*2+Data!BT92</f>
        <v>76.458409598383085</v>
      </c>
      <c r="CC92" s="59">
        <f>+SUM(Data!BN92:BT92)*2+Data!BU92</f>
        <v>69.089364693141931</v>
      </c>
      <c r="CD92" s="59">
        <f>+SUM(Data!BO92:BU92)*2+Data!BV92</f>
        <v>87.841914617957457</v>
      </c>
      <c r="CE92" s="59">
        <f>+SUM(Data!BP92:BV92)*2+Data!BW92</f>
        <v>141.92674866158728</v>
      </c>
      <c r="CF92" s="59">
        <f>+SUM(Data!BQ92:BW92)*2+Data!BX92</f>
        <v>163.09195177815917</v>
      </c>
      <c r="CG92" s="59">
        <f>+SUM(Data!BR92:BX92)*2+Data!BY92</f>
        <v>181.52589268210062</v>
      </c>
      <c r="CH92" s="59">
        <f>+SUM(Data!BS92:BY92)*2+Data!BZ92</f>
        <v>187.337750400408</v>
      </c>
      <c r="CI92" s="59">
        <f>+SUM(Data!BT92:BZ92)*2+Data!CA92</f>
        <v>194.00093312667269</v>
      </c>
      <c r="CJ92" s="13">
        <f>+SUM(Data!AW92:BC92)*2+Data!BD92</f>
        <v>422.13698744958447</v>
      </c>
      <c r="CK92" s="13">
        <f>+SUM(Data!AX92:BD92)*2+Data!BE92</f>
        <v>382.00672465937515</v>
      </c>
      <c r="CL92" s="13">
        <f>+SUM(Data!AY92:BE92)*2+Data!BF92</f>
        <v>484.27872456792636</v>
      </c>
      <c r="CM92" s="13">
        <f>+SUM(Data!AZ92:BF92)*2+Data!BG92</f>
        <v>782.70791582583342</v>
      </c>
      <c r="CN92" s="13">
        <f>+SUM(Data!BA92:BG92)*2+Data!BH92</f>
        <v>895.95798423830411</v>
      </c>
      <c r="CO92" s="13">
        <f>+SUM(Data!BB92:BH92)*2+Data!BI92</f>
        <v>996.13165641386445</v>
      </c>
      <c r="CP92" s="13">
        <f>+SUM(Data!BC92:BI92)*2+Data!BJ92</f>
        <v>1028.9857500170644</v>
      </c>
      <c r="CQ92" s="13">
        <f>+SUM(Data!BD92:BJ92)*2+Data!BK92</f>
        <v>1066.228560290612</v>
      </c>
      <c r="CR92" s="59">
        <f>+SUM(Data!CC92:CI92)*2+Data!CJ92</f>
        <v>278.74353509658613</v>
      </c>
      <c r="CS92" s="59">
        <f>+SUM(Data!CD92:CJ92)*2+Data!CK92</f>
        <v>239.90444110003997</v>
      </c>
      <c r="CT92" s="59">
        <f>+SUM(Data!CE92:CK92)*2+Data!CL92</f>
        <v>298.96071476974942</v>
      </c>
      <c r="CU92" s="59">
        <f>+SUM(Data!CF92:CL92)*2+Data!CM92</f>
        <v>476.88387282269298</v>
      </c>
      <c r="CV92" s="59">
        <f>+SUM(Data!CG92:CM92)*2+Data!CN92</f>
        <v>544.44003654703988</v>
      </c>
      <c r="CW92" s="59">
        <f>+SUM(Data!CH92:CN92)*2+Data!CO92</f>
        <v>615.25367018521104</v>
      </c>
      <c r="CX92" s="59">
        <f>+SUM(Data!CI92:CO92)*2+Data!CP92</f>
        <v>632.92609277148392</v>
      </c>
      <c r="CY92" s="59">
        <f>+SUM(Data!CJ92:CP92)*2+Data!CQ92</f>
        <v>647.90738357855253</v>
      </c>
      <c r="CZ92" s="60">
        <f t="shared" si="110"/>
        <v>777.33893214455361</v>
      </c>
      <c r="DA92" s="60">
        <f t="shared" si="111"/>
        <v>691.00053045255709</v>
      </c>
      <c r="DB92" s="60">
        <f t="shared" si="112"/>
        <v>871.08135395563329</v>
      </c>
      <c r="DC92" s="60">
        <f t="shared" si="113"/>
        <v>1401.5185373101135</v>
      </c>
      <c r="DD92" s="60">
        <f t="shared" si="114"/>
        <v>1603.4899725635032</v>
      </c>
      <c r="DE92" s="60">
        <f t="shared" si="115"/>
        <v>1792.9112192811763</v>
      </c>
      <c r="DF92" s="60">
        <f t="shared" si="116"/>
        <v>1849.2495931889562</v>
      </c>
      <c r="DG92" s="60">
        <f t="shared" si="117"/>
        <v>1908.1368769958372</v>
      </c>
      <c r="DH92" s="13">
        <f t="shared" si="118"/>
        <v>9.7725851196693844E-2</v>
      </c>
      <c r="DI92" s="13">
        <f t="shared" si="119"/>
        <v>7.271031501077993E-2</v>
      </c>
      <c r="DJ92" s="13">
        <f t="shared" si="120"/>
        <v>5.0656075589133855E-2</v>
      </c>
      <c r="DK92" s="13">
        <f t="shared" si="121"/>
        <v>3.1563132931755972E-2</v>
      </c>
      <c r="DL92" s="13">
        <f t="shared" si="122"/>
        <v>0</v>
      </c>
      <c r="DM92" s="13">
        <f t="shared" si="123"/>
        <v>0</v>
      </c>
      <c r="DN92" s="13">
        <f t="shared" si="124"/>
        <v>0</v>
      </c>
      <c r="DO92" s="13">
        <f t="shared" si="125"/>
        <v>0</v>
      </c>
      <c r="DP92" s="50">
        <f>DH92*'Useful Constants'!$B$8</f>
        <v>416.31212609791578</v>
      </c>
      <c r="DQ92" s="50">
        <f>DI92*'Useful Constants'!$B$8</f>
        <v>309.74594194592248</v>
      </c>
      <c r="DR92" s="50">
        <f>DJ92*'Useful Constants'!$B$10</f>
        <v>123.09426368159527</v>
      </c>
      <c r="DS92" s="50">
        <f>DK92*'Useful Constants'!$B$10</f>
        <v>76.69841302416701</v>
      </c>
      <c r="DT92" s="50">
        <f>DL92*'Useful Constants'!$B$10</f>
        <v>0</v>
      </c>
      <c r="DU92" s="50">
        <f>DM92*'Useful Constants'!$B$10</f>
        <v>0</v>
      </c>
      <c r="DV92" s="50">
        <f>DN92*'Useful Constants'!$B$10</f>
        <v>0</v>
      </c>
      <c r="DW92" s="50">
        <f>DO92*'Useful Constants'!$B$10</f>
        <v>0</v>
      </c>
      <c r="DX92" s="14">
        <f>DH92*'Useful Constants'!$B$9</f>
        <v>188.02453770243895</v>
      </c>
      <c r="DY92" s="14">
        <f>DI92*'Useful Constants'!$B$9</f>
        <v>139.89464608074059</v>
      </c>
      <c r="DZ92" s="14">
        <f>DJ92*'Useful Constants'!$B$11</f>
        <v>34.294163173843621</v>
      </c>
      <c r="EA92" s="14">
        <f>DK92*'Useful Constants'!$B$11</f>
        <v>21.368240994798793</v>
      </c>
      <c r="EB92" s="14">
        <f>DL92*'Useful Constants'!$B$11</f>
        <v>0</v>
      </c>
      <c r="EC92" s="14">
        <f>DM92*'Useful Constants'!$B$11</f>
        <v>0</v>
      </c>
      <c r="ED92" s="14">
        <f>DN92*'Useful Constants'!$B$11</f>
        <v>0</v>
      </c>
      <c r="EE92" s="14">
        <f>DO92*'Useful Constants'!$B$11</f>
        <v>0</v>
      </c>
      <c r="EF92" s="78">
        <f>(SUM(Data!DI92:DO92)*2+Data!DP92)/('Useful Constants'!$B$1*1000000)*$K92/100</f>
        <v>0</v>
      </c>
      <c r="EG92" s="78">
        <f>(SUM(Data!DJ92:DP92)*2+Data!DQ92)/('Useful Constants'!$B$1*1000000)*$K92/100</f>
        <v>0</v>
      </c>
      <c r="EH92" s="78">
        <f>(SUM(Data!DK92:DQ92)*2+Data!DR92)/('Useful Constants'!$B$1*1000000)*$K92/100</f>
        <v>0</v>
      </c>
      <c r="EI92" s="78">
        <f>(SUM(Data!DL92:DR92)*2+Data!DS92)/('Useful Constants'!$B$1*1000000)*$K92/100</f>
        <v>0</v>
      </c>
      <c r="EJ92" s="78">
        <f>(SUM(Data!DM92:DS92)*2+Data!DT92)/('Useful Constants'!$B$1*1000000)*$K92/100</f>
        <v>1.6505210792397004E-3</v>
      </c>
      <c r="EK92" s="78">
        <f>(SUM(Data!DN92:DT92)*2+Data!DU92)/('Useful Constants'!$B$1*1000000)*$K92/100</f>
        <v>4.7580426726179506E-3</v>
      </c>
      <c r="EL92" s="78">
        <f>(SUM(Data!DO92:DU92)*2+Data!DV92)/('Useful Constants'!$B$1*1000000)*$K92/100</f>
        <v>6.6409959473551381E-3</v>
      </c>
      <c r="EM92" s="78">
        <f>(SUM(Data!DP92:DV92)*2+Data!DW92)/('Useful Constants'!$B$1*1000000)*$K92/100</f>
        <v>7.4886151532575097E-3</v>
      </c>
      <c r="EN92" s="79">
        <f>EF92*'Useful Constants'!$B$3</f>
        <v>0</v>
      </c>
      <c r="EO92" s="79">
        <f>EG92*'Useful Constants'!$B$3</f>
        <v>0</v>
      </c>
      <c r="EP92" s="79">
        <f>EH92*'Useful Constants'!$B$3</f>
        <v>0</v>
      </c>
      <c r="EQ92" s="79">
        <f>EI92*'Useful Constants'!$B$3</f>
        <v>0</v>
      </c>
      <c r="ER92" s="79">
        <f>EJ92*'Useful Constants'!$B$3</f>
        <v>0.13864377065613484</v>
      </c>
      <c r="ES92" s="79">
        <f>EK92*'Useful Constants'!$B$3</f>
        <v>0.39967558449990787</v>
      </c>
      <c r="ET92" s="79">
        <f>EL92*'Useful Constants'!$B$3</f>
        <v>0.55784365957783155</v>
      </c>
      <c r="EU92" s="79">
        <f>EM92*'Useful Constants'!$B$3</f>
        <v>0.62904367287363083</v>
      </c>
      <c r="EV92" s="78">
        <f>EF92*'Useful Constants'!$B$4</f>
        <v>0</v>
      </c>
      <c r="EW92" s="78">
        <f>EG92*'Useful Constants'!$B$4</f>
        <v>0</v>
      </c>
      <c r="EX92" s="78">
        <f>EH92*'Useful Constants'!$B$4</f>
        <v>0</v>
      </c>
      <c r="EY92" s="78">
        <f>EI92*'Useful Constants'!$B$4</f>
        <v>0</v>
      </c>
      <c r="EZ92" s="78">
        <f>EJ92*'Useful Constants'!$B$4</f>
        <v>4.6214590218711611E-2</v>
      </c>
      <c r="FA92" s="78">
        <f>EK92*'Useful Constants'!$B$4</f>
        <v>0.13322519483330261</v>
      </c>
      <c r="FB92" s="78">
        <f>EL92*'Useful Constants'!$B$4</f>
        <v>0.18594788652594388</v>
      </c>
      <c r="FC92" s="78">
        <f>EM92*'Useful Constants'!$B$4</f>
        <v>0.20968122429121028</v>
      </c>
      <c r="FD92" s="40">
        <f t="shared" si="126"/>
        <v>0.98478406602264479</v>
      </c>
      <c r="FE92" s="40">
        <f t="shared" si="127"/>
        <v>0.9864737061543114</v>
      </c>
      <c r="FF92" s="40">
        <f t="shared" si="128"/>
        <v>0.98294979934083326</v>
      </c>
      <c r="FG92" s="40">
        <f t="shared" si="129"/>
        <v>0.97257268336714209</v>
      </c>
      <c r="FH92" s="40">
        <f t="shared" si="130"/>
        <v>0.96862263995782194</v>
      </c>
      <c r="FI92" s="40">
        <f t="shared" si="131"/>
        <v>0.9649184362160883</v>
      </c>
      <c r="FJ92" s="40">
        <f t="shared" si="132"/>
        <v>0.96381683280519248</v>
      </c>
      <c r="FK92" s="40">
        <f t="shared" si="133"/>
        <v>0.96266550281150987</v>
      </c>
      <c r="FL92" s="4">
        <f t="shared" si="134"/>
        <v>0.98407786365366745</v>
      </c>
      <c r="FM92" s="4">
        <f t="shared" si="135"/>
        <v>0.98665076553888398</v>
      </c>
      <c r="FN92" s="4">
        <f t="shared" si="136"/>
        <v>0.98673903316861378</v>
      </c>
      <c r="FO92" s="4">
        <f t="shared" si="137"/>
        <v>0.98028524225453695</v>
      </c>
      <c r="FP92" s="4">
        <f t="shared" si="138"/>
        <v>0.97861379831852224</v>
      </c>
      <c r="FQ92" s="4">
        <f t="shared" si="139"/>
        <v>0.97608529774438779</v>
      </c>
      <c r="FR92" s="4">
        <f t="shared" si="140"/>
        <v>0.97533224153361231</v>
      </c>
      <c r="FS92" s="4">
        <f t="shared" si="141"/>
        <v>0.97454642214957321</v>
      </c>
      <c r="FT92" s="38">
        <f t="shared" si="142"/>
        <v>0.98365105587923962</v>
      </c>
      <c r="FU92" s="38">
        <f t="shared" si="143"/>
        <v>0.98592800482460652</v>
      </c>
      <c r="FV92" s="38">
        <f t="shared" si="144"/>
        <v>0.98466751585041801</v>
      </c>
      <c r="FW92" s="38">
        <f t="shared" si="145"/>
        <v>0.97590763399995839</v>
      </c>
      <c r="FX92" s="38">
        <f t="shared" si="146"/>
        <v>0.97285072908390491</v>
      </c>
      <c r="FY92" s="38">
        <f t="shared" si="147"/>
        <v>0.96964400324767841</v>
      </c>
      <c r="FZ92" s="38">
        <f t="shared" si="148"/>
        <v>0.96868987856061017</v>
      </c>
      <c r="GA92" s="38">
        <f t="shared" si="149"/>
        <v>0.96769320212789345</v>
      </c>
    </row>
    <row r="93" spans="1:183" x14ac:dyDescent="0.25">
      <c r="A93" s="1" t="str">
        <f>Data!A93</f>
        <v>WA_SEATTLE-TACOMA-IAP_727930_TY3A</v>
      </c>
      <c r="B93" s="1" t="str">
        <f>TY3A_REP_CITIES!B93</f>
        <v>Seattle</v>
      </c>
      <c r="C93" s="1" t="str">
        <f>TY3A_REP_CITIES!C93</f>
        <v>King</v>
      </c>
      <c r="D93" s="2" t="str">
        <f>TY3A_REP_CITIES!A93</f>
        <v>WA</v>
      </c>
      <c r="E93" s="42">
        <f>TY3A_REP_CITIES!E93</f>
        <v>2252782</v>
      </c>
      <c r="F93" s="2">
        <f>TY3A_REP_CITIES!G93</f>
        <v>4</v>
      </c>
      <c r="G93" s="2" t="str">
        <f>TY3A_REP_CITIES!H93</f>
        <v>Marine</v>
      </c>
      <c r="H93" s="2" t="str">
        <f>TY3A_REP_CITIES!I93</f>
        <v>Pacific</v>
      </c>
      <c r="I93" s="2">
        <f>Data!B93</f>
        <v>47.47</v>
      </c>
      <c r="J93" s="2">
        <f>Data!C93</f>
        <v>-122.32</v>
      </c>
      <c r="K93" s="2">
        <f>VLOOKUP(D93,Table1[],2,FALSE)</f>
        <v>2.2000000000000002</v>
      </c>
      <c r="L93" s="2">
        <v>0.5</v>
      </c>
      <c r="M93" s="10">
        <f>Data!N93</f>
        <v>3267.1764600000001</v>
      </c>
      <c r="N93" s="10">
        <f>Data!Q93</f>
        <v>29308</v>
      </c>
      <c r="O93" s="10">
        <f>Data!O93</f>
        <v>26484539572.857498</v>
      </c>
      <c r="P93" s="10">
        <f>Data!P93</f>
        <v>27588062055.059834</v>
      </c>
      <c r="Q93" s="10">
        <f>Data!S93*15</f>
        <v>20815.578457645504</v>
      </c>
      <c r="R93" s="48">
        <f>SUM(Data!U93:AA93)*2+Data!AB93</f>
        <v>96.586975147324608</v>
      </c>
      <c r="S93" s="48">
        <f>SUM(Data!V93:AB93)*2+Data!AC93</f>
        <v>87.325676991050329</v>
      </c>
      <c r="T93" s="48">
        <f>SUM(Data!W93:AC93)*2+Data!AD93</f>
        <v>88.265072742610869</v>
      </c>
      <c r="U93" s="48">
        <f>SUM(Data!X93:AD93)*2+Data!AE93</f>
        <v>89.898126184547351</v>
      </c>
      <c r="V93" s="48">
        <f>SUM(Data!Y93:AE93)*2+Data!AF93</f>
        <v>88.451633459506212</v>
      </c>
      <c r="W93" s="48">
        <f>SUM(Data!Z93:AF93)*2+Data!AG93</f>
        <v>81.582238221007799</v>
      </c>
      <c r="X93" s="48">
        <f>SUM(Data!AA93:AG93)*2+Data!AH93</f>
        <v>80.245848587245916</v>
      </c>
      <c r="Y93" s="48">
        <f>SUM(Data!AB93:AH93)*2+Data!AI93</f>
        <v>79.300169580126592</v>
      </c>
      <c r="Z93" s="80">
        <f>(SUM(Data!CS93:CY93)*2+Data!CZ93)/('Useful Constants'!$B$1*1000000)*$K93/100</f>
        <v>0.10396954331890412</v>
      </c>
      <c r="AA93" s="80">
        <f>(SUM(Data!CT93:CZ93)*2+Data!DA93)/('Useful Constants'!$B$1*1000000)*$K93/100</f>
        <v>9.2215422093194471E-2</v>
      </c>
      <c r="AB93" s="80">
        <f>(SUM(Data!CU93:DA93)*2+Data!DB93)/('Useful Constants'!$B$1*1000000)*$K93/100</f>
        <v>8.3819143662672832E-2</v>
      </c>
      <c r="AC93" s="80">
        <f>(SUM(Data!CV93:DB93)*2+Data!DC93)/('Useful Constants'!$B$1*1000000)*$K93/100</f>
        <v>7.9505517381694493E-2</v>
      </c>
      <c r="AD93" s="80">
        <f>(SUM(Data!CW93:DC93)*2+Data!DD93)/('Useful Constants'!$B$1*1000000)*$K93/100</f>
        <v>7.8318339880541599E-2</v>
      </c>
      <c r="AE93" s="80">
        <f>(SUM(Data!CX93:DD93)*2+Data!DE93)/('Useful Constants'!$B$1*1000000)*$K93/100</f>
        <v>7.8665016760958384E-2</v>
      </c>
      <c r="AF93" s="80">
        <f>(SUM(Data!CY93:DE93)*2+Data!DF93)/('Useful Constants'!$B$1*1000000)*$K93/100</f>
        <v>7.5762286794184439E-2</v>
      </c>
      <c r="AG93" s="80">
        <f>(SUM(Data!CZ93:DF93)*2+Data!DG93)/('Useful Constants'!$B$1*1000000)*$K93/100</f>
        <v>7.2565621838562952E-2</v>
      </c>
      <c r="AH93" s="48">
        <f>Z93*'Useful Constants'!$B$3</f>
        <v>8.7334416387879461</v>
      </c>
      <c r="AI93" s="48">
        <f>AA93*'Useful Constants'!$B$3</f>
        <v>7.7460954558283355</v>
      </c>
      <c r="AJ93" s="48">
        <f>AB93*'Useful Constants'!$B$3</f>
        <v>7.0408080676645177</v>
      </c>
      <c r="AK93" s="48">
        <f>AC93*'Useful Constants'!$B$3</f>
        <v>6.6784634600623374</v>
      </c>
      <c r="AL93" s="48">
        <f>AD93*'Useful Constants'!$B$3</f>
        <v>6.5787405499654943</v>
      </c>
      <c r="AM93" s="48">
        <f>AE93*'Useful Constants'!$B$3</f>
        <v>6.6078614079205042</v>
      </c>
      <c r="AN93" s="48">
        <f>AF93*'Useful Constants'!$B$3</f>
        <v>6.3640320907114925</v>
      </c>
      <c r="AO93" s="48">
        <f>AG93*'Useful Constants'!$B$3</f>
        <v>6.0955122344392878</v>
      </c>
      <c r="AP93" s="10">
        <f>Z93*'Useful Constants'!$B$4</f>
        <v>2.9111472129293157</v>
      </c>
      <c r="AQ93" s="10">
        <f>AA93*'Useful Constants'!$B$4</f>
        <v>2.5820318186094453</v>
      </c>
      <c r="AR93" s="10">
        <f>AB93*'Useful Constants'!$B$4</f>
        <v>2.3469360225548392</v>
      </c>
      <c r="AS93" s="10">
        <f>AC93*'Useful Constants'!$B$4</f>
        <v>2.2261544866874456</v>
      </c>
      <c r="AT93" s="10">
        <f>AD93*'Useful Constants'!$B$4</f>
        <v>2.1929135166551648</v>
      </c>
      <c r="AU93" s="10">
        <f>AE93*'Useful Constants'!$B$4</f>
        <v>2.2026204693068347</v>
      </c>
      <c r="AV93" s="10">
        <f>AF93*'Useful Constants'!$B$4</f>
        <v>2.1213440302371644</v>
      </c>
      <c r="AW93" s="10">
        <f>AG93*'Useful Constants'!$B$4</f>
        <v>2.0318374114797626</v>
      </c>
      <c r="AX93" s="48">
        <f>P93/1000000/'Useful Constants'!$B$1*K93/100*'Useful Constants'!$B$3*15</f>
        <v>15294.821603325174</v>
      </c>
      <c r="AY93" s="48">
        <f>P93/1000000/'Useful Constants'!$B$1*L93/100*'Useful Constants'!$B$3*15</f>
        <v>3476.0958189375388</v>
      </c>
      <c r="AZ93" s="48">
        <f>P93/1000000/'Useful Constants'!$B$1*K93/100*'Useful Constants'!$B$4*15</f>
        <v>5098.2738677750576</v>
      </c>
      <c r="BA93" s="48">
        <f>P93/1000000/'Useful Constants'!$B$1*L93/100*'Useful Constants'!$B$4*15</f>
        <v>1158.698606312513</v>
      </c>
      <c r="BB93" s="7">
        <f>Data!AN93</f>
        <v>3267.1764600000001</v>
      </c>
      <c r="BC93" s="7">
        <f>Data!AQ93</f>
        <v>3267.1764600000001</v>
      </c>
      <c r="BD93" s="7">
        <f>Data!AT93</f>
        <v>4749.5635199999997</v>
      </c>
      <c r="BE93" s="6">
        <f>Data!AO93</f>
        <v>24049830837.092701</v>
      </c>
      <c r="BF93" s="6">
        <f>Data!AP93</f>
        <v>6392280216.6208696</v>
      </c>
      <c r="BG93" s="6">
        <f>Data!AR93</f>
        <v>1181937905.7405701</v>
      </c>
      <c r="BH93" s="6">
        <f>Data!AS93</f>
        <v>1181937905.7405701</v>
      </c>
      <c r="BI93" s="8">
        <f t="shared" si="100"/>
        <v>0.9531567557634546</v>
      </c>
      <c r="BJ93" s="8">
        <f t="shared" si="101"/>
        <v>0.84395248636276754</v>
      </c>
      <c r="BK93" s="13">
        <f>BB93*'Useful Constants'!$B$5/'Useful Constants'!$B$6*'Useful Constants'!$B$7</f>
        <v>0.83607045611399999</v>
      </c>
      <c r="BL93" s="52">
        <f>1-VLOOKUP($G93,'Useful Constants'!$A$17:$X$23,10,FALSE)</f>
        <v>0.32857738000000003</v>
      </c>
      <c r="BM93" s="52">
        <f>1-VLOOKUP($G93,'Useful Constants'!$A$17:$X$23,12,FALSE)</f>
        <v>0.29242681999999998</v>
      </c>
      <c r="BN93" s="52">
        <f>1-VLOOKUP($G93,'Useful Constants'!$A$17:$X$23,14,FALSE)</f>
        <v>0.25829049999999998</v>
      </c>
      <c r="BO93" s="52">
        <f>1-VLOOKUP($G93,'Useful Constants'!$A$17:$X$23,16,FALSE)</f>
        <v>0.22616842000000004</v>
      </c>
      <c r="BP93" s="52">
        <f>1-VLOOKUP($G93,'Useful Constants'!$A$17:$X$23,18,FALSE)</f>
        <v>0.19606057999999993</v>
      </c>
      <c r="BQ93" s="52">
        <f>1-VLOOKUP($G93,'Useful Constants'!$A$17:$X$23,20, FALSE)</f>
        <v>0.1679669800000001</v>
      </c>
      <c r="BR93" s="52">
        <f>1-VLOOKUP($G93,'Useful Constants'!$A$17:$X$23,22, FALSE)</f>
        <v>0.14188761999999999</v>
      </c>
      <c r="BS93" s="52">
        <f>1-VLOOKUP($G93,'Useful Constants'!$A$17:$X$23,24, FALSE)</f>
        <v>0.11782250000000005</v>
      </c>
      <c r="BT93" s="13">
        <f t="shared" si="102"/>
        <v>0.2747138399653431</v>
      </c>
      <c r="BU93" s="13">
        <f t="shared" si="103"/>
        <v>0.24448942477736654</v>
      </c>
      <c r="BV93" s="13">
        <f t="shared" si="104"/>
        <v>0.21594905614491311</v>
      </c>
      <c r="BW93" s="13">
        <f t="shared" si="105"/>
        <v>0.18909273406798274</v>
      </c>
      <c r="BX93" s="13">
        <f t="shared" si="106"/>
        <v>0.16392045854657533</v>
      </c>
      <c r="BY93" s="13">
        <f t="shared" si="107"/>
        <v>0.14043222958069121</v>
      </c>
      <c r="BZ93" s="13">
        <f t="shared" si="108"/>
        <v>0.1186280471703299</v>
      </c>
      <c r="CA93" s="13">
        <f t="shared" si="109"/>
        <v>9.8507911315491803E-2</v>
      </c>
      <c r="CB93" s="59">
        <f>+SUM(Data!BM93:BS93)*2+Data!BT93</f>
        <v>877.38584255554474</v>
      </c>
      <c r="CC93" s="59">
        <f>+SUM(Data!BN93:BT93)*2+Data!BU93</f>
        <v>793.81410068944638</v>
      </c>
      <c r="CD93" s="59">
        <f>+SUM(Data!BO93:BU93)*2+Data!BV93</f>
        <v>802.07941395057719</v>
      </c>
      <c r="CE93" s="59">
        <f>+SUM(Data!BP93:BV93)*2+Data!BW93</f>
        <v>816.36442492023798</v>
      </c>
      <c r="CF93" s="59">
        <f>+SUM(Data!BQ93:BW93)*2+Data!BX93</f>
        <v>802.75186883114588</v>
      </c>
      <c r="CG93" s="59">
        <f>+SUM(Data!BR93:BX93)*2+Data!BY93</f>
        <v>740.07860947640734</v>
      </c>
      <c r="CH93" s="59">
        <f>+SUM(Data!BS93:BY93)*2+Data!BZ93</f>
        <v>728.01399101804463</v>
      </c>
      <c r="CI93" s="59">
        <f>+SUM(Data!BT93:BZ93)*2+Data!CA93</f>
        <v>719.89140195147252</v>
      </c>
      <c r="CJ93" s="13">
        <f>+SUM(Data!AW93:BC93)*2+Data!BD93</f>
        <v>3668.0032834386402</v>
      </c>
      <c r="CK93" s="13">
        <f>+SUM(Data!AX93:BD93)*2+Data!BE93</f>
        <v>3325.6962205795289</v>
      </c>
      <c r="CL93" s="13">
        <f>+SUM(Data!AY93:BE93)*2+Data!BF93</f>
        <v>3358.5779244000523</v>
      </c>
      <c r="CM93" s="13">
        <f>+SUM(Data!AZ93:BF93)*2+Data!BG93</f>
        <v>3415.0925171389363</v>
      </c>
      <c r="CN93" s="13">
        <f>+SUM(Data!BA93:BG93)*2+Data!BH93</f>
        <v>3356.5049136192474</v>
      </c>
      <c r="CO93" s="13">
        <f>+SUM(Data!BB93:BH93)*2+Data!BI93</f>
        <v>3095.2237636339173</v>
      </c>
      <c r="CP93" s="13">
        <f>+SUM(Data!BC93:BI93)*2+Data!BJ93</f>
        <v>3047.503538582946</v>
      </c>
      <c r="CQ93" s="13">
        <f>+SUM(Data!BD93:BJ93)*2+Data!BK93</f>
        <v>3011.9334927676714</v>
      </c>
      <c r="CR93" s="59">
        <f>+SUM(Data!CC93:CI93)*2+Data!CJ93</f>
        <v>719.57097217377463</v>
      </c>
      <c r="CS93" s="59">
        <f>+SUM(Data!CD93:CJ93)*2+Data!CK93</f>
        <v>659.01818452846828</v>
      </c>
      <c r="CT93" s="59">
        <f>+SUM(Data!CE93:CK93)*2+Data!CL93</f>
        <v>664.20668771125838</v>
      </c>
      <c r="CU93" s="59">
        <f>+SUM(Data!CF93:CL93)*2+Data!CM93</f>
        <v>672.15273318513744</v>
      </c>
      <c r="CV93" s="59">
        <f>+SUM(Data!CG93:CM93)*2+Data!CN93</f>
        <v>660.73135500353567</v>
      </c>
      <c r="CW93" s="59">
        <f>+SUM(Data!CH93:CN93)*2+Data!CO93</f>
        <v>614.17511621667029</v>
      </c>
      <c r="CX93" s="59">
        <f>+SUM(Data!CI93:CO93)*2+Data!CP93</f>
        <v>607.6184085245676</v>
      </c>
      <c r="CY93" s="59">
        <f>+SUM(Data!CJ93:CP93)*2+Data!CQ93</f>
        <v>590.92222716922242</v>
      </c>
      <c r="CZ93" s="60">
        <f t="shared" si="110"/>
        <v>5264.9600981679596</v>
      </c>
      <c r="DA93" s="60">
        <f t="shared" si="111"/>
        <v>4778.5285057974434</v>
      </c>
      <c r="DB93" s="60">
        <f t="shared" si="112"/>
        <v>4824.8640260618877</v>
      </c>
      <c r="DC93" s="60">
        <f t="shared" si="113"/>
        <v>4903.6096752443118</v>
      </c>
      <c r="DD93" s="60">
        <f t="shared" si="114"/>
        <v>4819.9881374539291</v>
      </c>
      <c r="DE93" s="60">
        <f t="shared" si="115"/>
        <v>4449.4774893269951</v>
      </c>
      <c r="DF93" s="60">
        <f t="shared" si="116"/>
        <v>4383.1359381255579</v>
      </c>
      <c r="DG93" s="60">
        <f t="shared" si="117"/>
        <v>4322.7471218883666</v>
      </c>
      <c r="DH93" s="13">
        <f t="shared" si="118"/>
        <v>0.2824532385411786</v>
      </c>
      <c r="DI93" s="13">
        <f t="shared" si="119"/>
        <v>0.25137732349469183</v>
      </c>
      <c r="DJ93" s="13">
        <f t="shared" si="120"/>
        <v>0.22203289894581388</v>
      </c>
      <c r="DK93" s="13">
        <f t="shared" si="121"/>
        <v>0.19441996489454472</v>
      </c>
      <c r="DL93" s="13">
        <f t="shared" si="122"/>
        <v>0.16853852134088418</v>
      </c>
      <c r="DM93" s="13">
        <f t="shared" si="123"/>
        <v>0.14438856828483265</v>
      </c>
      <c r="DN93" s="13">
        <f t="shared" si="124"/>
        <v>0.12197010572638964</v>
      </c>
      <c r="DO93" s="13">
        <f t="shared" si="125"/>
        <v>0.10128313366555551</v>
      </c>
      <c r="DP93" s="50">
        <f>DH93*'Useful Constants'!$B$8</f>
        <v>1203.2507961854208</v>
      </c>
      <c r="DQ93" s="50">
        <f>DI93*'Useful Constants'!$B$8</f>
        <v>1070.8673980873873</v>
      </c>
      <c r="DR93" s="50">
        <f>DJ93*'Useful Constants'!$B$10</f>
        <v>539.53994443832778</v>
      </c>
      <c r="DS93" s="50">
        <f>DK93*'Useful Constants'!$B$10</f>
        <v>472.44051469374364</v>
      </c>
      <c r="DT93" s="50">
        <f>DL93*'Useful Constants'!$B$10</f>
        <v>409.54860685834853</v>
      </c>
      <c r="DU93" s="50">
        <f>DM93*'Useful Constants'!$B$10</f>
        <v>350.86422093214333</v>
      </c>
      <c r="DV93" s="50">
        <f>DN93*'Useful Constants'!$B$10</f>
        <v>296.38735691512682</v>
      </c>
      <c r="DW93" s="50">
        <f>DO93*'Useful Constants'!$B$10</f>
        <v>246.11801480729989</v>
      </c>
      <c r="DX93" s="14">
        <f>DH93*'Useful Constants'!$B$9</f>
        <v>543.44003095322762</v>
      </c>
      <c r="DY93" s="14">
        <f>DI93*'Useful Constants'!$B$9</f>
        <v>483.64997040378705</v>
      </c>
      <c r="DZ93" s="14">
        <f>DJ93*'Useful Constants'!$B$11</f>
        <v>150.31627258631599</v>
      </c>
      <c r="EA93" s="14">
        <f>DK93*'Useful Constants'!$B$11</f>
        <v>131.62231623360677</v>
      </c>
      <c r="EB93" s="14">
        <f>DL93*'Useful Constants'!$B$11</f>
        <v>114.10057894777859</v>
      </c>
      <c r="EC93" s="14">
        <f>DM93*'Useful Constants'!$B$11</f>
        <v>97.751060728831703</v>
      </c>
      <c r="ED93" s="14">
        <f>DN93*'Useful Constants'!$B$11</f>
        <v>82.57376157676579</v>
      </c>
      <c r="EE93" s="14">
        <f>DO93*'Useful Constants'!$B$11</f>
        <v>68.568681491581074</v>
      </c>
      <c r="EF93" s="78">
        <f>(SUM(Data!DI93:DO93)*2+Data!DP93)/('Useful Constants'!$B$1*1000000)*$K93/100</f>
        <v>5.6291865682326296</v>
      </c>
      <c r="EG93" s="78">
        <f>(SUM(Data!DJ93:DP93)*2+Data!DQ93)/('Useful Constants'!$B$1*1000000)*$K93/100</f>
        <v>5.0160767416101706</v>
      </c>
      <c r="EH93" s="78">
        <f>(SUM(Data!DK93:DQ93)*2+Data!DR93)/('Useful Constants'!$B$1*1000000)*$K93/100</f>
        <v>4.5613097438301908</v>
      </c>
      <c r="EI93" s="78">
        <f>(SUM(Data!DL93:DR93)*2+Data!DS93)/('Useful Constants'!$B$1*1000000)*$K93/100</f>
        <v>4.3315361762713396</v>
      </c>
      <c r="EJ93" s="78">
        <f>(SUM(Data!DM93:DS93)*2+Data!DT93)/('Useful Constants'!$B$1*1000000)*$K93/100</f>
        <v>4.262975418803558</v>
      </c>
      <c r="EK93" s="78">
        <f>(SUM(Data!DN93:DT93)*2+Data!DU93)/('Useful Constants'!$B$1*1000000)*$K93/100</f>
        <v>4.2769329643918148</v>
      </c>
      <c r="EL93" s="78">
        <f>(SUM(Data!DO93:DU93)*2+Data!DV93)/('Useful Constants'!$B$1*1000000)*$K93/100</f>
        <v>4.1230817261796338</v>
      </c>
      <c r="EM93" s="78">
        <f>(SUM(Data!DP93:DV93)*2+Data!DW93)/('Useful Constants'!$B$1*1000000)*$K93/100</f>
        <v>3.9494054325873016</v>
      </c>
      <c r="EN93" s="79">
        <f>EF93*'Useful Constants'!$B$3</f>
        <v>472.85167173154088</v>
      </c>
      <c r="EO93" s="79">
        <f>EG93*'Useful Constants'!$B$3</f>
        <v>421.3504462952543</v>
      </c>
      <c r="EP93" s="79">
        <f>EH93*'Useful Constants'!$B$3</f>
        <v>383.15001848173603</v>
      </c>
      <c r="EQ93" s="79">
        <f>EI93*'Useful Constants'!$B$3</f>
        <v>363.84903880679252</v>
      </c>
      <c r="ER93" s="79">
        <f>EJ93*'Useful Constants'!$B$3</f>
        <v>358.08993517949887</v>
      </c>
      <c r="ES93" s="79">
        <f>EK93*'Useful Constants'!$B$3</f>
        <v>359.26236900891246</v>
      </c>
      <c r="ET93" s="79">
        <f>EL93*'Useful Constants'!$B$3</f>
        <v>346.33886499908925</v>
      </c>
      <c r="EU93" s="79">
        <f>EM93*'Useful Constants'!$B$3</f>
        <v>331.75005633733332</v>
      </c>
      <c r="EV93" s="78">
        <f>EF93*'Useful Constants'!$B$4</f>
        <v>157.61722391051364</v>
      </c>
      <c r="EW93" s="78">
        <f>EG93*'Useful Constants'!$B$4</f>
        <v>140.45014876508478</v>
      </c>
      <c r="EX93" s="78">
        <f>EH93*'Useful Constants'!$B$4</f>
        <v>127.71667282724535</v>
      </c>
      <c r="EY93" s="78">
        <f>EI93*'Useful Constants'!$B$4</f>
        <v>121.28301293559751</v>
      </c>
      <c r="EZ93" s="78">
        <f>EJ93*'Useful Constants'!$B$4</f>
        <v>119.36331172649963</v>
      </c>
      <c r="FA93" s="78">
        <f>EK93*'Useful Constants'!$B$4</f>
        <v>119.75412300297081</v>
      </c>
      <c r="FB93" s="78">
        <f>EL93*'Useful Constants'!$B$4</f>
        <v>115.44628833302974</v>
      </c>
      <c r="FC93" s="78">
        <f>EM93*'Useful Constants'!$B$4</f>
        <v>110.58335211244444</v>
      </c>
      <c r="FD93" s="40">
        <f t="shared" si="126"/>
        <v>0.74823458072343585</v>
      </c>
      <c r="FE93" s="40">
        <f t="shared" si="127"/>
        <v>0.77139403811935781</v>
      </c>
      <c r="FF93" s="40">
        <f t="shared" si="128"/>
        <v>0.76918770851647744</v>
      </c>
      <c r="FG93" s="40">
        <f t="shared" si="129"/>
        <v>0.76543899128149262</v>
      </c>
      <c r="FH93" s="40">
        <f t="shared" si="130"/>
        <v>0.76942301955904147</v>
      </c>
      <c r="FI93" s="40">
        <f t="shared" si="131"/>
        <v>0.78707741429164058</v>
      </c>
      <c r="FJ93" s="40">
        <f t="shared" si="132"/>
        <v>0.79023866807598653</v>
      </c>
      <c r="FK93" s="40">
        <f t="shared" si="133"/>
        <v>0.79311929975721862</v>
      </c>
      <c r="FL93" s="4">
        <f t="shared" si="134"/>
        <v>0.82512610372372919</v>
      </c>
      <c r="FM93" s="4">
        <f t="shared" si="135"/>
        <v>0.84197332108657474</v>
      </c>
      <c r="FN93" s="4">
        <f t="shared" si="136"/>
        <v>0.85515894606702247</v>
      </c>
      <c r="FO93" s="4">
        <f t="shared" si="137"/>
        <v>0.85535648145317289</v>
      </c>
      <c r="FP93" s="4">
        <f t="shared" si="138"/>
        <v>0.85918821156885017</v>
      </c>
      <c r="FQ93" s="4">
        <f t="shared" si="139"/>
        <v>0.86995223901887464</v>
      </c>
      <c r="FR93" s="4">
        <f t="shared" si="140"/>
        <v>0.87331815688015046</v>
      </c>
      <c r="FS93" s="4">
        <f t="shared" si="141"/>
        <v>0.87647135036633006</v>
      </c>
      <c r="FT93" s="38">
        <f t="shared" si="142"/>
        <v>0.78043550042344156</v>
      </c>
      <c r="FU93" s="38">
        <f t="shared" si="143"/>
        <v>0.80109942562775427</v>
      </c>
      <c r="FV93" s="38">
        <f t="shared" si="144"/>
        <v>0.81213907295503451</v>
      </c>
      <c r="FW93" s="38">
        <f t="shared" si="145"/>
        <v>0.81017571665797516</v>
      </c>
      <c r="FX93" s="38">
        <f t="shared" si="146"/>
        <v>0.81395958983952565</v>
      </c>
      <c r="FY93" s="38">
        <f t="shared" si="147"/>
        <v>0.82814387371419251</v>
      </c>
      <c r="FZ93" s="38">
        <f t="shared" si="148"/>
        <v>0.83129553302069048</v>
      </c>
      <c r="GA93" s="38">
        <f t="shared" si="149"/>
        <v>0.83420790442194381</v>
      </c>
    </row>
    <row r="94" spans="1:183" x14ac:dyDescent="0.25">
      <c r="A94" s="1" t="str">
        <f>Data!A94</f>
        <v>WA_SPOKANE-IAP_727850_TY3A</v>
      </c>
      <c r="B94" s="1" t="str">
        <f>TY3A_REP_CITIES!B94</f>
        <v>Spokane</v>
      </c>
      <c r="C94" s="1" t="str">
        <f>TY3A_REP_CITIES!C94</f>
        <v>Spokane</v>
      </c>
      <c r="D94" s="2" t="str">
        <f>TY3A_REP_CITIES!A94</f>
        <v>WA</v>
      </c>
      <c r="E94" s="42">
        <f>TY3A_REP_CITIES!E94</f>
        <v>522798</v>
      </c>
      <c r="F94" s="2">
        <f>TY3A_REP_CITIES!G94</f>
        <v>5</v>
      </c>
      <c r="G94" s="2" t="str">
        <f>TY3A_REP_CITIES!H94</f>
        <v>Cold</v>
      </c>
      <c r="H94" s="2" t="str">
        <f>TY3A_REP_CITIES!I94</f>
        <v>Pacific</v>
      </c>
      <c r="I94" s="2">
        <f>Data!B94</f>
        <v>47.49</v>
      </c>
      <c r="J94" s="2">
        <f>Data!C94</f>
        <v>-117.59</v>
      </c>
      <c r="K94" s="2">
        <f>VLOOKUP(D94,Table1[],2,FALSE)</f>
        <v>2.2000000000000002</v>
      </c>
      <c r="L94" s="2">
        <v>0.5</v>
      </c>
      <c r="M94" s="10">
        <f>Data!N94</f>
        <v>4066.6019000000001</v>
      </c>
      <c r="N94" s="10">
        <f>Data!Q94</f>
        <v>29308</v>
      </c>
      <c r="O94" s="10">
        <f>Data!O94</f>
        <v>51570613878.884598</v>
      </c>
      <c r="P94" s="10">
        <f>Data!P94</f>
        <v>53719389457.171417</v>
      </c>
      <c r="Q94" s="10">
        <f>Data!S94*15</f>
        <v>40532.030256814629</v>
      </c>
      <c r="R94" s="48">
        <f>SUM(Data!U94:AA94)*2+Data!AB94</f>
        <v>270.10137519179699</v>
      </c>
      <c r="S94" s="48">
        <f>SUM(Data!V94:AB94)*2+Data!AC94</f>
        <v>242.7096303388964</v>
      </c>
      <c r="T94" s="48">
        <f>SUM(Data!W94:AC94)*2+Data!AD94</f>
        <v>245.6175508287491</v>
      </c>
      <c r="U94" s="48">
        <f>SUM(Data!X94:AD94)*2+Data!AE94</f>
        <v>250.52681465128433</v>
      </c>
      <c r="V94" s="48">
        <f>SUM(Data!Y94:AE94)*2+Data!AF94</f>
        <v>246.41295846599729</v>
      </c>
      <c r="W94" s="48">
        <f>SUM(Data!Z94:AF94)*2+Data!AG94</f>
        <v>227.35011533017712</v>
      </c>
      <c r="X94" s="48">
        <f>SUM(Data!AA94:AG94)*2+Data!AH94</f>
        <v>223.74626009307687</v>
      </c>
      <c r="Y94" s="48">
        <f>SUM(Data!AB94:AH94)*2+Data!AI94</f>
        <v>222.1599560936838</v>
      </c>
      <c r="Z94" s="80">
        <f>(SUM(Data!CS94:CY94)*2+Data!CZ94)/('Useful Constants'!$B$1*1000000)*$K94/100</f>
        <v>0.29717703026523823</v>
      </c>
      <c r="AA94" s="80">
        <f>(SUM(Data!CT94:CZ94)*2+Data!DA94)/('Useful Constants'!$B$1*1000000)*$K94/100</f>
        <v>0.26438129151598821</v>
      </c>
      <c r="AB94" s="80">
        <f>(SUM(Data!CU94:DA94)*2+Data!DB94)/('Useful Constants'!$B$1*1000000)*$K94/100</f>
        <v>0.24032310407528074</v>
      </c>
      <c r="AC94" s="80">
        <f>(SUM(Data!CV94:DB94)*2+Data!DC94)/('Useful Constants'!$B$1*1000000)*$K94/100</f>
        <v>0.22705886654698318</v>
      </c>
      <c r="AD94" s="80">
        <f>(SUM(Data!CW94:DC94)*2+Data!DD94)/('Useful Constants'!$B$1*1000000)*$K94/100</f>
        <v>0.22387251146640319</v>
      </c>
      <c r="AE94" s="80">
        <f>(SUM(Data!CX94:DD94)*2+Data!DE94)/('Useful Constants'!$B$1*1000000)*$K94/100</f>
        <v>0.22437513659652275</v>
      </c>
      <c r="AF94" s="80">
        <f>(SUM(Data!CY94:DE94)*2+Data!DF94)/('Useful Constants'!$B$1*1000000)*$K94/100</f>
        <v>0.21624180004097063</v>
      </c>
      <c r="AG94" s="80">
        <f>(SUM(Data!CZ94:DF94)*2+Data!DG94)/('Useful Constants'!$B$1*1000000)*$K94/100</f>
        <v>0.20763009439794747</v>
      </c>
      <c r="AH94" s="48">
        <f>Z94*'Useful Constants'!$B$3</f>
        <v>24.962870542280012</v>
      </c>
      <c r="AI94" s="48">
        <f>AA94*'Useful Constants'!$B$3</f>
        <v>22.208028487343011</v>
      </c>
      <c r="AJ94" s="48">
        <f>AB94*'Useful Constants'!$B$3</f>
        <v>20.187140742323582</v>
      </c>
      <c r="AK94" s="48">
        <f>AC94*'Useful Constants'!$B$3</f>
        <v>19.072944789946586</v>
      </c>
      <c r="AL94" s="48">
        <f>AD94*'Useful Constants'!$B$3</f>
        <v>18.805290963177868</v>
      </c>
      <c r="AM94" s="48">
        <f>AE94*'Useful Constants'!$B$3</f>
        <v>18.847511474107911</v>
      </c>
      <c r="AN94" s="48">
        <f>AF94*'Useful Constants'!$B$3</f>
        <v>18.164311203441532</v>
      </c>
      <c r="AO94" s="48">
        <f>AG94*'Useful Constants'!$B$3</f>
        <v>17.440927929427588</v>
      </c>
      <c r="AP94" s="10">
        <f>Z94*'Useful Constants'!$B$4</f>
        <v>8.32095684742667</v>
      </c>
      <c r="AQ94" s="10">
        <f>AA94*'Useful Constants'!$B$4</f>
        <v>7.40267616244767</v>
      </c>
      <c r="AR94" s="10">
        <f>AB94*'Useful Constants'!$B$4</f>
        <v>6.7290469141078608</v>
      </c>
      <c r="AS94" s="10">
        <f>AC94*'Useful Constants'!$B$4</f>
        <v>6.3576482633155287</v>
      </c>
      <c r="AT94" s="10">
        <f>AD94*'Useful Constants'!$B$4</f>
        <v>6.2684303210592898</v>
      </c>
      <c r="AU94" s="10">
        <f>AE94*'Useful Constants'!$B$4</f>
        <v>6.282503824702637</v>
      </c>
      <c r="AV94" s="10">
        <f>AF94*'Useful Constants'!$B$4</f>
        <v>6.0547704011471772</v>
      </c>
      <c r="AW94" s="10">
        <f>AG94*'Useful Constants'!$B$4</f>
        <v>5.8136426431425292</v>
      </c>
      <c r="AX94" s="48">
        <f>P94/1000000/'Useful Constants'!$B$1*K94/100*'Useful Constants'!$B$3*15</f>
        <v>29782.029515055838</v>
      </c>
      <c r="AY94" s="48">
        <f>P94/1000000/'Useful Constants'!$B$1*L94/100*'Useful Constants'!$B$3*15</f>
        <v>6768.6430716035993</v>
      </c>
      <c r="AZ94" s="48">
        <f>P94/1000000/'Useful Constants'!$B$1*K94/100*'Useful Constants'!$B$4*15</f>
        <v>9927.3431716852792</v>
      </c>
      <c r="BA94" s="48">
        <f>P94/1000000/'Useful Constants'!$B$1*L94/100*'Useful Constants'!$B$4*15</f>
        <v>2256.2143572011996</v>
      </c>
      <c r="BB94" s="7">
        <f>Data!AN94</f>
        <v>4066.6019000000001</v>
      </c>
      <c r="BC94" s="7">
        <f>Data!AQ94</f>
        <v>4066.6019000000001</v>
      </c>
      <c r="BD94" s="7">
        <f>Data!AT94</f>
        <v>7478.1667399999997</v>
      </c>
      <c r="BE94" s="6">
        <f>Data!AO94</f>
        <v>41109460300.985298</v>
      </c>
      <c r="BF94" s="6">
        <f>Data!AP94</f>
        <v>13958628212.879801</v>
      </c>
      <c r="BG94" s="6">
        <f>Data!AR94</f>
        <v>7768458674.7831802</v>
      </c>
      <c r="BH94" s="6">
        <f>Data!AS94</f>
        <v>7768458674.7831802</v>
      </c>
      <c r="BI94" s="8">
        <f t="shared" si="100"/>
        <v>0.84106404614659558</v>
      </c>
      <c r="BJ94" s="8">
        <f t="shared" si="101"/>
        <v>0.64245281868899573</v>
      </c>
      <c r="BK94" s="13">
        <f>BB94*'Useful Constants'!$B$5/'Useful Constants'!$B$6*'Useful Constants'!$B$7</f>
        <v>1.0406434262099999</v>
      </c>
      <c r="BL94" s="52">
        <f>1-VLOOKUP($G94,'Useful Constants'!$A$17:$X$23,10,FALSE)</f>
        <v>6.6471999999999865E-2</v>
      </c>
      <c r="BM94" s="52">
        <f>1-VLOOKUP($G94,'Useful Constants'!$A$17:$X$23,12,FALSE)</f>
        <v>4.945672000000001E-2</v>
      </c>
      <c r="BN94" s="52">
        <f>1-VLOOKUP($G94,'Useful Constants'!$A$17:$X$23,14,FALSE)</f>
        <v>3.4455679999999989E-2</v>
      </c>
      <c r="BO94" s="52">
        <f>1-VLOOKUP($G94,'Useful Constants'!$A$17:$X$23,16,FALSE)</f>
        <v>2.1468880000000024E-2</v>
      </c>
      <c r="BP94" s="52">
        <f>1-VLOOKUP($G94,'Useful Constants'!$A$17:$X$23,18,FALSE)</f>
        <v>0</v>
      </c>
      <c r="BQ94" s="52">
        <f>1-VLOOKUP($G94,'Useful Constants'!$A$17:$X$23,20, FALSE)</f>
        <v>0</v>
      </c>
      <c r="BR94" s="52">
        <f>1-VLOOKUP($G94,'Useful Constants'!$A$17:$X$23,22, FALSE)</f>
        <v>0</v>
      </c>
      <c r="BS94" s="52">
        <f>1-VLOOKUP($G94,'Useful Constants'!$A$17:$X$23,24, FALSE)</f>
        <v>0</v>
      </c>
      <c r="BT94" s="13">
        <f t="shared" si="102"/>
        <v>6.9173649827030975E-2</v>
      </c>
      <c r="BU94" s="13">
        <f t="shared" si="103"/>
        <v>5.1466810549908641E-2</v>
      </c>
      <c r="BV94" s="13">
        <f t="shared" si="104"/>
        <v>3.5856076887595359E-2</v>
      </c>
      <c r="BW94" s="13">
        <f t="shared" si="105"/>
        <v>2.2341448840091368E-2</v>
      </c>
      <c r="BX94" s="13">
        <f t="shared" si="106"/>
        <v>0</v>
      </c>
      <c r="BY94" s="13">
        <f t="shared" si="107"/>
        <v>0</v>
      </c>
      <c r="BZ94" s="13">
        <f t="shared" si="108"/>
        <v>0</v>
      </c>
      <c r="CA94" s="13">
        <f t="shared" si="109"/>
        <v>0</v>
      </c>
      <c r="CB94" s="59">
        <f>+SUM(Data!BM94:BS94)*2+Data!BT94</f>
        <v>1958.7400955399025</v>
      </c>
      <c r="CC94" s="59">
        <f>+SUM(Data!BN94:BT94)*2+Data!BU94</f>
        <v>1756.0318593459874</v>
      </c>
      <c r="CD94" s="59">
        <f>+SUM(Data!BO94:BU94)*2+Data!BV94</f>
        <v>1777.0916277742706</v>
      </c>
      <c r="CE94" s="59">
        <f>+SUM(Data!BP94:BV94)*2+Data!BW94</f>
        <v>1811.739740384063</v>
      </c>
      <c r="CF94" s="59">
        <f>+SUM(Data!BQ94:BW94)*2+Data!BX94</f>
        <v>1781.7276371296832</v>
      </c>
      <c r="CG94" s="59">
        <f>+SUM(Data!BR94:BX94)*2+Data!BY94</f>
        <v>1643.8223792902111</v>
      </c>
      <c r="CH94" s="59">
        <f>+SUM(Data!BS94:BY94)*2+Data!BZ94</f>
        <v>1615.2846624420602</v>
      </c>
      <c r="CI94" s="59">
        <f>+SUM(Data!BT94:BZ94)*2+Data!CA94</f>
        <v>1603.5306686213432</v>
      </c>
      <c r="CJ94" s="13">
        <f>+SUM(Data!AW94:BC94)*2+Data!BD94</f>
        <v>8336.124726273807</v>
      </c>
      <c r="CK94" s="13">
        <f>+SUM(Data!AX94:BD94)*2+Data!BE94</f>
        <v>7496.9894162784012</v>
      </c>
      <c r="CL94" s="13">
        <f>+SUM(Data!AY94:BE94)*2+Data!BF94</f>
        <v>7582.4597241492047</v>
      </c>
      <c r="CM94" s="13">
        <f>+SUM(Data!AZ94:BF94)*2+Data!BG94</f>
        <v>7723.2017286870623</v>
      </c>
      <c r="CN94" s="13">
        <f>+SUM(Data!BA94:BG94)*2+Data!BH94</f>
        <v>7590.1997807124053</v>
      </c>
      <c r="CO94" s="13">
        <f>+SUM(Data!BB94:BH94)*2+Data!BI94</f>
        <v>7000.5549814758306</v>
      </c>
      <c r="CP94" s="13">
        <f>+SUM(Data!BC94:BI94)*2+Data!BJ94</f>
        <v>6883.112434618014</v>
      </c>
      <c r="CQ94" s="13">
        <f>+SUM(Data!BD94:BJ94)*2+Data!BK94</f>
        <v>6835.5733393089749</v>
      </c>
      <c r="CR94" s="59">
        <f>+SUM(Data!CC94:CI94)*2+Data!CJ94</f>
        <v>5229.5431551442471</v>
      </c>
      <c r="CS94" s="59">
        <f>+SUM(Data!CD94:CJ94)*2+Data!CK94</f>
        <v>4866.8974326792923</v>
      </c>
      <c r="CT94" s="59">
        <f>+SUM(Data!CE94:CK94)*2+Data!CL94</f>
        <v>4903.8889365440191</v>
      </c>
      <c r="CU94" s="59">
        <f>+SUM(Data!CF94:CL94)*2+Data!CM94</f>
        <v>4978.8175574824481</v>
      </c>
      <c r="CV94" s="59">
        <f>+SUM(Data!CG94:CM94)*2+Data!CN94</f>
        <v>4871.2610522870882</v>
      </c>
      <c r="CW94" s="59">
        <f>+SUM(Data!CH94:CN94)*2+Data!CO94</f>
        <v>4481.2628236575729</v>
      </c>
      <c r="CX94" s="59">
        <f>+SUM(Data!CI94:CO94)*2+Data!CP94</f>
        <v>4469.182451062401</v>
      </c>
      <c r="CY94" s="59">
        <f>+SUM(Data!CJ94:CP94)*2+Data!CQ94</f>
        <v>4462.5620842745675</v>
      </c>
      <c r="CZ94" s="60">
        <f t="shared" si="110"/>
        <v>15524.407976957957</v>
      </c>
      <c r="DA94" s="60">
        <f t="shared" si="111"/>
        <v>14119.918708303681</v>
      </c>
      <c r="DB94" s="60">
        <f t="shared" si="112"/>
        <v>14263.440288467495</v>
      </c>
      <c r="DC94" s="60">
        <f t="shared" si="113"/>
        <v>14513.759026553573</v>
      </c>
      <c r="DD94" s="60">
        <f t="shared" si="114"/>
        <v>14243.188470129178</v>
      </c>
      <c r="DE94" s="60">
        <f t="shared" si="115"/>
        <v>13125.640184423615</v>
      </c>
      <c r="DF94" s="60">
        <f t="shared" si="116"/>
        <v>12967.579548122476</v>
      </c>
      <c r="DG94" s="60">
        <f t="shared" si="117"/>
        <v>12901.666092204887</v>
      </c>
      <c r="DH94" s="13">
        <f t="shared" si="118"/>
        <v>7.112245024794972E-2</v>
      </c>
      <c r="DI94" s="13">
        <f t="shared" si="119"/>
        <v>5.2916763564008727E-2</v>
      </c>
      <c r="DJ94" s="13">
        <f t="shared" si="120"/>
        <v>3.6866235205188357E-2</v>
      </c>
      <c r="DK94" s="13">
        <f t="shared" si="121"/>
        <v>2.2970865171488861E-2</v>
      </c>
      <c r="DL94" s="13">
        <f t="shared" si="122"/>
        <v>0</v>
      </c>
      <c r="DM94" s="13">
        <f t="shared" si="123"/>
        <v>0</v>
      </c>
      <c r="DN94" s="13">
        <f t="shared" si="124"/>
        <v>0</v>
      </c>
      <c r="DO94" s="13">
        <f t="shared" si="125"/>
        <v>0</v>
      </c>
      <c r="DP94" s="50">
        <f>DH94*'Useful Constants'!$B$8</f>
        <v>302.98163805626581</v>
      </c>
      <c r="DQ94" s="50">
        <f>DI94*'Useful Constants'!$B$8</f>
        <v>225.42541278267717</v>
      </c>
      <c r="DR94" s="50">
        <f>DJ94*'Useful Constants'!$B$10</f>
        <v>89.584951548607705</v>
      </c>
      <c r="DS94" s="50">
        <f>DK94*'Useful Constants'!$B$10</f>
        <v>55.819202366717931</v>
      </c>
      <c r="DT94" s="50">
        <f>DL94*'Useful Constants'!$B$10</f>
        <v>0</v>
      </c>
      <c r="DU94" s="50">
        <f>DM94*'Useful Constants'!$B$10</f>
        <v>0</v>
      </c>
      <c r="DV94" s="50">
        <f>DN94*'Useful Constants'!$B$10</f>
        <v>0</v>
      </c>
      <c r="DW94" s="50">
        <f>DO94*'Useful Constants'!$B$10</f>
        <v>0</v>
      </c>
      <c r="DX94" s="14">
        <f>DH94*'Useful Constants'!$B$9</f>
        <v>136.83959427705526</v>
      </c>
      <c r="DY94" s="14">
        <f>DI94*'Useful Constants'!$B$9</f>
        <v>101.81185309715279</v>
      </c>
      <c r="DZ94" s="14">
        <f>DJ94*'Useful Constants'!$B$11</f>
        <v>24.958441233912517</v>
      </c>
      <c r="EA94" s="14">
        <f>DK94*'Useful Constants'!$B$11</f>
        <v>15.551275721097959</v>
      </c>
      <c r="EB94" s="14">
        <f>DL94*'Useful Constants'!$B$11</f>
        <v>0</v>
      </c>
      <c r="EC94" s="14">
        <f>DM94*'Useful Constants'!$B$11</f>
        <v>0</v>
      </c>
      <c r="ED94" s="14">
        <f>DN94*'Useful Constants'!$B$11</f>
        <v>0</v>
      </c>
      <c r="EE94" s="14">
        <f>DO94*'Useful Constants'!$B$11</f>
        <v>0</v>
      </c>
      <c r="EF94" s="78">
        <f>(SUM(Data!DI94:DO94)*2+Data!DP94)/('Useful Constants'!$B$1*1000000)*$K94/100</f>
        <v>17.162980374828521</v>
      </c>
      <c r="EG94" s="78">
        <f>(SUM(Data!DJ94:DP94)*2+Data!DQ94)/('Useful Constants'!$B$1*1000000)*$K94/100</f>
        <v>15.415572590802858</v>
      </c>
      <c r="EH94" s="78">
        <f>(SUM(Data!DK94:DQ94)*2+Data!DR94)/('Useful Constants'!$B$1*1000000)*$K94/100</f>
        <v>14.106593347481917</v>
      </c>
      <c r="EI94" s="78">
        <f>(SUM(Data!DL94:DR94)*2+Data!DS94)/('Useful Constants'!$B$1*1000000)*$K94/100</f>
        <v>13.363132175280045</v>
      </c>
      <c r="EJ94" s="78">
        <f>(SUM(Data!DM94:DS94)*2+Data!DT94)/('Useful Constants'!$B$1*1000000)*$K94/100</f>
        <v>13.175813224354876</v>
      </c>
      <c r="EK94" s="78">
        <f>(SUM(Data!DN94:DT94)*2+Data!DU94)/('Useful Constants'!$B$1*1000000)*$K94/100</f>
        <v>13.181287617971739</v>
      </c>
      <c r="EL94" s="78">
        <f>(SUM(Data!DO94:DU94)*2+Data!DV94)/('Useful Constants'!$B$1*1000000)*$K94/100</f>
        <v>12.708807377772091</v>
      </c>
      <c r="EM94" s="78">
        <f>(SUM(Data!DP94:DV94)*2+Data!DW94)/('Useful Constants'!$B$1*1000000)*$K94/100</f>
        <v>12.190341281017954</v>
      </c>
      <c r="EN94" s="79">
        <f>EF94*'Useful Constants'!$B$3</f>
        <v>1441.6903514855958</v>
      </c>
      <c r="EO94" s="79">
        <f>EG94*'Useful Constants'!$B$3</f>
        <v>1294.9080976274402</v>
      </c>
      <c r="EP94" s="79">
        <f>EH94*'Useful Constants'!$B$3</f>
        <v>1184.953841188481</v>
      </c>
      <c r="EQ94" s="79">
        <f>EI94*'Useful Constants'!$B$3</f>
        <v>1122.5031027235239</v>
      </c>
      <c r="ER94" s="79">
        <f>EJ94*'Useful Constants'!$B$3</f>
        <v>1106.7683108458095</v>
      </c>
      <c r="ES94" s="79">
        <f>EK94*'Useful Constants'!$B$3</f>
        <v>1107.2281599096261</v>
      </c>
      <c r="ET94" s="79">
        <f>EL94*'Useful Constants'!$B$3</f>
        <v>1067.5398197328557</v>
      </c>
      <c r="EU94" s="79">
        <f>EM94*'Useful Constants'!$B$3</f>
        <v>1023.9886676055081</v>
      </c>
      <c r="EV94" s="78">
        <f>EF94*'Useful Constants'!$B$4</f>
        <v>480.56345049519859</v>
      </c>
      <c r="EW94" s="78">
        <f>EG94*'Useful Constants'!$B$4</f>
        <v>431.63603254248005</v>
      </c>
      <c r="EX94" s="78">
        <f>EH94*'Useful Constants'!$B$4</f>
        <v>394.98461372949367</v>
      </c>
      <c r="EY94" s="78">
        <f>EI94*'Useful Constants'!$B$4</f>
        <v>374.16770090784127</v>
      </c>
      <c r="EZ94" s="78">
        <f>EJ94*'Useful Constants'!$B$4</f>
        <v>368.92277028193655</v>
      </c>
      <c r="FA94" s="78">
        <f>EK94*'Useful Constants'!$B$4</f>
        <v>369.07605330320871</v>
      </c>
      <c r="FB94" s="78">
        <f>EL94*'Useful Constants'!$B$4</f>
        <v>355.84660657761856</v>
      </c>
      <c r="FC94" s="78">
        <f>EM94*'Useful Constants'!$B$4</f>
        <v>341.32955586850272</v>
      </c>
      <c r="FD94" s="40">
        <f t="shared" si="126"/>
        <v>0.61951968301626337</v>
      </c>
      <c r="FE94" s="40">
        <f t="shared" si="127"/>
        <v>0.65370916534645274</v>
      </c>
      <c r="FF94" s="40">
        <f t="shared" si="128"/>
        <v>0.65021424590866306</v>
      </c>
      <c r="FG94" s="40">
        <f t="shared" si="129"/>
        <v>0.64411846463868916</v>
      </c>
      <c r="FH94" s="40">
        <f t="shared" si="130"/>
        <v>0.65071769917906219</v>
      </c>
      <c r="FI94" s="40">
        <f t="shared" si="131"/>
        <v>0.67797252891033266</v>
      </c>
      <c r="FJ94" s="40">
        <f t="shared" si="132"/>
        <v>0.68182229228922131</v>
      </c>
      <c r="FK94" s="40">
        <f t="shared" si="133"/>
        <v>0.68342724944836553</v>
      </c>
      <c r="FL94" s="4">
        <f t="shared" si="134"/>
        <v>0.77682116431984327</v>
      </c>
      <c r="FM94" s="4">
        <f t="shared" si="135"/>
        <v>0.79779271660660001</v>
      </c>
      <c r="FN94" s="4">
        <f t="shared" si="136"/>
        <v>0.79911727354060946</v>
      </c>
      <c r="FO94" s="4">
        <f t="shared" si="137"/>
        <v>0.79713491643295431</v>
      </c>
      <c r="FP94" s="4">
        <f t="shared" si="138"/>
        <v>0.80154661477535993</v>
      </c>
      <c r="FQ94" s="4">
        <f t="shared" si="139"/>
        <v>0.81594373826893218</v>
      </c>
      <c r="FR94" s="4">
        <f t="shared" si="140"/>
        <v>0.81849092096237575</v>
      </c>
      <c r="FS94" s="4">
        <f t="shared" si="141"/>
        <v>0.81990119165502584</v>
      </c>
      <c r="FT94" s="38">
        <f t="shared" si="142"/>
        <v>0.69540310337211941</v>
      </c>
      <c r="FU94" s="38">
        <f t="shared" si="143"/>
        <v>0.72334234101626527</v>
      </c>
      <c r="FV94" s="38">
        <f t="shared" si="144"/>
        <v>0.72278731435635446</v>
      </c>
      <c r="FW94" s="38">
        <f t="shared" si="145"/>
        <v>0.71865617422505745</v>
      </c>
      <c r="FX94" s="38">
        <f t="shared" si="146"/>
        <v>0.72413462874771561</v>
      </c>
      <c r="FY94" s="38">
        <f t="shared" si="147"/>
        <v>0.74513852830042382</v>
      </c>
      <c r="FZ94" s="38">
        <f t="shared" si="148"/>
        <v>0.74835530623915969</v>
      </c>
      <c r="GA94" s="38">
        <f t="shared" si="149"/>
        <v>0.74986579478640825</v>
      </c>
    </row>
    <row r="95" spans="1:183" x14ac:dyDescent="0.25">
      <c r="A95" s="1" t="str">
        <f>Data!A95</f>
        <v>WI_MILWAUKEE-MITCHELL-IAP_726400_TY3A</v>
      </c>
      <c r="B95" s="1" t="str">
        <f>TY3A_REP_CITIES!B95</f>
        <v>Milwaukee</v>
      </c>
      <c r="C95" s="1" t="str">
        <f>TY3A_REP_CITIES!C95</f>
        <v>Milwaukee</v>
      </c>
      <c r="D95" s="2" t="str">
        <f>TY3A_REP_CITIES!A95</f>
        <v>WI</v>
      </c>
      <c r="E95" s="42">
        <f>TY3A_REP_CITIES!E95</f>
        <v>945726</v>
      </c>
      <c r="F95" s="2">
        <f>TY3A_REP_CITIES!G95</f>
        <v>6</v>
      </c>
      <c r="G95" s="2" t="str">
        <f>TY3A_REP_CITIES!H95</f>
        <v>Cold</v>
      </c>
      <c r="H95" s="2" t="str">
        <f>TY3A_REP_CITIES!I95</f>
        <v>Midwest</v>
      </c>
      <c r="I95" s="2">
        <f>Data!B95</f>
        <v>42.95</v>
      </c>
      <c r="J95" s="2">
        <f>Data!C95</f>
        <v>-87.9</v>
      </c>
      <c r="K95" s="2">
        <f>VLOOKUP(D95,Table1[],2,FALSE)</f>
        <v>2.2000000000000002</v>
      </c>
      <c r="L95" s="2">
        <v>0.5</v>
      </c>
      <c r="M95" s="10">
        <f>Data!N95</f>
        <v>5737.9262900000003</v>
      </c>
      <c r="N95" s="10">
        <f>Data!Q95</f>
        <v>29308</v>
      </c>
      <c r="O95" s="10">
        <f>Data!O95</f>
        <v>62994735020.768204</v>
      </c>
      <c r="P95" s="10">
        <f>Data!P95</f>
        <v>65619515646.633507</v>
      </c>
      <c r="Q95" s="10">
        <f>Data!S95*15</f>
        <v>49510.841811546372</v>
      </c>
      <c r="R95" s="48">
        <f>SUM(Data!U95:AA95)*2+Data!AB95</f>
        <v>910.80535488843236</v>
      </c>
      <c r="S95" s="48">
        <f>SUM(Data!V95:AB95)*2+Data!AC95</f>
        <v>861.36154714547695</v>
      </c>
      <c r="T95" s="48">
        <f>SUM(Data!W95:AC95)*2+Data!AD95</f>
        <v>749.81025522264611</v>
      </c>
      <c r="U95" s="48">
        <f>SUM(Data!X95:AD95)*2+Data!AE95</f>
        <v>674.44467382868083</v>
      </c>
      <c r="V95" s="48">
        <f>SUM(Data!Y95:AE95)*2+Data!AF95</f>
        <v>640.96434458310159</v>
      </c>
      <c r="W95" s="48">
        <f>SUM(Data!Z95:AF95)*2+Data!AG95</f>
        <v>662.5177131368514</v>
      </c>
      <c r="X95" s="48">
        <f>SUM(Data!AA95:AG95)*2+Data!AH95</f>
        <v>717.58630791487155</v>
      </c>
      <c r="Y95" s="48">
        <f>SUM(Data!AB95:AH95)*2+Data!AI95</f>
        <v>710.26260208950555</v>
      </c>
      <c r="Z95" s="80">
        <f>(SUM(Data!CS95:CY95)*2+Data!CZ95)/('Useful Constants'!$B$1*1000000)*$K95/100</f>
        <v>1.7395814007116142</v>
      </c>
      <c r="AA95" s="80">
        <f>(SUM(Data!CT95:CZ95)*2+Data!DA95)/('Useful Constants'!$B$1*1000000)*$K95/100</f>
        <v>1.4722539773931362</v>
      </c>
      <c r="AB95" s="80">
        <f>(SUM(Data!CU95:DA95)*2+Data!DB95)/('Useful Constants'!$B$1*1000000)*$K95/100</f>
        <v>1.2207985979536393</v>
      </c>
      <c r="AC95" s="80">
        <f>(SUM(Data!CV95:DB95)*2+Data!DC95)/('Useful Constants'!$B$1*1000000)*$K95/100</f>
        <v>1.0254985641145564</v>
      </c>
      <c r="AD95" s="80">
        <f>(SUM(Data!CW95:DC95)*2+Data!DD95)/('Useful Constants'!$B$1*1000000)*$K95/100</f>
        <v>0.86240169768376873</v>
      </c>
      <c r="AE95" s="80">
        <f>(SUM(Data!CX95:DD95)*2+Data!DE95)/('Useful Constants'!$B$1*1000000)*$K95/100</f>
        <v>0.73103597504751605</v>
      </c>
      <c r="AF95" s="80">
        <f>(SUM(Data!CY95:DE95)*2+Data!DF95)/('Useful Constants'!$B$1*1000000)*$K95/100</f>
        <v>0.61504686201499281</v>
      </c>
      <c r="AG95" s="80">
        <f>(SUM(Data!CZ95:DF95)*2+Data!DG95)/('Useful Constants'!$B$1*1000000)*$K95/100</f>
        <v>0.57885295512704227</v>
      </c>
      <c r="AH95" s="48">
        <f>Z95*'Useful Constants'!$B$3</f>
        <v>146.12483765977558</v>
      </c>
      <c r="AI95" s="48">
        <f>AA95*'Useful Constants'!$B$3</f>
        <v>123.66933410102344</v>
      </c>
      <c r="AJ95" s="48">
        <f>AB95*'Useful Constants'!$B$3</f>
        <v>102.54708222810571</v>
      </c>
      <c r="AK95" s="48">
        <f>AC95*'Useful Constants'!$B$3</f>
        <v>86.141879385622744</v>
      </c>
      <c r="AL95" s="48">
        <f>AD95*'Useful Constants'!$B$3</f>
        <v>72.441742605436573</v>
      </c>
      <c r="AM95" s="48">
        <f>AE95*'Useful Constants'!$B$3</f>
        <v>61.40702190399135</v>
      </c>
      <c r="AN95" s="48">
        <f>AF95*'Useful Constants'!$B$3</f>
        <v>51.663936409259399</v>
      </c>
      <c r="AO95" s="48">
        <f>AG95*'Useful Constants'!$B$3</f>
        <v>48.623648230671549</v>
      </c>
      <c r="AP95" s="10">
        <f>Z95*'Useful Constants'!$B$4</f>
        <v>48.708279219925195</v>
      </c>
      <c r="AQ95" s="10">
        <f>AA95*'Useful Constants'!$B$4</f>
        <v>41.223111367007817</v>
      </c>
      <c r="AR95" s="10">
        <f>AB95*'Useful Constants'!$B$4</f>
        <v>34.182360742701903</v>
      </c>
      <c r="AS95" s="10">
        <f>AC95*'Useful Constants'!$B$4</f>
        <v>28.713959795207579</v>
      </c>
      <c r="AT95" s="10">
        <f>AD95*'Useful Constants'!$B$4</f>
        <v>24.147247535145524</v>
      </c>
      <c r="AU95" s="10">
        <f>AE95*'Useful Constants'!$B$4</f>
        <v>20.46900730133045</v>
      </c>
      <c r="AV95" s="10">
        <f>AF95*'Useful Constants'!$B$4</f>
        <v>17.221312136419797</v>
      </c>
      <c r="AW95" s="10">
        <f>AG95*'Useful Constants'!$B$4</f>
        <v>16.207882743557185</v>
      </c>
      <c r="AX95" s="48">
        <f>P95/1000000/'Useful Constants'!$B$1*K95/100*'Useful Constants'!$B$3*15</f>
        <v>36379.459474493618</v>
      </c>
      <c r="AY95" s="48">
        <f>P95/1000000/'Useful Constants'!$B$1*L95/100*'Useful Constants'!$B$3*15</f>
        <v>8268.0589714758207</v>
      </c>
      <c r="AZ95" s="48">
        <f>P95/1000000/'Useful Constants'!$B$1*K95/100*'Useful Constants'!$B$4*15</f>
        <v>12126.486491497872</v>
      </c>
      <c r="BA95" s="48">
        <f>P95/1000000/'Useful Constants'!$B$1*L95/100*'Useful Constants'!$B$4*15</f>
        <v>2756.0196571586071</v>
      </c>
      <c r="BB95" s="7">
        <f>Data!AN95</f>
        <v>5737.9262900000003</v>
      </c>
      <c r="BC95" s="7">
        <f>Data!AQ95</f>
        <v>5737.9262900000003</v>
      </c>
      <c r="BD95" s="7">
        <f>Data!AT95</f>
        <v>9310.4405700000007</v>
      </c>
      <c r="BE95" s="6">
        <f>Data!AO95</f>
        <v>47930811276.510902</v>
      </c>
      <c r="BF95" s="6">
        <f>Data!AP95</f>
        <v>17870088639.655399</v>
      </c>
      <c r="BG95" s="6">
        <f>Data!AR95</f>
        <v>12691250638.458</v>
      </c>
      <c r="BH95" s="6">
        <f>Data!AS95</f>
        <v>12691250638.458</v>
      </c>
      <c r="BI95" s="8">
        <f t="shared" si="100"/>
        <v>0.79064963748248462</v>
      </c>
      <c r="BJ95" s="8">
        <f t="shared" si="101"/>
        <v>0.58472858394831928</v>
      </c>
      <c r="BK95" s="13">
        <f>BB95*'Useful Constants'!$B$5/'Useful Constants'!$B$6*'Useful Constants'!$B$7</f>
        <v>1.468335337611</v>
      </c>
      <c r="BL95" s="52">
        <f>1-VLOOKUP($G95,'Useful Constants'!$A$17:$X$23,10,FALSE)</f>
        <v>6.6471999999999865E-2</v>
      </c>
      <c r="BM95" s="52">
        <f>1-VLOOKUP($G95,'Useful Constants'!$A$17:$X$23,12,FALSE)</f>
        <v>4.945672000000001E-2</v>
      </c>
      <c r="BN95" s="52">
        <f>1-VLOOKUP($G95,'Useful Constants'!$A$17:$X$23,14,FALSE)</f>
        <v>3.4455679999999989E-2</v>
      </c>
      <c r="BO95" s="52">
        <f>1-VLOOKUP($G95,'Useful Constants'!$A$17:$X$23,16,FALSE)</f>
        <v>2.1468880000000024E-2</v>
      </c>
      <c r="BP95" s="52">
        <f>1-VLOOKUP($G95,'Useful Constants'!$A$17:$X$23,18,FALSE)</f>
        <v>0</v>
      </c>
      <c r="BQ95" s="52">
        <f>1-VLOOKUP($G95,'Useful Constants'!$A$17:$X$23,20, FALSE)</f>
        <v>0</v>
      </c>
      <c r="BR95" s="52">
        <f>1-VLOOKUP($G95,'Useful Constants'!$A$17:$X$23,22, FALSE)</f>
        <v>0</v>
      </c>
      <c r="BS95" s="52">
        <f>1-VLOOKUP($G95,'Useful Constants'!$A$17:$X$23,24, FALSE)</f>
        <v>0</v>
      </c>
      <c r="BT95" s="13">
        <f t="shared" si="102"/>
        <v>9.7603186561678199E-2</v>
      </c>
      <c r="BU95" s="13">
        <f t="shared" si="103"/>
        <v>7.2619049658332713E-2</v>
      </c>
      <c r="BV95" s="13">
        <f t="shared" si="104"/>
        <v>5.059249252541656E-2</v>
      </c>
      <c r="BW95" s="13">
        <f t="shared" si="105"/>
        <v>3.1523515162930081E-2</v>
      </c>
      <c r="BX95" s="13">
        <f t="shared" si="106"/>
        <v>0</v>
      </c>
      <c r="BY95" s="13">
        <f t="shared" si="107"/>
        <v>0</v>
      </c>
      <c r="BZ95" s="13">
        <f t="shared" si="108"/>
        <v>0</v>
      </c>
      <c r="CA95" s="13">
        <f t="shared" si="109"/>
        <v>0</v>
      </c>
      <c r="CB95" s="59">
        <f>+SUM(Data!BM95:BS95)*2+Data!BT95</f>
        <v>4696.5160462421263</v>
      </c>
      <c r="CC95" s="59">
        <f>+SUM(Data!BN95:BT95)*2+Data!BU95</f>
        <v>4441.8100885369095</v>
      </c>
      <c r="CD95" s="59">
        <f>+SUM(Data!BO95:BU95)*2+Data!BV95</f>
        <v>3869.1852821306829</v>
      </c>
      <c r="CE95" s="59">
        <f>+SUM(Data!BP95:BV95)*2+Data!BW95</f>
        <v>3478.4279054630315</v>
      </c>
      <c r="CF95" s="59">
        <f>+SUM(Data!BQ95:BW95)*2+Data!BX95</f>
        <v>3303.4956190854091</v>
      </c>
      <c r="CG95" s="59">
        <f>+SUM(Data!BR95:BX95)*2+Data!BY95</f>
        <v>3411.4673309025097</v>
      </c>
      <c r="CH95" s="59">
        <f>+SUM(Data!BS95:BY95)*2+Data!BZ95</f>
        <v>3695.4415173490156</v>
      </c>
      <c r="CI95" s="59">
        <f>+SUM(Data!BT95:BZ95)*2+Data!CA95</f>
        <v>3660.651348247276</v>
      </c>
      <c r="CJ95" s="13">
        <f>+SUM(Data!AW95:BC95)*2+Data!BD95</f>
        <v>27246.969137551958</v>
      </c>
      <c r="CK95" s="13">
        <f>+SUM(Data!AX95:BD95)*2+Data!BE95</f>
        <v>25807.158188935264</v>
      </c>
      <c r="CL95" s="13">
        <f>+SUM(Data!AY95:BE95)*2+Data!BF95</f>
        <v>22534.127389201069</v>
      </c>
      <c r="CM95" s="13">
        <f>+SUM(Data!AZ95:BF95)*2+Data!BG95</f>
        <v>20273.210313276748</v>
      </c>
      <c r="CN95" s="13">
        <f>+SUM(Data!BA95:BG95)*2+Data!BH95</f>
        <v>19269.557877686326</v>
      </c>
      <c r="CO95" s="13">
        <f>+SUM(Data!BB95:BH95)*2+Data!BI95</f>
        <v>19912.855850264434</v>
      </c>
      <c r="CP95" s="13">
        <f>+SUM(Data!BC95:BI95)*2+Data!BJ95</f>
        <v>21571.658949032604</v>
      </c>
      <c r="CQ95" s="13">
        <f>+SUM(Data!BD95:BJ95)*2+Data!BK95</f>
        <v>21399.700513102944</v>
      </c>
      <c r="CR95" s="59">
        <f>+SUM(Data!CC95:CI95)*2+Data!CJ95</f>
        <v>20422.889393523994</v>
      </c>
      <c r="CS95" s="59">
        <f>+SUM(Data!CD95:CJ95)*2+Data!CK95</f>
        <v>19341.633200855893</v>
      </c>
      <c r="CT95" s="59">
        <f>+SUM(Data!CE95:CK95)*2+Data!CL95</f>
        <v>16855.443221140977</v>
      </c>
      <c r="CU95" s="59">
        <f>+SUM(Data!CF95:CL95)*2+Data!CM95</f>
        <v>15219.52467039048</v>
      </c>
      <c r="CV95" s="59">
        <f>+SUM(Data!CG95:CM95)*2+Data!CN95</f>
        <v>14603.495071015237</v>
      </c>
      <c r="CW95" s="59">
        <f>+SUM(Data!CH95:CN95)*2+Data!CO95</f>
        <v>15353.890891391042</v>
      </c>
      <c r="CX95" s="59">
        <f>+SUM(Data!CI95:CO95)*2+Data!CP95</f>
        <v>16600.404738934372</v>
      </c>
      <c r="CY95" s="59">
        <f>+SUM(Data!CJ95:CP95)*2+Data!CQ95</f>
        <v>16187.710533723175</v>
      </c>
      <c r="CZ95" s="60">
        <f t="shared" si="110"/>
        <v>52366.374577318078</v>
      </c>
      <c r="DA95" s="60">
        <f t="shared" si="111"/>
        <v>49590.60147832807</v>
      </c>
      <c r="DB95" s="60">
        <f t="shared" si="112"/>
        <v>43258.755892472727</v>
      </c>
      <c r="DC95" s="60">
        <f t="shared" si="113"/>
        <v>38971.162889130261</v>
      </c>
      <c r="DD95" s="60">
        <f t="shared" si="114"/>
        <v>37176.548567786973</v>
      </c>
      <c r="DE95" s="60">
        <f t="shared" si="115"/>
        <v>38678.214072557981</v>
      </c>
      <c r="DF95" s="60">
        <f t="shared" si="116"/>
        <v>41867.505205315989</v>
      </c>
      <c r="DG95" s="60">
        <f t="shared" si="117"/>
        <v>41248.062395073393</v>
      </c>
      <c r="DH95" s="13">
        <f t="shared" si="118"/>
        <v>0.10035292047813379</v>
      </c>
      <c r="DI95" s="13">
        <f t="shared" si="119"/>
        <v>7.4664915893448966E-2</v>
      </c>
      <c r="DJ95" s="13">
        <f t="shared" si="120"/>
        <v>5.2017813742027172E-2</v>
      </c>
      <c r="DK95" s="13">
        <f t="shared" si="121"/>
        <v>3.2411614023868746E-2</v>
      </c>
      <c r="DL95" s="13">
        <f t="shared" si="122"/>
        <v>0</v>
      </c>
      <c r="DM95" s="13">
        <f t="shared" si="123"/>
        <v>0</v>
      </c>
      <c r="DN95" s="13">
        <f t="shared" si="124"/>
        <v>0</v>
      </c>
      <c r="DO95" s="13">
        <f t="shared" si="125"/>
        <v>0</v>
      </c>
      <c r="DP95" s="50">
        <f>DH95*'Useful Constants'!$B$8</f>
        <v>427.50344123684994</v>
      </c>
      <c r="DQ95" s="50">
        <f>DI95*'Useful Constants'!$B$8</f>
        <v>318.07254170609258</v>
      </c>
      <c r="DR95" s="50">
        <f>DJ95*'Useful Constants'!$B$10</f>
        <v>126.40328739312602</v>
      </c>
      <c r="DS95" s="50">
        <f>DK95*'Useful Constants'!$B$10</f>
        <v>78.76022207800105</v>
      </c>
      <c r="DT95" s="50">
        <f>DL95*'Useful Constants'!$B$10</f>
        <v>0</v>
      </c>
      <c r="DU95" s="50">
        <f>DM95*'Useful Constants'!$B$10</f>
        <v>0</v>
      </c>
      <c r="DV95" s="50">
        <f>DN95*'Useful Constants'!$B$10</f>
        <v>0</v>
      </c>
      <c r="DW95" s="50">
        <f>DO95*'Useful Constants'!$B$10</f>
        <v>0</v>
      </c>
      <c r="DX95" s="14">
        <f>DH95*'Useful Constants'!$B$9</f>
        <v>193.07901899992942</v>
      </c>
      <c r="DY95" s="14">
        <f>DI95*'Useful Constants'!$B$9</f>
        <v>143.65529817899582</v>
      </c>
      <c r="DZ95" s="14">
        <f>DJ95*'Useful Constants'!$B$11</f>
        <v>35.216059903352395</v>
      </c>
      <c r="EA95" s="14">
        <f>DK95*'Useful Constants'!$B$11</f>
        <v>21.942662694159139</v>
      </c>
      <c r="EB95" s="14">
        <f>DL95*'Useful Constants'!$B$11</f>
        <v>0</v>
      </c>
      <c r="EC95" s="14">
        <f>DM95*'Useful Constants'!$B$11</f>
        <v>0</v>
      </c>
      <c r="ED95" s="14">
        <f>DN95*'Useful Constants'!$B$11</f>
        <v>0</v>
      </c>
      <c r="EE95" s="14">
        <f>DO95*'Useful Constants'!$B$11</f>
        <v>0</v>
      </c>
      <c r="EF95" s="78">
        <f>(SUM(Data!DI95:DO95)*2+Data!DP95)/('Useful Constants'!$B$1*1000000)*$K95/100</f>
        <v>98.81753955540502</v>
      </c>
      <c r="EG95" s="78">
        <f>(SUM(Data!DJ95:DP95)*2+Data!DQ95)/('Useful Constants'!$B$1*1000000)*$K95/100</f>
        <v>83.961561010621864</v>
      </c>
      <c r="EH95" s="78">
        <f>(SUM(Data!DK95:DQ95)*2+Data!DR95)/('Useful Constants'!$B$1*1000000)*$K95/100</f>
        <v>70.072094876632505</v>
      </c>
      <c r="EI95" s="78">
        <f>(SUM(Data!DL95:DR95)*2+Data!DS95)/('Useful Constants'!$B$1*1000000)*$K95/100</f>
        <v>58.993799194423893</v>
      </c>
      <c r="EJ95" s="78">
        <f>(SUM(Data!DM95:DS95)*2+Data!DT95)/('Useful Constants'!$B$1*1000000)*$K95/100</f>
        <v>49.769557020199237</v>
      </c>
      <c r="EK95" s="78">
        <f>(SUM(Data!DN95:DT95)*2+Data!DU95)/('Useful Constants'!$B$1*1000000)*$K95/100</f>
        <v>42.291136586468127</v>
      </c>
      <c r="EL95" s="78">
        <f>(SUM(Data!DO95:DU95)*2+Data!DV95)/('Useful Constants'!$B$1*1000000)*$K95/100</f>
        <v>35.801526670137498</v>
      </c>
      <c r="EM95" s="78">
        <f>(SUM(Data!DP95:DV95)*2+Data!DW95)/('Useful Constants'!$B$1*1000000)*$K95/100</f>
        <v>33.925214058749845</v>
      </c>
      <c r="EN95" s="79">
        <f>EF95*'Useful Constants'!$B$3</f>
        <v>8300.6733226540218</v>
      </c>
      <c r="EO95" s="79">
        <f>EG95*'Useful Constants'!$B$3</f>
        <v>7052.7711248922369</v>
      </c>
      <c r="EP95" s="79">
        <f>EH95*'Useful Constants'!$B$3</f>
        <v>5886.0559696371301</v>
      </c>
      <c r="EQ95" s="79">
        <f>EI95*'Useful Constants'!$B$3</f>
        <v>4955.4791323316067</v>
      </c>
      <c r="ER95" s="79">
        <f>EJ95*'Useful Constants'!$B$3</f>
        <v>4180.6427896967361</v>
      </c>
      <c r="ES95" s="79">
        <f>EK95*'Useful Constants'!$B$3</f>
        <v>3552.4554732633228</v>
      </c>
      <c r="ET95" s="79">
        <f>EL95*'Useful Constants'!$B$3</f>
        <v>3007.3282402915497</v>
      </c>
      <c r="EU95" s="79">
        <f>EM95*'Useful Constants'!$B$3</f>
        <v>2849.7179809349868</v>
      </c>
      <c r="EV95" s="78">
        <f>EF95*'Useful Constants'!$B$4</f>
        <v>2766.8911075513406</v>
      </c>
      <c r="EW95" s="78">
        <f>EG95*'Useful Constants'!$B$4</f>
        <v>2350.9237082974123</v>
      </c>
      <c r="EX95" s="78">
        <f>EH95*'Useful Constants'!$B$4</f>
        <v>1962.0186565457102</v>
      </c>
      <c r="EY95" s="78">
        <f>EI95*'Useful Constants'!$B$4</f>
        <v>1651.826377443869</v>
      </c>
      <c r="EZ95" s="78">
        <f>EJ95*'Useful Constants'!$B$4</f>
        <v>1393.5475965655787</v>
      </c>
      <c r="FA95" s="78">
        <f>EK95*'Useful Constants'!$B$4</f>
        <v>1184.1518244211074</v>
      </c>
      <c r="FB95" s="78">
        <f>EL95*'Useful Constants'!$B$4</f>
        <v>1002.44274676385</v>
      </c>
      <c r="FC95" s="78">
        <f>EM95*'Useful Constants'!$B$4</f>
        <v>949.90599364499565</v>
      </c>
      <c r="FD95" s="40">
        <f t="shared" si="126"/>
        <v>-3.8569295534197807E-2</v>
      </c>
      <c r="FE95" s="40">
        <f t="shared" si="127"/>
        <v>1.5516531504451467E-2</v>
      </c>
      <c r="FF95" s="40">
        <f t="shared" si="128"/>
        <v>0.13931168590878185</v>
      </c>
      <c r="FG95" s="40">
        <f t="shared" si="129"/>
        <v>0.22345441027845481</v>
      </c>
      <c r="FH95" s="40">
        <f t="shared" si="130"/>
        <v>0.25871964706413042</v>
      </c>
      <c r="FI95" s="40">
        <f t="shared" si="131"/>
        <v>0.22910854606955525</v>
      </c>
      <c r="FJ95" s="40">
        <f t="shared" si="132"/>
        <v>0.16645798459509772</v>
      </c>
      <c r="FK95" s="40">
        <f t="shared" si="133"/>
        <v>0.17867074257582735</v>
      </c>
      <c r="FL95" s="4">
        <f t="shared" si="134"/>
        <v>0.35835356850326278</v>
      </c>
      <c r="FM95" s="4">
        <f t="shared" si="135"/>
        <v>0.4013094923025109</v>
      </c>
      <c r="FN95" s="4">
        <f t="shared" si="136"/>
        <v>0.48141413519738274</v>
      </c>
      <c r="FO95" s="4">
        <f t="shared" si="137"/>
        <v>0.53638969118265356</v>
      </c>
      <c r="FP95" s="4">
        <f t="shared" si="138"/>
        <v>0.56407271677415938</v>
      </c>
      <c r="FQ95" s="4">
        <f t="shared" si="139"/>
        <v>0.55491512931909015</v>
      </c>
      <c r="FR95" s="4">
        <f t="shared" si="140"/>
        <v>0.52727311676366539</v>
      </c>
      <c r="FS95" s="4">
        <f t="shared" si="141"/>
        <v>0.53540813710427382</v>
      </c>
      <c r="FT95" s="38">
        <f t="shared" si="142"/>
        <v>0.15342123735427426</v>
      </c>
      <c r="FU95" s="38">
        <f t="shared" si="143"/>
        <v>0.20232121058830466</v>
      </c>
      <c r="FV95" s="38">
        <f t="shared" si="144"/>
        <v>0.30564840159389006</v>
      </c>
      <c r="FW95" s="38">
        <f t="shared" si="145"/>
        <v>0.37562038186051061</v>
      </c>
      <c r="FX95" s="38">
        <f t="shared" si="146"/>
        <v>0.40714710385459035</v>
      </c>
      <c r="FY95" s="38">
        <f t="shared" si="147"/>
        <v>0.38745219606172171</v>
      </c>
      <c r="FZ95" s="38">
        <f t="shared" si="148"/>
        <v>0.34176014090782331</v>
      </c>
      <c r="GA95" s="38">
        <f t="shared" si="149"/>
        <v>0.35199499328556344</v>
      </c>
    </row>
    <row r="96" spans="1:183" x14ac:dyDescent="0.25">
      <c r="A96" s="1" t="str">
        <f>Data!A96</f>
        <v>WI_RHINELANDER-ONEIDA_727415_TY3A</v>
      </c>
      <c r="B96" s="1" t="str">
        <f>TY3A_REP_CITIES!B96</f>
        <v>Rhinelander</v>
      </c>
      <c r="C96" s="1" t="str">
        <f>TY3A_REP_CITIES!C96</f>
        <v>Oneida</v>
      </c>
      <c r="D96" s="2" t="str">
        <f>TY3A_REP_CITIES!A96</f>
        <v>WI</v>
      </c>
      <c r="E96" s="42">
        <f>TY3A_REP_CITIES!E96</f>
        <v>35595</v>
      </c>
      <c r="F96" s="2">
        <f>TY3A_REP_CITIES!G96</f>
        <v>7</v>
      </c>
      <c r="G96" s="2" t="str">
        <f>TY3A_REP_CITIES!H96</f>
        <v>Very Cold</v>
      </c>
      <c r="H96" s="2" t="str">
        <f>TY3A_REP_CITIES!I96</f>
        <v>Midwest</v>
      </c>
      <c r="I96" s="2">
        <f>Data!B96</f>
        <v>45.63</v>
      </c>
      <c r="J96" s="2">
        <f>Data!C96</f>
        <v>-89.47</v>
      </c>
      <c r="K96" s="2">
        <f>VLOOKUP(D96,Table1[],2,FALSE)</f>
        <v>2.2000000000000002</v>
      </c>
      <c r="L96" s="2">
        <v>0.5</v>
      </c>
      <c r="M96" s="10">
        <f>Data!N96</f>
        <v>6092.4543100000001</v>
      </c>
      <c r="N96" s="10">
        <f>Data!Q96</f>
        <v>29308</v>
      </c>
      <c r="O96" s="10">
        <f>Data!O96</f>
        <v>73531840012.864304</v>
      </c>
      <c r="P96" s="10">
        <f>Data!P96</f>
        <v>76595666680.067337</v>
      </c>
      <c r="Q96" s="10">
        <f>Data!S96*15</f>
        <v>57792.501195356126</v>
      </c>
      <c r="R96" s="48">
        <f>SUM(Data!U96:AA96)*2+Data!AB96</f>
        <v>1242.5344767360889</v>
      </c>
      <c r="S96" s="48">
        <f>SUM(Data!V96:AB96)*2+Data!AC96</f>
        <v>1175.2677688633405</v>
      </c>
      <c r="T96" s="48">
        <f>SUM(Data!W96:AC96)*2+Data!AD96</f>
        <v>1023.2269838206342</v>
      </c>
      <c r="U96" s="48">
        <f>SUM(Data!X96:AD96)*2+Data!AE96</f>
        <v>919.58099452718943</v>
      </c>
      <c r="V96" s="48">
        <f>SUM(Data!Y96:AE96)*2+Data!AF96</f>
        <v>873.51401746257727</v>
      </c>
      <c r="W96" s="48">
        <f>SUM(Data!Z96:AF96)*2+Data!AG96</f>
        <v>903.29162275812951</v>
      </c>
      <c r="X96" s="48">
        <f>SUM(Data!AA96:AG96)*2+Data!AH96</f>
        <v>978.47484552889989</v>
      </c>
      <c r="Y96" s="48">
        <f>SUM(Data!AB96:AH96)*2+Data!AI96</f>
        <v>970.16031044634315</v>
      </c>
      <c r="Z96" s="80">
        <f>(SUM(Data!CS96:CY96)*2+Data!CZ96)/('Useful Constants'!$B$1*1000000)*$K96/100</f>
        <v>2.3707829233442452</v>
      </c>
      <c r="AA96" s="80">
        <f>(SUM(Data!CT96:CZ96)*2+Data!DA96)/('Useful Constants'!$B$1*1000000)*$K96/100</f>
        <v>2.0072410808261938</v>
      </c>
      <c r="AB96" s="80">
        <f>(SUM(Data!CU96:DA96)*2+Data!DB96)/('Useful Constants'!$B$1*1000000)*$K96/100</f>
        <v>1.6676436228838438</v>
      </c>
      <c r="AC96" s="80">
        <f>(SUM(Data!CV96:DB96)*2+Data!DC96)/('Useful Constants'!$B$1*1000000)*$K96/100</f>
        <v>1.4069869127072245</v>
      </c>
      <c r="AD96" s="80">
        <f>(SUM(Data!CW96:DC96)*2+Data!DD96)/('Useful Constants'!$B$1*1000000)*$K96/100</f>
        <v>1.1864037391308297</v>
      </c>
      <c r="AE96" s="80">
        <f>(SUM(Data!CX96:DD96)*2+Data!DE96)/('Useful Constants'!$B$1*1000000)*$K96/100</f>
        <v>1.0097476734395487</v>
      </c>
      <c r="AF96" s="80">
        <f>(SUM(Data!CY96:DE96)*2+Data!DF96)/('Useful Constants'!$B$1*1000000)*$K96/100</f>
        <v>0.85307630215728802</v>
      </c>
      <c r="AG96" s="80">
        <f>(SUM(Data!CZ96:DF96)*2+Data!DG96)/('Useful Constants'!$B$1*1000000)*$K96/100</f>
        <v>0.80392375084340562</v>
      </c>
      <c r="AH96" s="48">
        <f>Z96*'Useful Constants'!$B$3</f>
        <v>199.1457655609166</v>
      </c>
      <c r="AI96" s="48">
        <f>AA96*'Useful Constants'!$B$3</f>
        <v>168.60825078940027</v>
      </c>
      <c r="AJ96" s="48">
        <f>AB96*'Useful Constants'!$B$3</f>
        <v>140.08206432224287</v>
      </c>
      <c r="AK96" s="48">
        <f>AC96*'Useful Constants'!$B$3</f>
        <v>118.18690066740686</v>
      </c>
      <c r="AL96" s="48">
        <f>AD96*'Useful Constants'!$B$3</f>
        <v>99.657914086989706</v>
      </c>
      <c r="AM96" s="48">
        <f>AE96*'Useful Constants'!$B$3</f>
        <v>84.81880456892209</v>
      </c>
      <c r="AN96" s="48">
        <f>AF96*'Useful Constants'!$B$3</f>
        <v>71.658409381212195</v>
      </c>
      <c r="AO96" s="48">
        <f>AG96*'Useful Constants'!$B$3</f>
        <v>67.529595070846071</v>
      </c>
      <c r="AP96" s="10">
        <f>Z96*'Useful Constants'!$B$4</f>
        <v>66.381921853638872</v>
      </c>
      <c r="AQ96" s="10">
        <f>AA96*'Useful Constants'!$B$4</f>
        <v>56.202750263133424</v>
      </c>
      <c r="AR96" s="10">
        <f>AB96*'Useful Constants'!$B$4</f>
        <v>46.694021440747626</v>
      </c>
      <c r="AS96" s="10">
        <f>AC96*'Useful Constants'!$B$4</f>
        <v>39.395633555802284</v>
      </c>
      <c r="AT96" s="10">
        <f>AD96*'Useful Constants'!$B$4</f>
        <v>33.219304695663233</v>
      </c>
      <c r="AU96" s="10">
        <f>AE96*'Useful Constants'!$B$4</f>
        <v>28.272934856307366</v>
      </c>
      <c r="AV96" s="10">
        <f>AF96*'Useful Constants'!$B$4</f>
        <v>23.886136460404064</v>
      </c>
      <c r="AW96" s="10">
        <f>AG96*'Useful Constants'!$B$4</f>
        <v>22.509865023615358</v>
      </c>
      <c r="AX96" s="48">
        <f>P96/1000000/'Useful Constants'!$B$1*K96/100*'Useful Constants'!$B$3*15</f>
        <v>42464.637607429337</v>
      </c>
      <c r="AY96" s="48">
        <f>P96/1000000/'Useful Constants'!$B$1*L96/100*'Useful Constants'!$B$3*15</f>
        <v>9651.0540016884843</v>
      </c>
      <c r="AZ96" s="48">
        <f>P96/1000000/'Useful Constants'!$B$1*K96/100*'Useful Constants'!$B$4*15</f>
        <v>14154.879202476446</v>
      </c>
      <c r="BA96" s="48">
        <f>P96/1000000/'Useful Constants'!$B$1*L96/100*'Useful Constants'!$B$4*15</f>
        <v>3217.0180005628281</v>
      </c>
      <c r="BB96" s="7">
        <f>Data!AN96</f>
        <v>6092.4543100000001</v>
      </c>
      <c r="BC96" s="7">
        <f>Data!AQ96</f>
        <v>6092.4543100000001</v>
      </c>
      <c r="BD96" s="7">
        <f>Data!AT96</f>
        <v>10512.10441</v>
      </c>
      <c r="BE96" s="6">
        <f>Data!AO96</f>
        <v>47082316743.477898</v>
      </c>
      <c r="BF96" s="6">
        <f>Data!AP96</f>
        <v>19292342864.969898</v>
      </c>
      <c r="BG96" s="6">
        <f>Data!AR96</f>
        <v>23556320126.402199</v>
      </c>
      <c r="BH96" s="6">
        <f>Data!AS96</f>
        <v>23556320126.402199</v>
      </c>
      <c r="BI96" s="8">
        <f t="shared" si="100"/>
        <v>0.66652357448807908</v>
      </c>
      <c r="BJ96" s="8">
        <f t="shared" si="101"/>
        <v>0.45024375366985325</v>
      </c>
      <c r="BK96" s="13">
        <f>BB96*'Useful Constants'!$B$5/'Useful Constants'!$B$6*'Useful Constants'!$B$7</f>
        <v>1.559059057929</v>
      </c>
      <c r="BL96" s="52">
        <f>1-VLOOKUP($G96,'Useful Constants'!$A$17:$X$23,10,FALSE)</f>
        <v>6.6471999999999865E-2</v>
      </c>
      <c r="BM96" s="52">
        <f>1-VLOOKUP($G96,'Useful Constants'!$A$17:$X$23,12,FALSE)</f>
        <v>4.945672000000001E-2</v>
      </c>
      <c r="BN96" s="52">
        <f>1-VLOOKUP($G96,'Useful Constants'!$A$17:$X$23,14,FALSE)</f>
        <v>3.4455679999999989E-2</v>
      </c>
      <c r="BO96" s="52">
        <f>1-VLOOKUP($G96,'Useful Constants'!$A$17:$X$23,16,FALSE)</f>
        <v>2.1468880000000024E-2</v>
      </c>
      <c r="BP96" s="52">
        <f>1-VLOOKUP($G96,'Useful Constants'!$A$17:$X$23,18,FALSE)</f>
        <v>0</v>
      </c>
      <c r="BQ96" s="52">
        <f>1-VLOOKUP($G96,'Useful Constants'!$A$17:$X$23,20, FALSE)</f>
        <v>0</v>
      </c>
      <c r="BR96" s="52">
        <f>1-VLOOKUP($G96,'Useful Constants'!$A$17:$X$23,22, FALSE)</f>
        <v>0</v>
      </c>
      <c r="BS96" s="52">
        <f>1-VLOOKUP($G96,'Useful Constants'!$A$17:$X$23,24, FALSE)</f>
        <v>0</v>
      </c>
      <c r="BT96" s="13">
        <f t="shared" si="102"/>
        <v>0.10363377369865628</v>
      </c>
      <c r="BU96" s="13">
        <f t="shared" si="103"/>
        <v>7.7105947291458352E-2</v>
      </c>
      <c r="BV96" s="13">
        <f t="shared" si="104"/>
        <v>5.3718440001103068E-2</v>
      </c>
      <c r="BW96" s="13">
        <f t="shared" si="105"/>
        <v>3.3471251827590788E-2</v>
      </c>
      <c r="BX96" s="13">
        <f t="shared" si="106"/>
        <v>0</v>
      </c>
      <c r="BY96" s="13">
        <f t="shared" si="107"/>
        <v>0</v>
      </c>
      <c r="BZ96" s="13">
        <f t="shared" si="108"/>
        <v>0</v>
      </c>
      <c r="CA96" s="13">
        <f t="shared" si="109"/>
        <v>0</v>
      </c>
      <c r="CB96" s="59">
        <f>+SUM(Data!BM96:BS96)*2+Data!BT96</f>
        <v>5826.2843157287607</v>
      </c>
      <c r="CC96" s="59">
        <f>+SUM(Data!BN96:BT96)*2+Data!BU96</f>
        <v>5507.4340287589011</v>
      </c>
      <c r="CD96" s="59">
        <f>+SUM(Data!BO96:BU96)*2+Data!BV96</f>
        <v>4791.888488780748</v>
      </c>
      <c r="CE96" s="59">
        <f>+SUM(Data!BP96:BV96)*2+Data!BW96</f>
        <v>4303.8687402858941</v>
      </c>
      <c r="CF96" s="59">
        <f>+SUM(Data!BQ96:BW96)*2+Data!BX96</f>
        <v>4087.3913220297832</v>
      </c>
      <c r="CG96" s="59">
        <f>+SUM(Data!BR96:BX96)*2+Data!BY96</f>
        <v>4222.9777808549516</v>
      </c>
      <c r="CH96" s="59">
        <f>+SUM(Data!BS96:BY96)*2+Data!BZ96</f>
        <v>4573.7229920469726</v>
      </c>
      <c r="CI96" s="59">
        <f>+SUM(Data!BT96:BZ96)*2+Data!CA96</f>
        <v>4531.8379808499494</v>
      </c>
      <c r="CJ96" s="13">
        <f>+SUM(Data!AW96:BC96)*2+Data!BD96</f>
        <v>28927.764456843259</v>
      </c>
      <c r="CK96" s="13">
        <f>+SUM(Data!AX96:BD96)*2+Data!BE96</f>
        <v>27323.383338115105</v>
      </c>
      <c r="CL96" s="13">
        <f>+SUM(Data!AY96:BE96)*2+Data!BF96</f>
        <v>23763.36201857798</v>
      </c>
      <c r="CM96" s="13">
        <f>+SUM(Data!AZ96:BF96)*2+Data!BG96</f>
        <v>21354.224957274619</v>
      </c>
      <c r="CN96" s="13">
        <f>+SUM(Data!BA96:BG96)*2+Data!BH96</f>
        <v>20301.586167885056</v>
      </c>
      <c r="CO96" s="13">
        <f>+SUM(Data!BB96:BH96)*2+Data!BI96</f>
        <v>20938.226897786968</v>
      </c>
      <c r="CP96" s="13">
        <f>+SUM(Data!BC96:BI96)*2+Data!BJ96</f>
        <v>22666.996487582579</v>
      </c>
      <c r="CQ96" s="13">
        <f>+SUM(Data!BD96:BJ96)*2+Data!BK96</f>
        <v>22468.437463503818</v>
      </c>
      <c r="CR96" s="59">
        <f>+SUM(Data!CC96:CI96)*2+Data!CJ96</f>
        <v>38249.626257185606</v>
      </c>
      <c r="CS96" s="59">
        <f>+SUM(Data!CD96:CJ96)*2+Data!CK96</f>
        <v>36438.694339727299</v>
      </c>
      <c r="CT96" s="59">
        <f>+SUM(Data!CE96:CK96)*2+Data!CL96</f>
        <v>31995.467772899763</v>
      </c>
      <c r="CU96" s="59">
        <f>+SUM(Data!CF96:CL96)*2+Data!CM96</f>
        <v>28864.257483255205</v>
      </c>
      <c r="CV96" s="59">
        <f>+SUM(Data!CG96:CM96)*2+Data!CN96</f>
        <v>27529.745632455291</v>
      </c>
      <c r="CW96" s="59">
        <f>+SUM(Data!CH96:CN96)*2+Data!CO96</f>
        <v>28850.95760235393</v>
      </c>
      <c r="CX96" s="59">
        <f>+SUM(Data!CI96:CO96)*2+Data!CP96</f>
        <v>31261.209780461431</v>
      </c>
      <c r="CY96" s="59">
        <f>+SUM(Data!CJ96:CP96)*2+Data!CQ96</f>
        <v>30961.355172377633</v>
      </c>
      <c r="CZ96" s="60">
        <f t="shared" si="110"/>
        <v>73003.675029757622</v>
      </c>
      <c r="DA96" s="60">
        <f t="shared" si="111"/>
        <v>69269.511706601304</v>
      </c>
      <c r="DB96" s="60">
        <f t="shared" si="112"/>
        <v>60550.718280258487</v>
      </c>
      <c r="DC96" s="60">
        <f t="shared" si="113"/>
        <v>54522.35118081572</v>
      </c>
      <c r="DD96" s="60">
        <f t="shared" si="114"/>
        <v>51918.723122370131</v>
      </c>
      <c r="DE96" s="60">
        <f t="shared" si="115"/>
        <v>54012.16228099585</v>
      </c>
      <c r="DF96" s="60">
        <f t="shared" si="116"/>
        <v>58501.929260090983</v>
      </c>
      <c r="DG96" s="60">
        <f t="shared" si="117"/>
        <v>57961.630616731403</v>
      </c>
      <c r="DH96" s="13">
        <f t="shared" si="118"/>
        <v>0.10655340483436107</v>
      </c>
      <c r="DI96" s="13">
        <f t="shared" si="119"/>
        <v>7.9278221024486312E-2</v>
      </c>
      <c r="DJ96" s="13">
        <f t="shared" si="120"/>
        <v>5.5231827233770667E-2</v>
      </c>
      <c r="DK96" s="13">
        <f t="shared" si="121"/>
        <v>3.4414223462214545E-2</v>
      </c>
      <c r="DL96" s="13">
        <f t="shared" si="122"/>
        <v>0</v>
      </c>
      <c r="DM96" s="13">
        <f t="shared" si="123"/>
        <v>0</v>
      </c>
      <c r="DN96" s="13">
        <f t="shared" si="124"/>
        <v>0</v>
      </c>
      <c r="DO96" s="13">
        <f t="shared" si="125"/>
        <v>0</v>
      </c>
      <c r="DP96" s="50">
        <f>DH96*'Useful Constants'!$B$8</f>
        <v>453.91750459437816</v>
      </c>
      <c r="DQ96" s="50">
        <f>DI96*'Useful Constants'!$B$8</f>
        <v>337.72522156431171</v>
      </c>
      <c r="DR96" s="50">
        <f>DJ96*'Useful Constants'!$B$10</f>
        <v>134.21334017806271</v>
      </c>
      <c r="DS96" s="50">
        <f>DK96*'Useful Constants'!$B$10</f>
        <v>83.62656301318134</v>
      </c>
      <c r="DT96" s="50">
        <f>DL96*'Useful Constants'!$B$10</f>
        <v>0</v>
      </c>
      <c r="DU96" s="50">
        <f>DM96*'Useful Constants'!$B$10</f>
        <v>0</v>
      </c>
      <c r="DV96" s="50">
        <f>DN96*'Useful Constants'!$B$10</f>
        <v>0</v>
      </c>
      <c r="DW96" s="50">
        <f>DO96*'Useful Constants'!$B$10</f>
        <v>0</v>
      </c>
      <c r="DX96" s="14">
        <f>DH96*'Useful Constants'!$B$9</f>
        <v>205.00875090131069</v>
      </c>
      <c r="DY96" s="14">
        <f>DI96*'Useful Constants'!$B$9</f>
        <v>152.53129725111165</v>
      </c>
      <c r="DZ96" s="14">
        <f>DJ96*'Useful Constants'!$B$11</f>
        <v>37.391947037262739</v>
      </c>
      <c r="EA96" s="14">
        <f>DK96*'Useful Constants'!$B$11</f>
        <v>23.298429283919248</v>
      </c>
      <c r="EB96" s="14">
        <f>DL96*'Useful Constants'!$B$11</f>
        <v>0</v>
      </c>
      <c r="EC96" s="14">
        <f>DM96*'Useful Constants'!$B$11</f>
        <v>0</v>
      </c>
      <c r="ED96" s="14">
        <f>DN96*'Useful Constants'!$B$11</f>
        <v>0</v>
      </c>
      <c r="EE96" s="14">
        <f>DO96*'Useful Constants'!$B$11</f>
        <v>0</v>
      </c>
      <c r="EF96" s="78">
        <f>(SUM(Data!DI96:DO96)*2+Data!DP96)/('Useful Constants'!$B$1*1000000)*$K96/100</f>
        <v>137.44476208415972</v>
      </c>
      <c r="EG96" s="78">
        <f>(SUM(Data!DJ96:DP96)*2+Data!DQ96)/('Useful Constants'!$B$1*1000000)*$K96/100</f>
        <v>117.12038026795497</v>
      </c>
      <c r="EH96" s="78">
        <f>(SUM(Data!DK96:DQ96)*2+Data!DR96)/('Useful Constants'!$B$1*1000000)*$K96/100</f>
        <v>98.47233914870128</v>
      </c>
      <c r="EI96" s="78">
        <f>(SUM(Data!DL96:DR96)*2+Data!DS96)/('Useful Constants'!$B$1*1000000)*$K96/100</f>
        <v>83.6883052051422</v>
      </c>
      <c r="EJ96" s="78">
        <f>(SUM(Data!DM96:DS96)*2+Data!DT96)/('Useful Constants'!$B$1*1000000)*$K96/100</f>
        <v>71.026015269077078</v>
      </c>
      <c r="EK96" s="78">
        <f>(SUM(Data!DN96:DT96)*2+Data!DU96)/('Useful Constants'!$B$1*1000000)*$K96/100</f>
        <v>60.827150874810151</v>
      </c>
      <c r="EL96" s="78">
        <f>(SUM(Data!DO96:DU96)*2+Data!DV96)/('Useful Constants'!$B$1*1000000)*$K96/100</f>
        <v>51.644081826985214</v>
      </c>
      <c r="EM96" s="78">
        <f>(SUM(Data!DP96:DV96)*2+Data!DW96)/('Useful Constants'!$B$1*1000000)*$K96/100</f>
        <v>48.860644399939282</v>
      </c>
      <c r="EN96" s="79">
        <f>EF96*'Useful Constants'!$B$3</f>
        <v>11545.360015069416</v>
      </c>
      <c r="EO96" s="79">
        <f>EG96*'Useful Constants'!$B$3</f>
        <v>9838.1119425082179</v>
      </c>
      <c r="EP96" s="79">
        <f>EH96*'Useful Constants'!$B$3</f>
        <v>8271.676488490908</v>
      </c>
      <c r="EQ96" s="79">
        <f>EI96*'Useful Constants'!$B$3</f>
        <v>7029.8176372319449</v>
      </c>
      <c r="ER96" s="79">
        <f>EJ96*'Useful Constants'!$B$3</f>
        <v>5966.1852826024742</v>
      </c>
      <c r="ES96" s="79">
        <f>EK96*'Useful Constants'!$B$3</f>
        <v>5109.4806734840531</v>
      </c>
      <c r="ET96" s="79">
        <f>EL96*'Useful Constants'!$B$3</f>
        <v>4338.102873466758</v>
      </c>
      <c r="EU96" s="79">
        <f>EM96*'Useful Constants'!$B$3</f>
        <v>4104.2941295948995</v>
      </c>
      <c r="EV96" s="78">
        <f>EF96*'Useful Constants'!$B$4</f>
        <v>3848.4533383564722</v>
      </c>
      <c r="EW96" s="78">
        <f>EG96*'Useful Constants'!$B$4</f>
        <v>3279.3706475027393</v>
      </c>
      <c r="EX96" s="78">
        <f>EH96*'Useful Constants'!$B$4</f>
        <v>2757.2254961636359</v>
      </c>
      <c r="EY96" s="78">
        <f>EI96*'Useful Constants'!$B$4</f>
        <v>2343.2725457439815</v>
      </c>
      <c r="EZ96" s="78">
        <f>EJ96*'Useful Constants'!$B$4</f>
        <v>1988.7284275341581</v>
      </c>
      <c r="FA96" s="78">
        <f>EK96*'Useful Constants'!$B$4</f>
        <v>1703.1602244946841</v>
      </c>
      <c r="FB96" s="78">
        <f>EL96*'Useful Constants'!$B$4</f>
        <v>1446.0342911555861</v>
      </c>
      <c r="FC96" s="78">
        <f>EM96*'Useful Constants'!$B$4</f>
        <v>1368.0980431982998</v>
      </c>
      <c r="FD96" s="40">
        <f t="shared" si="126"/>
        <v>-0.23661609074403997</v>
      </c>
      <c r="FE96" s="40">
        <f t="shared" si="127"/>
        <v>-0.17470124651710567</v>
      </c>
      <c r="FF96" s="40">
        <f t="shared" si="128"/>
        <v>-2.9498743869943042E-2</v>
      </c>
      <c r="FG96" s="40">
        <f t="shared" si="129"/>
        <v>7.1360627196245641E-2</v>
      </c>
      <c r="FH96" s="40">
        <f t="shared" si="130"/>
        <v>0.11501193776280665</v>
      </c>
      <c r="FI96" s="40">
        <f t="shared" si="131"/>
        <v>7.9794995727069884E-2</v>
      </c>
      <c r="FJ96" s="40">
        <f t="shared" si="132"/>
        <v>4.5778851895683518E-3</v>
      </c>
      <c r="FK96" s="40">
        <f t="shared" si="133"/>
        <v>1.3631630503869683E-2</v>
      </c>
      <c r="FL96" s="4">
        <f t="shared" si="134"/>
        <v>0.23661383508073586</v>
      </c>
      <c r="FM96" s="4">
        <f t="shared" si="135"/>
        <v>0.28589778410084815</v>
      </c>
      <c r="FN96" s="4">
        <f t="shared" si="136"/>
        <v>0.37916921119489799</v>
      </c>
      <c r="FO96" s="4">
        <f t="shared" si="137"/>
        <v>0.44445210089343096</v>
      </c>
      <c r="FP96" s="4">
        <f t="shared" si="138"/>
        <v>0.47795638570304538</v>
      </c>
      <c r="FQ96" s="4">
        <f t="shared" si="139"/>
        <v>0.4668745374595501</v>
      </c>
      <c r="FR96" s="4">
        <f t="shared" si="140"/>
        <v>0.4336609575389031</v>
      </c>
      <c r="FS96" s="4">
        <f t="shared" si="141"/>
        <v>0.44057478087253971</v>
      </c>
      <c r="FT96" s="38">
        <f t="shared" si="142"/>
        <v>-7.6343273935510344E-3</v>
      </c>
      <c r="FU96" s="38">
        <f t="shared" si="143"/>
        <v>4.8359359197227197E-2</v>
      </c>
      <c r="FV96" s="38">
        <f t="shared" si="144"/>
        <v>0.16907062043737675</v>
      </c>
      <c r="FW96" s="38">
        <f t="shared" si="145"/>
        <v>0.2526747252594142</v>
      </c>
      <c r="FX96" s="38">
        <f t="shared" si="146"/>
        <v>0.29135467909255458</v>
      </c>
      <c r="FY96" s="38">
        <f t="shared" si="147"/>
        <v>0.26782814302910007</v>
      </c>
      <c r="FZ96" s="38">
        <f t="shared" si="148"/>
        <v>0.21293797925863933</v>
      </c>
      <c r="GA96" s="38">
        <f t="shared" si="149"/>
        <v>0.22095571992263177</v>
      </c>
    </row>
    <row r="97" spans="1:183" x14ac:dyDescent="0.25">
      <c r="A97" s="1" t="str">
        <f>Data!A97</f>
        <v>WV_CHARLESTON-YEAGER-AP_724140_TY3A</v>
      </c>
      <c r="B97" s="1" t="str">
        <f>TY3A_REP_CITIES!B97</f>
        <v>Charleston</v>
      </c>
      <c r="C97" s="1" t="str">
        <f>TY3A_REP_CITIES!C97</f>
        <v>Kanawha</v>
      </c>
      <c r="D97" s="2" t="str">
        <f>TY3A_REP_CITIES!A97</f>
        <v>WV</v>
      </c>
      <c r="E97" s="42">
        <f>TY3A_REP_CITIES!E97</f>
        <v>178124</v>
      </c>
      <c r="F97" s="2">
        <f>TY3A_REP_CITIES!G97</f>
        <v>4</v>
      </c>
      <c r="G97" s="2" t="str">
        <f>TY3A_REP_CITIES!H97</f>
        <v>Mixed-Humid</v>
      </c>
      <c r="H97" s="2" t="str">
        <f>TY3A_REP_CITIES!I97</f>
        <v>Southeast</v>
      </c>
      <c r="I97" s="2">
        <f>Data!B97</f>
        <v>38.380000000000003</v>
      </c>
      <c r="J97" s="2">
        <f>Data!C97</f>
        <v>-81.58</v>
      </c>
      <c r="K97" s="2">
        <f>VLOOKUP(D97,Table1[],2,FALSE)</f>
        <v>0.9</v>
      </c>
      <c r="L97" s="2">
        <v>0.5</v>
      </c>
      <c r="M97" s="10">
        <f>Data!N97</f>
        <v>4756.0166399999998</v>
      </c>
      <c r="N97" s="10">
        <f>Data!Q97</f>
        <v>29308</v>
      </c>
      <c r="O97" s="10">
        <f>Data!O97</f>
        <v>34358836072.164799</v>
      </c>
      <c r="P97" s="10">
        <f>Data!P97</f>
        <v>35790454241.838333</v>
      </c>
      <c r="Q97" s="10">
        <f>Data!S97*15</f>
        <v>27004.398018929249</v>
      </c>
      <c r="R97" s="48">
        <f>SUM(Data!U97:AA97)*2+Data!AB97</f>
        <v>390.81717682040153</v>
      </c>
      <c r="S97" s="48">
        <f>SUM(Data!V97:AB97)*2+Data!AC97</f>
        <v>330.97663178341674</v>
      </c>
      <c r="T97" s="48">
        <f>SUM(Data!W97:AC97)*2+Data!AD97</f>
        <v>270.72900728351681</v>
      </c>
      <c r="U97" s="48">
        <f>SUM(Data!X97:AD97)*2+Data!AE97</f>
        <v>258.75988916653108</v>
      </c>
      <c r="V97" s="48">
        <f>SUM(Data!Y97:AE97)*2+Data!AF97</f>
        <v>267.88747858499573</v>
      </c>
      <c r="W97" s="48">
        <f>SUM(Data!Z97:AF97)*2+Data!AG97</f>
        <v>285.91280316178336</v>
      </c>
      <c r="X97" s="48">
        <f>SUM(Data!AA97:AG97)*2+Data!AH97</f>
        <v>288.80680241566779</v>
      </c>
      <c r="Y97" s="48">
        <f>SUM(Data!AB97:AH97)*2+Data!AI97</f>
        <v>259.59034983255458</v>
      </c>
      <c r="Z97" s="80">
        <f>(SUM(Data!CS97:CY97)*2+Data!CZ97)/('Useful Constants'!$B$1*1000000)*$K97/100</f>
        <v>0.29205830474552918</v>
      </c>
      <c r="AA97" s="80">
        <f>(SUM(Data!CT97:CZ97)*2+Data!DA97)/('Useful Constants'!$B$1*1000000)*$K97/100</f>
        <v>0.24084536337094758</v>
      </c>
      <c r="AB97" s="80">
        <f>(SUM(Data!CU97:DA97)*2+Data!DB97)/('Useful Constants'!$B$1*1000000)*$K97/100</f>
        <v>0.1936535168028807</v>
      </c>
      <c r="AC97" s="80">
        <f>(SUM(Data!CV97:DB97)*2+Data!DC97)/('Useful Constants'!$B$1*1000000)*$K97/100</f>
        <v>0.16473708491804781</v>
      </c>
      <c r="AD97" s="80">
        <f>(SUM(Data!CW97:DC97)*2+Data!DD97)/('Useful Constants'!$B$1*1000000)*$K97/100</f>
        <v>0.14048662877249962</v>
      </c>
      <c r="AE97" s="80">
        <f>(SUM(Data!CX97:DD97)*2+Data!DE97)/('Useful Constants'!$B$1*1000000)*$K97/100</f>
        <v>0.11606772676922192</v>
      </c>
      <c r="AF97" s="80">
        <f>(SUM(Data!CY97:DE97)*2+Data!DF97)/('Useful Constants'!$B$1*1000000)*$K97/100</f>
        <v>9.9344336377140727E-2</v>
      </c>
      <c r="AG97" s="80">
        <f>(SUM(Data!CZ97:DF97)*2+Data!DG97)/('Useful Constants'!$B$1*1000000)*$K97/100</f>
        <v>9.232306934263404E-2</v>
      </c>
      <c r="AH97" s="48">
        <f>Z97*'Useful Constants'!$B$3</f>
        <v>24.532897598624452</v>
      </c>
      <c r="AI97" s="48">
        <f>AA97*'Useful Constants'!$B$3</f>
        <v>20.231010523159597</v>
      </c>
      <c r="AJ97" s="48">
        <f>AB97*'Useful Constants'!$B$3</f>
        <v>16.266895411441979</v>
      </c>
      <c r="AK97" s="48">
        <f>AC97*'Useful Constants'!$B$3</f>
        <v>13.837915133116017</v>
      </c>
      <c r="AL97" s="48">
        <f>AD97*'Useful Constants'!$B$3</f>
        <v>11.800876816889968</v>
      </c>
      <c r="AM97" s="48">
        <f>AE97*'Useful Constants'!$B$3</f>
        <v>9.7496890486146413</v>
      </c>
      <c r="AN97" s="48">
        <f>AF97*'Useful Constants'!$B$3</f>
        <v>8.3449242556798211</v>
      </c>
      <c r="AO97" s="48">
        <f>AG97*'Useful Constants'!$B$3</f>
        <v>7.7551378247812597</v>
      </c>
      <c r="AP97" s="10">
        <f>Z97*'Useful Constants'!$B$4</f>
        <v>8.1776325328748172</v>
      </c>
      <c r="AQ97" s="10">
        <f>AA97*'Useful Constants'!$B$4</f>
        <v>6.7436701743865326</v>
      </c>
      <c r="AR97" s="10">
        <f>AB97*'Useful Constants'!$B$4</f>
        <v>5.4222984704806594</v>
      </c>
      <c r="AS97" s="10">
        <f>AC97*'Useful Constants'!$B$4</f>
        <v>4.6126383777053386</v>
      </c>
      <c r="AT97" s="10">
        <f>AD97*'Useful Constants'!$B$4</f>
        <v>3.9336256056299894</v>
      </c>
      <c r="AU97" s="10">
        <f>AE97*'Useful Constants'!$B$4</f>
        <v>3.2498963495382136</v>
      </c>
      <c r="AV97" s="10">
        <f>AF97*'Useful Constants'!$B$4</f>
        <v>2.7816414185599405</v>
      </c>
      <c r="AW97" s="10">
        <f>AG97*'Useful Constants'!$B$4</f>
        <v>2.5850459415937532</v>
      </c>
      <c r="AX97" s="48">
        <f>P97/1000000/'Useful Constants'!$B$1*K97/100*'Useful Constants'!$B$3*15</f>
        <v>8117.2750220489343</v>
      </c>
      <c r="AY97" s="48">
        <f>P97/1000000/'Useful Constants'!$B$1*L97/100*'Useful Constants'!$B$3*15</f>
        <v>4509.5972344716311</v>
      </c>
      <c r="AZ97" s="48">
        <f>P97/1000000/'Useful Constants'!$B$1*K97/100*'Useful Constants'!$B$4*15</f>
        <v>2705.7583406829781</v>
      </c>
      <c r="BA97" s="48">
        <f>P97/1000000/'Useful Constants'!$B$1*L97/100*'Useful Constants'!$B$4*15</f>
        <v>1503.1990781572104</v>
      </c>
      <c r="BB97" s="7">
        <f>Data!AN97</f>
        <v>4756.0166399999998</v>
      </c>
      <c r="BC97" s="7">
        <f>Data!AQ97</f>
        <v>4756.0166399999998</v>
      </c>
      <c r="BD97" s="7">
        <f>Data!AT97</f>
        <v>6889.3493200000003</v>
      </c>
      <c r="BE97" s="6">
        <f>Data!AO97</f>
        <v>27769122545.5415</v>
      </c>
      <c r="BF97" s="6">
        <f>Data!AP97</f>
        <v>9262928729.2608891</v>
      </c>
      <c r="BG97" s="6">
        <f>Data!AR97</f>
        <v>5085561834.5614996</v>
      </c>
      <c r="BH97" s="6">
        <f>Data!AS97</f>
        <v>5085561834.5614996</v>
      </c>
      <c r="BI97" s="8">
        <f t="shared" si="100"/>
        <v>0.84521044927032241</v>
      </c>
      <c r="BJ97" s="8">
        <f t="shared" si="101"/>
        <v>0.6455681653801274</v>
      </c>
      <c r="BK97" s="13">
        <f>BB97*'Useful Constants'!$B$5/'Useful Constants'!$B$6*'Useful Constants'!$B$7</f>
        <v>1.2170646581759998</v>
      </c>
      <c r="BL97" s="52">
        <f>1-VLOOKUP($G97,'Useful Constants'!$A$17:$X$23,10,FALSE)</f>
        <v>0</v>
      </c>
      <c r="BM97" s="52">
        <f>1-VLOOKUP($G97,'Useful Constants'!$A$17:$X$23,12,FALSE)</f>
        <v>0</v>
      </c>
      <c r="BN97" s="52">
        <f>1-VLOOKUP($G97,'Useful Constants'!$A$17:$X$23,14,FALSE)</f>
        <v>0</v>
      </c>
      <c r="BO97" s="52">
        <f>1-VLOOKUP($G97,'Useful Constants'!$A$17:$X$23,16,FALSE)</f>
        <v>0</v>
      </c>
      <c r="BP97" s="52">
        <f>1-VLOOKUP($G97,'Useful Constants'!$A$17:$X$23,18,FALSE)</f>
        <v>0</v>
      </c>
      <c r="BQ97" s="52">
        <f>1-VLOOKUP($G97,'Useful Constants'!$A$17:$X$23,20, FALSE)</f>
        <v>0</v>
      </c>
      <c r="BR97" s="52">
        <f>1-VLOOKUP($G97,'Useful Constants'!$A$17:$X$23,22, FALSE)</f>
        <v>0</v>
      </c>
      <c r="BS97" s="52">
        <f>1-VLOOKUP($G97,'Useful Constants'!$A$17:$X$23,24, FALSE)</f>
        <v>0</v>
      </c>
      <c r="BT97" s="13">
        <f t="shared" si="102"/>
        <v>0</v>
      </c>
      <c r="BU97" s="13">
        <f t="shared" si="103"/>
        <v>0</v>
      </c>
      <c r="BV97" s="13">
        <f t="shared" si="104"/>
        <v>0</v>
      </c>
      <c r="BW97" s="13">
        <f t="shared" si="105"/>
        <v>0</v>
      </c>
      <c r="BX97" s="13">
        <f t="shared" si="106"/>
        <v>0</v>
      </c>
      <c r="BY97" s="13">
        <f t="shared" si="107"/>
        <v>0</v>
      </c>
      <c r="BZ97" s="13">
        <f t="shared" si="108"/>
        <v>0</v>
      </c>
      <c r="CA97" s="13">
        <f t="shared" si="109"/>
        <v>0</v>
      </c>
      <c r="CB97" s="59">
        <f>+SUM(Data!BM97:BS97)*2+Data!BT97</f>
        <v>2391.7626341472383</v>
      </c>
      <c r="CC97" s="59">
        <f>+SUM(Data!BN97:BT97)*2+Data!BU97</f>
        <v>2026.3005698570396</v>
      </c>
      <c r="CD97" s="59">
        <f>+SUM(Data!BO97:BU97)*2+Data!BV97</f>
        <v>1659.9941966952147</v>
      </c>
      <c r="CE97" s="59">
        <f>+SUM(Data!BP97:BV97)*2+Data!BW97</f>
        <v>1585.4760478365572</v>
      </c>
      <c r="CF97" s="59">
        <f>+SUM(Data!BQ97:BW97)*2+Data!BX97</f>
        <v>1641.2059337455689</v>
      </c>
      <c r="CG97" s="59">
        <f>+SUM(Data!BR97:BX97)*2+Data!BY97</f>
        <v>1749.6129453156525</v>
      </c>
      <c r="CH97" s="59">
        <f>+SUM(Data!BS97:BY97)*2+Data!BZ97</f>
        <v>1765.4917659483988</v>
      </c>
      <c r="CI97" s="59">
        <f>+SUM(Data!BT97:BZ97)*2+Data!CA97</f>
        <v>1586.0476630564906</v>
      </c>
      <c r="CJ97" s="13">
        <f>+SUM(Data!AW97:BC97)*2+Data!BD97</f>
        <v>12440.79225399091</v>
      </c>
      <c r="CK97" s="13">
        <f>+SUM(Data!AX97:BD97)*2+Data!BE97</f>
        <v>10558.388431128915</v>
      </c>
      <c r="CL97" s="13">
        <f>+SUM(Data!AY97:BE97)*2+Data!BF97</f>
        <v>8649.8249450021849</v>
      </c>
      <c r="CM97" s="13">
        <f>+SUM(Data!AZ97:BF97)*2+Data!BG97</f>
        <v>8266.4811567229353</v>
      </c>
      <c r="CN97" s="13">
        <f>+SUM(Data!BA97:BG97)*2+Data!BH97</f>
        <v>8557.9488260937287</v>
      </c>
      <c r="CO97" s="13">
        <f>+SUM(Data!BB97:BH97)*2+Data!BI97</f>
        <v>9117.0215743890603</v>
      </c>
      <c r="CP97" s="13">
        <f>+SUM(Data!BC97:BI97)*2+Data!BJ97</f>
        <v>9192.0073282276717</v>
      </c>
      <c r="CQ97" s="13">
        <f>+SUM(Data!BD97:BJ97)*2+Data!BK97</f>
        <v>8256.9001388029192</v>
      </c>
      <c r="CR97" s="59">
        <f>+SUM(Data!CC97:CI97)*2+Data!CJ97</f>
        <v>7187.0879554996045</v>
      </c>
      <c r="CS97" s="59">
        <f>+SUM(Data!CD97:CJ97)*2+Data!CK97</f>
        <v>6045.6157690362315</v>
      </c>
      <c r="CT97" s="59">
        <f>+SUM(Data!CE97:CK97)*2+Data!CL97</f>
        <v>4831.5405524867529</v>
      </c>
      <c r="CU97" s="59">
        <f>+SUM(Data!CF97:CL97)*2+Data!CM97</f>
        <v>4673.2821977539979</v>
      </c>
      <c r="CV97" s="59">
        <f>+SUM(Data!CG97:CM97)*2+Data!CN97</f>
        <v>4859.0700629267894</v>
      </c>
      <c r="CW97" s="59">
        <f>+SUM(Data!CH97:CN97)*2+Data!CO97</f>
        <v>5291.1386230077433</v>
      </c>
      <c r="CX97" s="59">
        <f>+SUM(Data!CI97:CO97)*2+Data!CP97</f>
        <v>5403.7841917788946</v>
      </c>
      <c r="CY97" s="59">
        <f>+SUM(Data!CJ97:CP97)*2+Data!CQ97</f>
        <v>4912.6997268063124</v>
      </c>
      <c r="CZ97" s="60">
        <f t="shared" si="110"/>
        <v>22019.642843637754</v>
      </c>
      <c r="DA97" s="60">
        <f t="shared" si="111"/>
        <v>18630.304770022187</v>
      </c>
      <c r="DB97" s="60">
        <f t="shared" si="112"/>
        <v>15141.359694184153</v>
      </c>
      <c r="DC97" s="60">
        <f t="shared" si="113"/>
        <v>14525.239402313491</v>
      </c>
      <c r="DD97" s="60">
        <f t="shared" si="114"/>
        <v>15058.224822766086</v>
      </c>
      <c r="DE97" s="60">
        <f t="shared" si="115"/>
        <v>16157.773142712456</v>
      </c>
      <c r="DF97" s="60">
        <f t="shared" si="116"/>
        <v>16361.283285954964</v>
      </c>
      <c r="DG97" s="60">
        <f t="shared" si="117"/>
        <v>14755.647528665722</v>
      </c>
      <c r="DH97" s="13">
        <f t="shared" si="118"/>
        <v>0</v>
      </c>
      <c r="DI97" s="13">
        <f t="shared" si="119"/>
        <v>0</v>
      </c>
      <c r="DJ97" s="13">
        <f t="shared" si="120"/>
        <v>0</v>
      </c>
      <c r="DK97" s="13">
        <f t="shared" si="121"/>
        <v>0</v>
      </c>
      <c r="DL97" s="13">
        <f t="shared" si="122"/>
        <v>0</v>
      </c>
      <c r="DM97" s="13">
        <f t="shared" si="123"/>
        <v>0</v>
      </c>
      <c r="DN97" s="13">
        <f t="shared" si="124"/>
        <v>0</v>
      </c>
      <c r="DO97" s="13">
        <f t="shared" si="125"/>
        <v>0</v>
      </c>
      <c r="DP97" s="50">
        <f>DH97*'Useful Constants'!$B$8</f>
        <v>0</v>
      </c>
      <c r="DQ97" s="50">
        <f>DI97*'Useful Constants'!$B$8</f>
        <v>0</v>
      </c>
      <c r="DR97" s="50">
        <f>DJ97*'Useful Constants'!$B$10</f>
        <v>0</v>
      </c>
      <c r="DS97" s="50">
        <f>DK97*'Useful Constants'!$B$10</f>
        <v>0</v>
      </c>
      <c r="DT97" s="50">
        <f>DL97*'Useful Constants'!$B$10</f>
        <v>0</v>
      </c>
      <c r="DU97" s="50">
        <f>DM97*'Useful Constants'!$B$10</f>
        <v>0</v>
      </c>
      <c r="DV97" s="50">
        <f>DN97*'Useful Constants'!$B$10</f>
        <v>0</v>
      </c>
      <c r="DW97" s="50">
        <f>DO97*'Useful Constants'!$B$10</f>
        <v>0</v>
      </c>
      <c r="DX97" s="14">
        <f>DH97*'Useful Constants'!$B$9</f>
        <v>0</v>
      </c>
      <c r="DY97" s="14">
        <f>DI97*'Useful Constants'!$B$9</f>
        <v>0</v>
      </c>
      <c r="DZ97" s="14">
        <f>DJ97*'Useful Constants'!$B$11</f>
        <v>0</v>
      </c>
      <c r="EA97" s="14">
        <f>DK97*'Useful Constants'!$B$11</f>
        <v>0</v>
      </c>
      <c r="EB97" s="14">
        <f>DL97*'Useful Constants'!$B$11</f>
        <v>0</v>
      </c>
      <c r="EC97" s="14">
        <f>DM97*'Useful Constants'!$B$11</f>
        <v>0</v>
      </c>
      <c r="ED97" s="14">
        <f>DN97*'Useful Constants'!$B$11</f>
        <v>0</v>
      </c>
      <c r="EE97" s="14">
        <f>DO97*'Useful Constants'!$B$11</f>
        <v>0</v>
      </c>
      <c r="EF97" s="78">
        <f>(SUM(Data!DI97:DO97)*2+Data!DP97)/('Useful Constants'!$B$1*1000000)*$K97/100</f>
        <v>16.025626913418083</v>
      </c>
      <c r="EG97" s="78">
        <f>(SUM(Data!DJ97:DP97)*2+Data!DQ97)/('Useful Constants'!$B$1*1000000)*$K97/100</f>
        <v>13.312903934710645</v>
      </c>
      <c r="EH97" s="78">
        <f>(SUM(Data!DK97:DQ97)*2+Data!DR97)/('Useful Constants'!$B$1*1000000)*$K97/100</f>
        <v>10.815121127703646</v>
      </c>
      <c r="EI97" s="78">
        <f>(SUM(Data!DL97:DR97)*2+Data!DS97)/('Useful Constants'!$B$1*1000000)*$K97/100</f>
        <v>9.2388094603801676</v>
      </c>
      <c r="EJ97" s="78">
        <f>(SUM(Data!DM97:DS97)*2+Data!DT97)/('Useful Constants'!$B$1*1000000)*$K97/100</f>
        <v>7.9363518272932367</v>
      </c>
      <c r="EK97" s="78">
        <f>(SUM(Data!DN97:DT97)*2+Data!DU97)/('Useful Constants'!$B$1*1000000)*$K97/100</f>
        <v>6.5560950569769378</v>
      </c>
      <c r="EL97" s="78">
        <f>(SUM(Data!DO97:DU97)*2+Data!DV97)/('Useful Constants'!$B$1*1000000)*$K97/100</f>
        <v>5.6288422136012262</v>
      </c>
      <c r="EM97" s="78">
        <f>(SUM(Data!DP97:DV97)*2+Data!DW97)/('Useful Constants'!$B$1*1000000)*$K97/100</f>
        <v>5.2332791865590798</v>
      </c>
      <c r="EN97" s="79">
        <f>EF97*'Useful Constants'!$B$3</f>
        <v>1346.1526607271189</v>
      </c>
      <c r="EO97" s="79">
        <f>EG97*'Useful Constants'!$B$3</f>
        <v>1118.2839305156942</v>
      </c>
      <c r="EP97" s="79">
        <f>EH97*'Useful Constants'!$B$3</f>
        <v>908.47017472710627</v>
      </c>
      <c r="EQ97" s="79">
        <f>EI97*'Useful Constants'!$B$3</f>
        <v>776.05999467193408</v>
      </c>
      <c r="ER97" s="79">
        <f>EJ97*'Useful Constants'!$B$3</f>
        <v>666.65355349263189</v>
      </c>
      <c r="ES97" s="79">
        <f>EK97*'Useful Constants'!$B$3</f>
        <v>550.71198478606277</v>
      </c>
      <c r="ET97" s="79">
        <f>EL97*'Useful Constants'!$B$3</f>
        <v>472.82274594250299</v>
      </c>
      <c r="EU97" s="79">
        <f>EM97*'Useful Constants'!$B$3</f>
        <v>439.59545167096269</v>
      </c>
      <c r="EV97" s="78">
        <f>EF97*'Useful Constants'!$B$4</f>
        <v>448.71755357570635</v>
      </c>
      <c r="EW97" s="78">
        <f>EG97*'Useful Constants'!$B$4</f>
        <v>372.76131017189806</v>
      </c>
      <c r="EX97" s="78">
        <f>EH97*'Useful Constants'!$B$4</f>
        <v>302.82339157570209</v>
      </c>
      <c r="EY97" s="78">
        <f>EI97*'Useful Constants'!$B$4</f>
        <v>258.68666489064469</v>
      </c>
      <c r="EZ97" s="78">
        <f>EJ97*'Useful Constants'!$B$4</f>
        <v>222.21785116421063</v>
      </c>
      <c r="FA97" s="78">
        <f>EK97*'Useful Constants'!$B$4</f>
        <v>183.57066159535427</v>
      </c>
      <c r="FB97" s="78">
        <f>EL97*'Useful Constants'!$B$4</f>
        <v>157.60758198083434</v>
      </c>
      <c r="FC97" s="78">
        <f>EM97*'Useful Constants'!$B$4</f>
        <v>146.53181722365423</v>
      </c>
      <c r="FD97" s="40">
        <f t="shared" si="126"/>
        <v>0.19622303799044122</v>
      </c>
      <c r="FE97" s="40">
        <f t="shared" si="127"/>
        <v>0.3184543834471838</v>
      </c>
      <c r="FF97" s="40">
        <f t="shared" si="128"/>
        <v>0.44486565801755762</v>
      </c>
      <c r="FG97" s="40">
        <f t="shared" si="129"/>
        <v>0.46722094882485238</v>
      </c>
      <c r="FH97" s="40">
        <f t="shared" si="130"/>
        <v>0.44785614597138984</v>
      </c>
      <c r="FI97" s="40">
        <f t="shared" si="131"/>
        <v>0.40793004344849676</v>
      </c>
      <c r="FJ97" s="40">
        <f t="shared" si="132"/>
        <v>0.40053638284502729</v>
      </c>
      <c r="FK97" s="40">
        <f t="shared" si="133"/>
        <v>0.45878617137424155</v>
      </c>
      <c r="FL97" s="4">
        <f t="shared" si="134"/>
        <v>0.41653514578187373</v>
      </c>
      <c r="FM97" s="4">
        <f t="shared" si="135"/>
        <v>0.50606891495918394</v>
      </c>
      <c r="FN97" s="4">
        <f t="shared" si="136"/>
        <v>0.5979326908316841</v>
      </c>
      <c r="FO97" s="4">
        <f t="shared" si="137"/>
        <v>0.61654596074733481</v>
      </c>
      <c r="FP97" s="4">
        <f t="shared" si="138"/>
        <v>0.60600098530073443</v>
      </c>
      <c r="FQ97" s="4">
        <f t="shared" si="139"/>
        <v>0.58152344872752249</v>
      </c>
      <c r="FR97" s="4">
        <f t="shared" si="140"/>
        <v>0.57839290440771307</v>
      </c>
      <c r="FS97" s="4">
        <f t="shared" si="141"/>
        <v>0.61915363002675416</v>
      </c>
      <c r="FT97" s="38">
        <f t="shared" si="142"/>
        <v>0.28925371819646717</v>
      </c>
      <c r="FU97" s="38">
        <f t="shared" si="143"/>
        <v>0.39770465397265187</v>
      </c>
      <c r="FV97" s="38">
        <f t="shared" si="144"/>
        <v>0.50954509349574617</v>
      </c>
      <c r="FW97" s="38">
        <f t="shared" si="145"/>
        <v>0.53032201811142676</v>
      </c>
      <c r="FX97" s="38">
        <f t="shared" si="146"/>
        <v>0.51467819614839494</v>
      </c>
      <c r="FY97" s="38">
        <f t="shared" si="147"/>
        <v>0.48126864864910229</v>
      </c>
      <c r="FZ97" s="38">
        <f t="shared" si="148"/>
        <v>0.47567305848840141</v>
      </c>
      <c r="GA97" s="38">
        <f t="shared" si="149"/>
        <v>0.52654716374129984</v>
      </c>
    </row>
    <row r="98" spans="1:183" x14ac:dyDescent="0.25">
      <c r="A98" s="1" t="str">
        <f>Data!A98</f>
        <v>WV_MORGANTOWN-HART-FIELD_724176_TY3A</v>
      </c>
      <c r="B98" s="1" t="str">
        <f>TY3A_REP_CITIES!B98</f>
        <v>Morgantown</v>
      </c>
      <c r="C98" s="1" t="str">
        <f>TY3A_REP_CITIES!C98</f>
        <v>Monongalia</v>
      </c>
      <c r="D98" s="2" t="str">
        <f>TY3A_REP_CITIES!A98</f>
        <v>WV</v>
      </c>
      <c r="E98" s="42">
        <f>TY3A_REP_CITIES!E98</f>
        <v>105612</v>
      </c>
      <c r="F98" s="2">
        <f>TY3A_REP_CITIES!G98</f>
        <v>5</v>
      </c>
      <c r="G98" s="2" t="str">
        <f>TY3A_REP_CITIES!H98</f>
        <v>Cold</v>
      </c>
      <c r="H98" s="2" t="str">
        <f>TY3A_REP_CITIES!I98</f>
        <v>Southeast</v>
      </c>
      <c r="I98" s="2">
        <f>Data!B98</f>
        <v>39.65</v>
      </c>
      <c r="J98" s="2">
        <f>Data!C98</f>
        <v>-79.92</v>
      </c>
      <c r="K98" s="2">
        <f>VLOOKUP(D98,Table1[],2,FALSE)</f>
        <v>0.9</v>
      </c>
      <c r="L98" s="2">
        <v>0.5</v>
      </c>
      <c r="M98" s="10">
        <f>Data!N98</f>
        <v>4517.62698</v>
      </c>
      <c r="N98" s="10">
        <f>Data!Q98</f>
        <v>29308</v>
      </c>
      <c r="O98" s="10">
        <f>Data!O98</f>
        <v>35585383101.408798</v>
      </c>
      <c r="P98" s="10">
        <f>Data!P98</f>
        <v>37068107397.300751</v>
      </c>
      <c r="Q98" s="10">
        <f>Data!S98*15</f>
        <v>27968.405184278872</v>
      </c>
      <c r="R98" s="48">
        <f>SUM(Data!U98:AA98)*2+Data!AB98</f>
        <v>383.54291807785006</v>
      </c>
      <c r="S98" s="48">
        <f>SUM(Data!V98:AB98)*2+Data!AC98</f>
        <v>322.94153067068612</v>
      </c>
      <c r="T98" s="48">
        <f>SUM(Data!W98:AC98)*2+Data!AD98</f>
        <v>264.29476074909184</v>
      </c>
      <c r="U98" s="48">
        <f>SUM(Data!X98:AD98)*2+Data!AE98</f>
        <v>252.55787330490136</v>
      </c>
      <c r="V98" s="48">
        <f>SUM(Data!Y98:AE98)*2+Data!AF98</f>
        <v>261.73619756500602</v>
      </c>
      <c r="W98" s="48">
        <f>SUM(Data!Z98:AF98)*2+Data!AG98</f>
        <v>279.88904574095875</v>
      </c>
      <c r="X98" s="48">
        <f>SUM(Data!AA98:AG98)*2+Data!AH98</f>
        <v>282.81653310135488</v>
      </c>
      <c r="Y98" s="48">
        <f>SUM(Data!AB98:AH98)*2+Data!AI98</f>
        <v>254.2022961636699</v>
      </c>
      <c r="Z98" s="80">
        <f>(SUM(Data!CS98:CY98)*2+Data!CZ98)/('Useful Constants'!$B$1*1000000)*$K98/100</f>
        <v>0.2832602086944962</v>
      </c>
      <c r="AA98" s="80">
        <f>(SUM(Data!CT98:CZ98)*2+Data!DA98)/('Useful Constants'!$B$1*1000000)*$K98/100</f>
        <v>0.23215519384028113</v>
      </c>
      <c r="AB98" s="80">
        <f>(SUM(Data!CU98:DA98)*2+Data!DB98)/('Useful Constants'!$B$1*1000000)*$K98/100</f>
        <v>0.1881711765220859</v>
      </c>
      <c r="AC98" s="80">
        <f>(SUM(Data!CV98:DB98)*2+Data!DC98)/('Useful Constants'!$B$1*1000000)*$K98/100</f>
        <v>0.16097117749130041</v>
      </c>
      <c r="AD98" s="80">
        <f>(SUM(Data!CW98:DC98)*2+Data!DD98)/('Useful Constants'!$B$1*1000000)*$K98/100</f>
        <v>0.13936265428566827</v>
      </c>
      <c r="AE98" s="80">
        <f>(SUM(Data!CX98:DD98)*2+Data!DE98)/('Useful Constants'!$B$1*1000000)*$K98/100</f>
        <v>0.11803534142798051</v>
      </c>
      <c r="AF98" s="80">
        <f>(SUM(Data!CY98:DE98)*2+Data!DF98)/('Useful Constants'!$B$1*1000000)*$K98/100</f>
        <v>0.10343333646996968</v>
      </c>
      <c r="AG98" s="80">
        <f>(SUM(Data!CZ98:DF98)*2+Data!DG98)/('Useful Constants'!$B$1*1000000)*$K98/100</f>
        <v>9.5921558490501227E-2</v>
      </c>
      <c r="AH98" s="48">
        <f>Z98*'Useful Constants'!$B$3</f>
        <v>23.793857530337682</v>
      </c>
      <c r="AI98" s="48">
        <f>AA98*'Useful Constants'!$B$3</f>
        <v>19.501036282583616</v>
      </c>
      <c r="AJ98" s="48">
        <f>AB98*'Useful Constants'!$B$3</f>
        <v>15.806378827855216</v>
      </c>
      <c r="AK98" s="48">
        <f>AC98*'Useful Constants'!$B$3</f>
        <v>13.521578909269234</v>
      </c>
      <c r="AL98" s="48">
        <f>AD98*'Useful Constants'!$B$3</f>
        <v>11.706462959996134</v>
      </c>
      <c r="AM98" s="48">
        <f>AE98*'Useful Constants'!$B$3</f>
        <v>9.9149686799503627</v>
      </c>
      <c r="AN98" s="48">
        <f>AF98*'Useful Constants'!$B$3</f>
        <v>8.6884002634774529</v>
      </c>
      <c r="AO98" s="48">
        <f>AG98*'Useful Constants'!$B$3</f>
        <v>8.0574109132021032</v>
      </c>
      <c r="AP98" s="10">
        <f>Z98*'Useful Constants'!$B$4</f>
        <v>7.9312858434458935</v>
      </c>
      <c r="AQ98" s="10">
        <f>AA98*'Useful Constants'!$B$4</f>
        <v>6.500345427527872</v>
      </c>
      <c r="AR98" s="10">
        <f>AB98*'Useful Constants'!$B$4</f>
        <v>5.268792942618405</v>
      </c>
      <c r="AS98" s="10">
        <f>AC98*'Useful Constants'!$B$4</f>
        <v>4.5071929697564119</v>
      </c>
      <c r="AT98" s="10">
        <f>AD98*'Useful Constants'!$B$4</f>
        <v>3.9021543199987114</v>
      </c>
      <c r="AU98" s="10">
        <f>AE98*'Useful Constants'!$B$4</f>
        <v>3.3049895599834542</v>
      </c>
      <c r="AV98" s="10">
        <f>AF98*'Useful Constants'!$B$4</f>
        <v>2.896133421159151</v>
      </c>
      <c r="AW98" s="10">
        <f>AG98*'Useful Constants'!$B$4</f>
        <v>2.6858036377340344</v>
      </c>
      <c r="AX98" s="48">
        <f>P98/1000000/'Useful Constants'!$B$1*K98/100*'Useful Constants'!$B$3*15</f>
        <v>8407.0467577078107</v>
      </c>
      <c r="AY98" s="48">
        <f>P98/1000000/'Useful Constants'!$B$1*L98/100*'Useful Constants'!$B$3*15</f>
        <v>4670.5815320598949</v>
      </c>
      <c r="AZ98" s="48">
        <f>P98/1000000/'Useful Constants'!$B$1*K98/100*'Useful Constants'!$B$4*15</f>
        <v>2802.348919235937</v>
      </c>
      <c r="BA98" s="48">
        <f>P98/1000000/'Useful Constants'!$B$1*L98/100*'Useful Constants'!$B$4*15</f>
        <v>1556.8605106866316</v>
      </c>
      <c r="BB98" s="7">
        <f>Data!AN98</f>
        <v>4517.62698</v>
      </c>
      <c r="BC98" s="7">
        <f>Data!AQ98</f>
        <v>4517.62698</v>
      </c>
      <c r="BD98" s="7">
        <f>Data!AT98</f>
        <v>7347.7415700000001</v>
      </c>
      <c r="BE98" s="6">
        <f>Data!AO98</f>
        <v>27732388547.556499</v>
      </c>
      <c r="BF98" s="6">
        <f>Data!AP98</f>
        <v>9379618469.0061302</v>
      </c>
      <c r="BG98" s="6">
        <f>Data!AR98</f>
        <v>6259214776.8753405</v>
      </c>
      <c r="BH98" s="6">
        <f>Data!AS98</f>
        <v>6259214776.8753405</v>
      </c>
      <c r="BI98" s="8">
        <f t="shared" si="100"/>
        <v>0.815859972325093</v>
      </c>
      <c r="BJ98" s="8">
        <f t="shared" si="101"/>
        <v>0.59976459378619429</v>
      </c>
      <c r="BK98" s="13">
        <f>BB98*'Useful Constants'!$B$5/'Useful Constants'!$B$6*'Useful Constants'!$B$7</f>
        <v>1.1560607441820001</v>
      </c>
      <c r="BL98" s="52">
        <f>1-VLOOKUP($G98,'Useful Constants'!$A$17:$X$23,10,FALSE)</f>
        <v>6.6471999999999865E-2</v>
      </c>
      <c r="BM98" s="52">
        <f>1-VLOOKUP($G98,'Useful Constants'!$A$17:$X$23,12,FALSE)</f>
        <v>4.945672000000001E-2</v>
      </c>
      <c r="BN98" s="52">
        <f>1-VLOOKUP($G98,'Useful Constants'!$A$17:$X$23,14,FALSE)</f>
        <v>3.4455679999999989E-2</v>
      </c>
      <c r="BO98" s="52">
        <f>1-VLOOKUP($G98,'Useful Constants'!$A$17:$X$23,16,FALSE)</f>
        <v>2.1468880000000024E-2</v>
      </c>
      <c r="BP98" s="52">
        <f>1-VLOOKUP($G98,'Useful Constants'!$A$17:$X$23,18,FALSE)</f>
        <v>0</v>
      </c>
      <c r="BQ98" s="52">
        <f>1-VLOOKUP($G98,'Useful Constants'!$A$17:$X$23,20, FALSE)</f>
        <v>0</v>
      </c>
      <c r="BR98" s="52">
        <f>1-VLOOKUP($G98,'Useful Constants'!$A$17:$X$23,22, FALSE)</f>
        <v>0</v>
      </c>
      <c r="BS98" s="52">
        <f>1-VLOOKUP($G98,'Useful Constants'!$A$17:$X$23,24, FALSE)</f>
        <v>0</v>
      </c>
      <c r="BT98" s="13">
        <f t="shared" si="102"/>
        <v>7.6845669787265758E-2</v>
      </c>
      <c r="BU98" s="13">
        <f t="shared" si="103"/>
        <v>5.7174972528000821E-2</v>
      </c>
      <c r="BV98" s="13">
        <f t="shared" si="104"/>
        <v>3.9832859062096847E-2</v>
      </c>
      <c r="BW98" s="13">
        <f t="shared" si="105"/>
        <v>2.4819329389554085E-2</v>
      </c>
      <c r="BX98" s="13">
        <f t="shared" si="106"/>
        <v>0</v>
      </c>
      <c r="BY98" s="13">
        <f t="shared" si="107"/>
        <v>0</v>
      </c>
      <c r="BZ98" s="13">
        <f t="shared" si="108"/>
        <v>0</v>
      </c>
      <c r="CA98" s="13">
        <f t="shared" si="109"/>
        <v>0</v>
      </c>
      <c r="CB98" s="59">
        <f>+SUM(Data!BM98:BS98)*2+Data!BT98</f>
        <v>2458.023000493944</v>
      </c>
      <c r="CC98" s="59">
        <f>+SUM(Data!BN98:BT98)*2+Data!BU98</f>
        <v>2072.8136911304123</v>
      </c>
      <c r="CD98" s="59">
        <f>+SUM(Data!BO98:BU98)*2+Data!BV98</f>
        <v>1698.2828649738221</v>
      </c>
      <c r="CE98" s="59">
        <f>+SUM(Data!BP98:BV98)*2+Data!BW98</f>
        <v>1620.5777994829584</v>
      </c>
      <c r="CF98" s="59">
        <f>+SUM(Data!BQ98:BW98)*2+Data!BX98</f>
        <v>1678.6728269154366</v>
      </c>
      <c r="CG98" s="59">
        <f>+SUM(Data!BR98:BX98)*2+Data!BY98</f>
        <v>1790.8213219272932</v>
      </c>
      <c r="CH98" s="59">
        <f>+SUM(Data!BS98:BY98)*2+Data!BZ98</f>
        <v>1808.66284954617</v>
      </c>
      <c r="CI98" s="59">
        <f>+SUM(Data!BT98:BZ98)*2+Data!CA98</f>
        <v>1622.1928697604621</v>
      </c>
      <c r="CJ98" s="13">
        <f>+SUM(Data!AW98:BC98)*2+Data!BD98</f>
        <v>12403.46888350072</v>
      </c>
      <c r="CK98" s="13">
        <f>+SUM(Data!AX98:BD98)*2+Data!BE98</f>
        <v>10470.94283691272</v>
      </c>
      <c r="CL98" s="13">
        <f>+SUM(Data!AY98:BE98)*2+Data!BF98</f>
        <v>8575.0535791259481</v>
      </c>
      <c r="CM98" s="13">
        <f>+SUM(Data!AZ98:BF98)*2+Data!BG98</f>
        <v>8175.9621567169806</v>
      </c>
      <c r="CN98" s="13">
        <f>+SUM(Data!BA98:BG98)*2+Data!BH98</f>
        <v>8470.594593562666</v>
      </c>
      <c r="CO98" s="13">
        <f>+SUM(Data!BB98:BH98)*2+Data!BI98</f>
        <v>9029.562627978039</v>
      </c>
      <c r="CP98" s="13">
        <f>+SUM(Data!BC98:BI98)*2+Data!BJ98</f>
        <v>9125.8397180277425</v>
      </c>
      <c r="CQ98" s="13">
        <f>+SUM(Data!BD98:BJ98)*2+Data!BK98</f>
        <v>8172.6004945050008</v>
      </c>
      <c r="CR98" s="59">
        <f>+SUM(Data!CC98:CI98)*2+Data!CJ98</f>
        <v>8548.3986198936254</v>
      </c>
      <c r="CS98" s="59">
        <f>+SUM(Data!CD98:CJ98)*2+Data!CK98</f>
        <v>7106.8197118004746</v>
      </c>
      <c r="CT98" s="59">
        <f>+SUM(Data!CE98:CK98)*2+Data!CL98</f>
        <v>5737.9445153505249</v>
      </c>
      <c r="CU98" s="59">
        <f>+SUM(Data!CF98:CL98)*2+Data!CM98</f>
        <v>5564.8892423790076</v>
      </c>
      <c r="CV98" s="59">
        <f>+SUM(Data!CG98:CM98)*2+Data!CN98</f>
        <v>5792.1571334205219</v>
      </c>
      <c r="CW98" s="59">
        <f>+SUM(Data!CH98:CN98)*2+Data!CO98</f>
        <v>6349.0486484041185</v>
      </c>
      <c r="CX98" s="59">
        <f>+SUM(Data!CI98:CO98)*2+Data!CP98</f>
        <v>6444.6776975494449</v>
      </c>
      <c r="CY98" s="59">
        <f>+SUM(Data!CJ98:CP98)*2+Data!CQ98</f>
        <v>5873.5383027872958</v>
      </c>
      <c r="CZ98" s="60">
        <f t="shared" si="110"/>
        <v>23409.890503888288</v>
      </c>
      <c r="DA98" s="60">
        <f t="shared" si="111"/>
        <v>19650.576239843605</v>
      </c>
      <c r="DB98" s="60">
        <f t="shared" si="112"/>
        <v>16011.280959450294</v>
      </c>
      <c r="DC98" s="60">
        <f t="shared" si="113"/>
        <v>15361.429198578946</v>
      </c>
      <c r="DD98" s="60">
        <f t="shared" si="114"/>
        <v>15941.424553898625</v>
      </c>
      <c r="DE98" s="60">
        <f t="shared" si="115"/>
        <v>17169.43259830945</v>
      </c>
      <c r="DF98" s="60">
        <f t="shared" si="116"/>
        <v>17379.180265123359</v>
      </c>
      <c r="DG98" s="60">
        <f t="shared" si="117"/>
        <v>15668.331667052758</v>
      </c>
      <c r="DH98" s="13">
        <f t="shared" si="118"/>
        <v>7.9010610830591854E-2</v>
      </c>
      <c r="DI98" s="13">
        <f t="shared" si="119"/>
        <v>5.8785739211661407E-2</v>
      </c>
      <c r="DJ98" s="13">
        <f t="shared" si="120"/>
        <v>4.095505360728445E-2</v>
      </c>
      <c r="DK98" s="13">
        <f t="shared" si="121"/>
        <v>2.5518554017461219E-2</v>
      </c>
      <c r="DL98" s="13">
        <f t="shared" si="122"/>
        <v>0</v>
      </c>
      <c r="DM98" s="13">
        <f t="shared" si="123"/>
        <v>0</v>
      </c>
      <c r="DN98" s="13">
        <f t="shared" si="124"/>
        <v>0</v>
      </c>
      <c r="DO98" s="13">
        <f t="shared" si="125"/>
        <v>0</v>
      </c>
      <c r="DP98" s="50">
        <f>DH98*'Useful Constants'!$B$8</f>
        <v>336.58520213832128</v>
      </c>
      <c r="DQ98" s="50">
        <f>DI98*'Useful Constants'!$B$8</f>
        <v>250.42724904167758</v>
      </c>
      <c r="DR98" s="50">
        <f>DJ98*'Useful Constants'!$B$10</f>
        <v>99.520780265701219</v>
      </c>
      <c r="DS98" s="50">
        <f>DK98*'Useful Constants'!$B$10</f>
        <v>62.010086262430761</v>
      </c>
      <c r="DT98" s="50">
        <f>DL98*'Useful Constants'!$B$10</f>
        <v>0</v>
      </c>
      <c r="DU98" s="50">
        <f>DM98*'Useful Constants'!$B$10</f>
        <v>0</v>
      </c>
      <c r="DV98" s="50">
        <f>DN98*'Useful Constants'!$B$10</f>
        <v>0</v>
      </c>
      <c r="DW98" s="50">
        <f>DO98*'Useful Constants'!$B$10</f>
        <v>0</v>
      </c>
      <c r="DX98" s="14">
        <f>DH98*'Useful Constants'!$B$9</f>
        <v>152.01641523805873</v>
      </c>
      <c r="DY98" s="14">
        <f>DI98*'Useful Constants'!$B$9</f>
        <v>113.10376224323655</v>
      </c>
      <c r="DZ98" s="14">
        <f>DJ98*'Useful Constants'!$B$11</f>
        <v>27.726571292131574</v>
      </c>
      <c r="EA98" s="14">
        <f>DK98*'Useful Constants'!$B$11</f>
        <v>17.276061069821246</v>
      </c>
      <c r="EB98" s="14">
        <f>DL98*'Useful Constants'!$B$11</f>
        <v>0</v>
      </c>
      <c r="EC98" s="14">
        <f>DM98*'Useful Constants'!$B$11</f>
        <v>0</v>
      </c>
      <c r="ED98" s="14">
        <f>DN98*'Useful Constants'!$B$11</f>
        <v>0</v>
      </c>
      <c r="EE98" s="14">
        <f>DO98*'Useful Constants'!$B$11</f>
        <v>0</v>
      </c>
      <c r="EF98" s="78">
        <f>(SUM(Data!DI98:DO98)*2+Data!DP98)/('Useful Constants'!$B$1*1000000)*$K98/100</f>
        <v>16.909156054610836</v>
      </c>
      <c r="EG98" s="78">
        <f>(SUM(Data!DJ98:DP98)*2+Data!DQ98)/('Useful Constants'!$B$1*1000000)*$K98/100</f>
        <v>14.088129723283648</v>
      </c>
      <c r="EH98" s="78">
        <f>(SUM(Data!DK98:DQ98)*2+Data!DR98)/('Useful Constants'!$B$1*1000000)*$K98/100</f>
        <v>11.713313349053594</v>
      </c>
      <c r="EI98" s="78">
        <f>(SUM(Data!DL98:DR98)*2+Data!DS98)/('Useful Constants'!$B$1*1000000)*$K98/100</f>
        <v>10.194295536330687</v>
      </c>
      <c r="EJ98" s="78">
        <f>(SUM(Data!DM98:DS98)*2+Data!DT98)/('Useful Constants'!$B$1*1000000)*$K98/100</f>
        <v>9.0331889831412244</v>
      </c>
      <c r="EK98" s="78">
        <f>(SUM(Data!DN98:DT98)*2+Data!DU98)/('Useful Constants'!$B$1*1000000)*$K98/100</f>
        <v>7.8892915664284473</v>
      </c>
      <c r="EL98" s="78">
        <f>(SUM(Data!DO98:DU98)*2+Data!DV98)/('Useful Constants'!$B$1*1000000)*$K98/100</f>
        <v>7.0519830411530666</v>
      </c>
      <c r="EM98" s="78">
        <f>(SUM(Data!DP98:DV98)*2+Data!DW98)/('Useful Constants'!$B$1*1000000)*$K98/100</f>
        <v>6.5567231333862344</v>
      </c>
      <c r="EN98" s="79">
        <f>EF98*'Useful Constants'!$B$3</f>
        <v>1420.3691085873102</v>
      </c>
      <c r="EO98" s="79">
        <f>EG98*'Useful Constants'!$B$3</f>
        <v>1183.4028967558265</v>
      </c>
      <c r="EP98" s="79">
        <f>EH98*'Useful Constants'!$B$3</f>
        <v>983.91832132050195</v>
      </c>
      <c r="EQ98" s="79">
        <f>EI98*'Useful Constants'!$B$3</f>
        <v>856.32082505177766</v>
      </c>
      <c r="ER98" s="79">
        <f>EJ98*'Useful Constants'!$B$3</f>
        <v>758.78787458386284</v>
      </c>
      <c r="ES98" s="79">
        <f>EK98*'Useful Constants'!$B$3</f>
        <v>662.7004915799896</v>
      </c>
      <c r="ET98" s="79">
        <f>EL98*'Useful Constants'!$B$3</f>
        <v>592.36657545685762</v>
      </c>
      <c r="EU98" s="79">
        <f>EM98*'Useful Constants'!$B$3</f>
        <v>550.76474320444368</v>
      </c>
      <c r="EV98" s="78">
        <f>EF98*'Useful Constants'!$B$4</f>
        <v>473.45636952910343</v>
      </c>
      <c r="EW98" s="78">
        <f>EG98*'Useful Constants'!$B$4</f>
        <v>394.46763225194218</v>
      </c>
      <c r="EX98" s="78">
        <f>EH98*'Useful Constants'!$B$4</f>
        <v>327.97277377350065</v>
      </c>
      <c r="EY98" s="78">
        <f>EI98*'Useful Constants'!$B$4</f>
        <v>285.44027501725924</v>
      </c>
      <c r="EZ98" s="78">
        <f>EJ98*'Useful Constants'!$B$4</f>
        <v>252.92929152795429</v>
      </c>
      <c r="FA98" s="78">
        <f>EK98*'Useful Constants'!$B$4</f>
        <v>220.90016385999652</v>
      </c>
      <c r="FB98" s="78">
        <f>EL98*'Useful Constants'!$B$4</f>
        <v>197.45552515228587</v>
      </c>
      <c r="FC98" s="78">
        <f>EM98*'Useful Constants'!$B$4</f>
        <v>183.58824773481456</v>
      </c>
      <c r="FD98" s="40">
        <f t="shared" si="126"/>
        <v>0.17431104136571238</v>
      </c>
      <c r="FE98" s="40">
        <f t="shared" si="127"/>
        <v>0.30542096713056238</v>
      </c>
      <c r="FF98" s="40">
        <f t="shared" si="128"/>
        <v>0.43288169425432421</v>
      </c>
      <c r="FG98" s="40">
        <f t="shared" si="129"/>
        <v>0.45567310487475038</v>
      </c>
      <c r="FH98" s="40">
        <f t="shared" si="130"/>
        <v>0.43530482762118577</v>
      </c>
      <c r="FI98" s="40">
        <f t="shared" si="131"/>
        <v>0.39219577442438031</v>
      </c>
      <c r="FJ98" s="40">
        <f t="shared" si="132"/>
        <v>0.38483438206739068</v>
      </c>
      <c r="FK98" s="40">
        <f t="shared" si="133"/>
        <v>0.44483047224072175</v>
      </c>
      <c r="FL98" s="4">
        <f t="shared" si="134"/>
        <v>0.39288784812801747</v>
      </c>
      <c r="FM98" s="4">
        <f t="shared" si="135"/>
        <v>0.49057301929274516</v>
      </c>
      <c r="FN98" s="4">
        <f t="shared" si="136"/>
        <v>0.58634601999769242</v>
      </c>
      <c r="FO98" s="4">
        <f t="shared" si="137"/>
        <v>0.60593252301204248</v>
      </c>
      <c r="FP98" s="4">
        <f t="shared" si="138"/>
        <v>0.59582710162896779</v>
      </c>
      <c r="FQ98" s="4">
        <f t="shared" si="139"/>
        <v>0.56860356113833366</v>
      </c>
      <c r="FR98" s="4">
        <f t="shared" si="140"/>
        <v>0.56524874162903471</v>
      </c>
      <c r="FS98" s="4">
        <f t="shared" si="141"/>
        <v>0.60736464372561372</v>
      </c>
      <c r="FT98" s="38">
        <f t="shared" si="142"/>
        <v>0.26540242540793085</v>
      </c>
      <c r="FU98" s="38">
        <f t="shared" si="143"/>
        <v>0.38273225450289761</v>
      </c>
      <c r="FV98" s="38">
        <f t="shared" si="144"/>
        <v>0.4979019281909281</v>
      </c>
      <c r="FW98" s="38">
        <f t="shared" si="145"/>
        <v>0.51927882402810366</v>
      </c>
      <c r="FX98" s="38">
        <f t="shared" si="146"/>
        <v>0.5031378468949711</v>
      </c>
      <c r="FY98" s="38">
        <f t="shared" si="147"/>
        <v>0.46673101703551872</v>
      </c>
      <c r="FZ98" s="38">
        <f t="shared" si="148"/>
        <v>0.4610597183482017</v>
      </c>
      <c r="GA98" s="38">
        <f t="shared" si="149"/>
        <v>0.51351352347091739</v>
      </c>
    </row>
    <row r="99" spans="1:183" x14ac:dyDescent="0.25">
      <c r="A99" s="1" t="str">
        <f>Data!A99</f>
        <v>WY_CHEYENNE-MUNI-AP_725640_TY3A</v>
      </c>
      <c r="B99" s="1" t="str">
        <f>TY3A_REP_CITIES!B99</f>
        <v>Cheyenne</v>
      </c>
      <c r="C99" s="1" t="str">
        <f>TY3A_REP_CITIES!C99</f>
        <v>Laramie</v>
      </c>
      <c r="D99" s="2" t="str">
        <f>TY3A_REP_CITIES!A99</f>
        <v>WY</v>
      </c>
      <c r="E99" s="42">
        <f>TY3A_REP_CITIES!E99</f>
        <v>99500</v>
      </c>
      <c r="F99" s="2">
        <f>TY3A_REP_CITIES!G99</f>
        <v>6</v>
      </c>
      <c r="G99" s="2" t="str">
        <f>TY3A_REP_CITIES!H99</f>
        <v>Cold</v>
      </c>
      <c r="H99" s="2" t="str">
        <f>TY3A_REP_CITIES!I99</f>
        <v>Rocky Mountains</v>
      </c>
      <c r="I99" s="2">
        <f>Data!B99</f>
        <v>41.15</v>
      </c>
      <c r="J99" s="2">
        <f>Data!C99</f>
        <v>-104.8</v>
      </c>
      <c r="K99" s="2">
        <f>VLOOKUP(D99,Table1[],2,FALSE)</f>
        <v>1.1000000000000001</v>
      </c>
      <c r="L99" s="2">
        <v>0.5</v>
      </c>
      <c r="M99" s="10">
        <f>Data!N99</f>
        <v>4925.5267100000001</v>
      </c>
      <c r="N99" s="10">
        <f>Data!Q99</f>
        <v>29308</v>
      </c>
      <c r="O99" s="10">
        <f>Data!O99</f>
        <v>56016021571.389801</v>
      </c>
      <c r="P99" s="10">
        <f>Data!P99</f>
        <v>58350022470.197754</v>
      </c>
      <c r="Q99" s="10">
        <f>Data!S99*15</f>
        <v>44025.90759400637</v>
      </c>
      <c r="R99" s="48">
        <f>SUM(Data!U99:AA99)*2+Data!AB99</f>
        <v>1112.0006071775417</v>
      </c>
      <c r="S99" s="48">
        <f>SUM(Data!V99:AB99)*2+Data!AC99</f>
        <v>1106.4657873009439</v>
      </c>
      <c r="T99" s="48">
        <f>SUM(Data!W99:AC99)*2+Data!AD99</f>
        <v>1014.9705497415076</v>
      </c>
      <c r="U99" s="48">
        <f>SUM(Data!X99:AD99)*2+Data!AE99</f>
        <v>984.27306418872251</v>
      </c>
      <c r="V99" s="48">
        <f>SUM(Data!Y99:AE99)*2+Data!AF99</f>
        <v>1012.8143595160552</v>
      </c>
      <c r="W99" s="48">
        <f>SUM(Data!Z99:AF99)*2+Data!AG99</f>
        <v>959.53491188519433</v>
      </c>
      <c r="X99" s="48">
        <f>SUM(Data!AA99:AG99)*2+Data!AH99</f>
        <v>936.01550846277962</v>
      </c>
      <c r="Y99" s="48">
        <f>SUM(Data!AB99:AH99)*2+Data!AI99</f>
        <v>915.39988187694792</v>
      </c>
      <c r="Z99" s="80">
        <f>(SUM(Data!CS99:CY99)*2+Data!CZ99)/('Useful Constants'!$B$1*1000000)*$K99/100</f>
        <v>1.905182097862541E-2</v>
      </c>
      <c r="AA99" s="80">
        <f>(SUM(Data!CT99:CZ99)*2+Data!DA99)/('Useful Constants'!$B$1*1000000)*$K99/100</f>
        <v>1.2395046943089166E-2</v>
      </c>
      <c r="AB99" s="80">
        <f>(SUM(Data!CU99:DA99)*2+Data!DB99)/('Useful Constants'!$B$1*1000000)*$K99/100</f>
        <v>8.9376173972729196E-3</v>
      </c>
      <c r="AC99" s="80">
        <f>(SUM(Data!CV99:DB99)*2+Data!DC99)/('Useful Constants'!$B$1*1000000)*$K99/100</f>
        <v>6.6046442067625314E-3</v>
      </c>
      <c r="AD99" s="80">
        <f>(SUM(Data!CW99:DC99)*2+Data!DD99)/('Useful Constants'!$B$1*1000000)*$K99/100</f>
        <v>5.441755086745618E-3</v>
      </c>
      <c r="AE99" s="80">
        <f>(SUM(Data!CX99:DD99)*2+Data!DE99)/('Useful Constants'!$B$1*1000000)*$K99/100</f>
        <v>5.1788955176086974E-3</v>
      </c>
      <c r="AF99" s="80">
        <f>(SUM(Data!CY99:DE99)*2+Data!DF99)/('Useful Constants'!$B$1*1000000)*$K99/100</f>
        <v>4.9924042574678957E-3</v>
      </c>
      <c r="AG99" s="80">
        <f>(SUM(Data!CZ99:DF99)*2+Data!DG99)/('Useful Constants'!$B$1*1000000)*$K99/100</f>
        <v>4.6545350204369191E-3</v>
      </c>
      <c r="AH99" s="48">
        <f>Z99*'Useful Constants'!$B$3</f>
        <v>1.6003529622045345</v>
      </c>
      <c r="AI99" s="48">
        <f>AA99*'Useful Constants'!$B$3</f>
        <v>1.0411839432194898</v>
      </c>
      <c r="AJ99" s="48">
        <f>AB99*'Useful Constants'!$B$3</f>
        <v>0.75075986137092521</v>
      </c>
      <c r="AK99" s="48">
        <f>AC99*'Useful Constants'!$B$3</f>
        <v>0.55479011336805262</v>
      </c>
      <c r="AL99" s="48">
        <f>AD99*'Useful Constants'!$B$3</f>
        <v>0.4571074272866319</v>
      </c>
      <c r="AM99" s="48">
        <f>AE99*'Useful Constants'!$B$3</f>
        <v>0.43502722347913059</v>
      </c>
      <c r="AN99" s="48">
        <f>AF99*'Useful Constants'!$B$3</f>
        <v>0.41936195762730322</v>
      </c>
      <c r="AO99" s="48">
        <f>AG99*'Useful Constants'!$B$3</f>
        <v>0.39098094171670122</v>
      </c>
      <c r="AP99" s="10">
        <f>Z99*'Useful Constants'!$B$4</f>
        <v>0.53345098740151153</v>
      </c>
      <c r="AQ99" s="10">
        <f>AA99*'Useful Constants'!$B$4</f>
        <v>0.34706131440649662</v>
      </c>
      <c r="AR99" s="10">
        <f>AB99*'Useful Constants'!$B$4</f>
        <v>0.25025328712364175</v>
      </c>
      <c r="AS99" s="10">
        <f>AC99*'Useful Constants'!$B$4</f>
        <v>0.18493003778935088</v>
      </c>
      <c r="AT99" s="10">
        <f>AD99*'Useful Constants'!$B$4</f>
        <v>0.15236914242887731</v>
      </c>
      <c r="AU99" s="10">
        <f>AE99*'Useful Constants'!$B$4</f>
        <v>0.14500907449304354</v>
      </c>
      <c r="AV99" s="10">
        <f>AF99*'Useful Constants'!$B$4</f>
        <v>0.13978731920910109</v>
      </c>
      <c r="AW99" s="10">
        <f>AG99*'Useful Constants'!$B$4</f>
        <v>0.13032698057223374</v>
      </c>
      <c r="AX99" s="48">
        <f>P99/1000000/'Useful Constants'!$B$1*K99/100*'Useful Constants'!$B$3*15</f>
        <v>16174.62622873882</v>
      </c>
      <c r="AY99" s="48">
        <f>P99/1000000/'Useful Constants'!$B$1*L99/100*'Useful Constants'!$B$3*15</f>
        <v>7352.1028312449171</v>
      </c>
      <c r="AZ99" s="48">
        <f>P99/1000000/'Useful Constants'!$B$1*K99/100*'Useful Constants'!$B$4*15</f>
        <v>5391.5420762462736</v>
      </c>
      <c r="BA99" s="48">
        <f>P99/1000000/'Useful Constants'!$B$1*L99/100*'Useful Constants'!$B$4*15</f>
        <v>2450.7009437483057</v>
      </c>
      <c r="BB99" s="7">
        <f>Data!AN99</f>
        <v>4925.5267100000001</v>
      </c>
      <c r="BC99" s="7">
        <f>Data!AQ99</f>
        <v>4925.5267100000001</v>
      </c>
      <c r="BD99" s="7">
        <f>Data!AT99</f>
        <v>8617.5824499999999</v>
      </c>
      <c r="BE99" s="6">
        <f>Data!AO99</f>
        <v>44154847407.827904</v>
      </c>
      <c r="BF99" s="6">
        <f>Data!AP99</f>
        <v>15737340828.7747</v>
      </c>
      <c r="BG99" s="6">
        <f>Data!AR99</f>
        <v>9108568564.6006603</v>
      </c>
      <c r="BH99" s="6">
        <f>Data!AS99</f>
        <v>9108568564.6006603</v>
      </c>
      <c r="BI99" s="8">
        <f t="shared" si="100"/>
        <v>0.8289901539676755</v>
      </c>
      <c r="BJ99" s="8">
        <f t="shared" si="101"/>
        <v>0.63339765832723882</v>
      </c>
      <c r="BK99" s="13">
        <f>BB99*'Useful Constants'!$B$5/'Useful Constants'!$B$6*'Useful Constants'!$B$7</f>
        <v>1.260442285089</v>
      </c>
      <c r="BL99" s="52">
        <f>1-VLOOKUP($G99,'Useful Constants'!$A$17:$X$23,10,FALSE)</f>
        <v>6.6471999999999865E-2</v>
      </c>
      <c r="BM99" s="52">
        <f>1-VLOOKUP($G99,'Useful Constants'!$A$17:$X$23,12,FALSE)</f>
        <v>4.945672000000001E-2</v>
      </c>
      <c r="BN99" s="52">
        <f>1-VLOOKUP($G99,'Useful Constants'!$A$17:$X$23,14,FALSE)</f>
        <v>3.4455679999999989E-2</v>
      </c>
      <c r="BO99" s="52">
        <f>1-VLOOKUP($G99,'Useful Constants'!$A$17:$X$23,16,FALSE)</f>
        <v>2.1468880000000024E-2</v>
      </c>
      <c r="BP99" s="52">
        <f>1-VLOOKUP($G99,'Useful Constants'!$A$17:$X$23,18,FALSE)</f>
        <v>0</v>
      </c>
      <c r="BQ99" s="52">
        <f>1-VLOOKUP($G99,'Useful Constants'!$A$17:$X$23,20, FALSE)</f>
        <v>0</v>
      </c>
      <c r="BR99" s="52">
        <f>1-VLOOKUP($G99,'Useful Constants'!$A$17:$X$23,22, FALSE)</f>
        <v>0</v>
      </c>
      <c r="BS99" s="52">
        <f>1-VLOOKUP($G99,'Useful Constants'!$A$17:$X$23,24, FALSE)</f>
        <v>0</v>
      </c>
      <c r="BT99" s="13">
        <f t="shared" si="102"/>
        <v>8.3784119574435836E-2</v>
      </c>
      <c r="BU99" s="13">
        <f t="shared" si="103"/>
        <v>6.2337341169806861E-2</v>
      </c>
      <c r="BV99" s="13">
        <f t="shared" si="104"/>
        <v>4.3429396033495341E-2</v>
      </c>
      <c r="BW99" s="13">
        <f t="shared" si="105"/>
        <v>2.7060284165501561E-2</v>
      </c>
      <c r="BX99" s="13">
        <f t="shared" si="106"/>
        <v>0</v>
      </c>
      <c r="BY99" s="13">
        <f t="shared" si="107"/>
        <v>0</v>
      </c>
      <c r="BZ99" s="13">
        <f t="shared" si="108"/>
        <v>0</v>
      </c>
      <c r="CA99" s="13">
        <f t="shared" si="109"/>
        <v>0</v>
      </c>
      <c r="CB99" s="59">
        <f>+SUM(Data!BM99:BS99)*2+Data!BT99</f>
        <v>6480.0025794329695</v>
      </c>
      <c r="CC99" s="59">
        <f>+SUM(Data!BN99:BT99)*2+Data!BU99</f>
        <v>6445.0641322463616</v>
      </c>
      <c r="CD99" s="59">
        <f>+SUM(Data!BO99:BU99)*2+Data!BV99</f>
        <v>5908.0726938543585</v>
      </c>
      <c r="CE99" s="59">
        <f>+SUM(Data!BP99:BV99)*2+Data!BW99</f>
        <v>5729.9865874302423</v>
      </c>
      <c r="CF99" s="59">
        <f>+SUM(Data!BQ99:BW99)*2+Data!BX99</f>
        <v>5896.0295577362795</v>
      </c>
      <c r="CG99" s="59">
        <f>+SUM(Data!BR99:BX99)*2+Data!BY99</f>
        <v>5583.2408029209764</v>
      </c>
      <c r="CH99" s="59">
        <f>+SUM(Data!BS99:BY99)*2+Data!BZ99</f>
        <v>5442.4437126975881</v>
      </c>
      <c r="CI99" s="59">
        <f>+SUM(Data!BT99:BZ99)*2+Data!CA99</f>
        <v>5320.5409841557412</v>
      </c>
      <c r="CJ99" s="13">
        <f>+SUM(Data!AW99:BC99)*2+Data!BD99</f>
        <v>29228.542448441698</v>
      </c>
      <c r="CK99" s="13">
        <f>+SUM(Data!AX99:BD99)*2+Data!BE99</f>
        <v>29067.956995983572</v>
      </c>
      <c r="CL99" s="13">
        <f>+SUM(Data!AY99:BE99)*2+Data!BF99</f>
        <v>26612.407258841973</v>
      </c>
      <c r="CM99" s="13">
        <f>+SUM(Data!AZ99:BF99)*2+Data!BG99</f>
        <v>25788.727901854912</v>
      </c>
      <c r="CN99" s="13">
        <f>+SUM(Data!BA99:BG99)*2+Data!BH99</f>
        <v>26531.394795273027</v>
      </c>
      <c r="CO99" s="13">
        <f>+SUM(Data!BB99:BH99)*2+Data!BI99</f>
        <v>25096.292796399997</v>
      </c>
      <c r="CP99" s="13">
        <f>+SUM(Data!BC99:BI99)*2+Data!BJ99</f>
        <v>24445.86908737645</v>
      </c>
      <c r="CQ99" s="13">
        <f>+SUM(Data!BD99:BJ99)*2+Data!BK99</f>
        <v>23890.905087121329</v>
      </c>
      <c r="CR99" s="59">
        <f>+SUM(Data!CC99:CI99)*2+Data!CJ99</f>
        <v>17233.591888723298</v>
      </c>
      <c r="CS99" s="59">
        <f>+SUM(Data!CD99:CJ99)*2+Data!CK99</f>
        <v>17239.724630194869</v>
      </c>
      <c r="CT99" s="59">
        <f>+SUM(Data!CE99:CK99)*2+Data!CL99</f>
        <v>15923.83479706174</v>
      </c>
      <c r="CU99" s="59">
        <f>+SUM(Data!CF99:CL99)*2+Data!CM99</f>
        <v>15419.048945437147</v>
      </c>
      <c r="CV99" s="59">
        <f>+SUM(Data!CG99:CM99)*2+Data!CN99</f>
        <v>15951.491205551753</v>
      </c>
      <c r="CW99" s="59">
        <f>+SUM(Data!CH99:CN99)*2+Data!CO99</f>
        <v>15162.447922521167</v>
      </c>
      <c r="CX99" s="59">
        <f>+SUM(Data!CI99:CO99)*2+Data!CP99</f>
        <v>14892.814214090527</v>
      </c>
      <c r="CY99" s="59">
        <f>+SUM(Data!CJ99:CP99)*2+Data!CQ99</f>
        <v>14623.350288314794</v>
      </c>
      <c r="CZ99" s="60">
        <f t="shared" si="110"/>
        <v>52942.136916597963</v>
      </c>
      <c r="DA99" s="60">
        <f t="shared" si="111"/>
        <v>52752.745758424804</v>
      </c>
      <c r="DB99" s="60">
        <f t="shared" si="112"/>
        <v>48444.314749758072</v>
      </c>
      <c r="DC99" s="60">
        <f t="shared" si="113"/>
        <v>46937.763434722299</v>
      </c>
      <c r="DD99" s="60">
        <f t="shared" si="114"/>
        <v>48378.915558561057</v>
      </c>
      <c r="DE99" s="60">
        <f t="shared" si="115"/>
        <v>45841.981521842143</v>
      </c>
      <c r="DF99" s="60">
        <f t="shared" si="116"/>
        <v>44781.127014164565</v>
      </c>
      <c r="DG99" s="60">
        <f t="shared" si="117"/>
        <v>43834.796359591863</v>
      </c>
      <c r="DH99" s="13">
        <f t="shared" si="118"/>
        <v>8.6144534673266757E-2</v>
      </c>
      <c r="DI99" s="13">
        <f t="shared" si="119"/>
        <v>6.4093545114725828E-2</v>
      </c>
      <c r="DJ99" s="13">
        <f t="shared" si="120"/>
        <v>4.4652914316569217E-2</v>
      </c>
      <c r="DK99" s="13">
        <f t="shared" si="121"/>
        <v>2.7822642278797226E-2</v>
      </c>
      <c r="DL99" s="13">
        <f t="shared" si="122"/>
        <v>0</v>
      </c>
      <c r="DM99" s="13">
        <f t="shared" si="123"/>
        <v>0</v>
      </c>
      <c r="DN99" s="13">
        <f t="shared" si="124"/>
        <v>0</v>
      </c>
      <c r="DO99" s="13">
        <f t="shared" si="125"/>
        <v>0</v>
      </c>
      <c r="DP99" s="50">
        <f>DH99*'Useful Constants'!$B$8</f>
        <v>366.97571770811641</v>
      </c>
      <c r="DQ99" s="50">
        <f>DI99*'Useful Constants'!$B$8</f>
        <v>273.03850218873202</v>
      </c>
      <c r="DR99" s="50">
        <f>DJ99*'Useful Constants'!$B$10</f>
        <v>108.50658178926319</v>
      </c>
      <c r="DS99" s="50">
        <f>DK99*'Useful Constants'!$B$10</f>
        <v>67.609020737477266</v>
      </c>
      <c r="DT99" s="50">
        <f>DL99*'Useful Constants'!$B$10</f>
        <v>0</v>
      </c>
      <c r="DU99" s="50">
        <f>DM99*'Useful Constants'!$B$10</f>
        <v>0</v>
      </c>
      <c r="DV99" s="50">
        <f>DN99*'Useful Constants'!$B$10</f>
        <v>0</v>
      </c>
      <c r="DW99" s="50">
        <f>DO99*'Useful Constants'!$B$10</f>
        <v>0</v>
      </c>
      <c r="DX99" s="14">
        <f>DH99*'Useful Constants'!$B$9</f>
        <v>165.74208471136524</v>
      </c>
      <c r="DY99" s="14">
        <f>DI99*'Useful Constants'!$B$9</f>
        <v>123.31598080073249</v>
      </c>
      <c r="DZ99" s="14">
        <f>DJ99*'Useful Constants'!$B$11</f>
        <v>30.230022992317359</v>
      </c>
      <c r="EA99" s="14">
        <f>DK99*'Useful Constants'!$B$11</f>
        <v>18.835928822745721</v>
      </c>
      <c r="EB99" s="14">
        <f>DL99*'Useful Constants'!$B$11</f>
        <v>0</v>
      </c>
      <c r="EC99" s="14">
        <f>DM99*'Useful Constants'!$B$11</f>
        <v>0</v>
      </c>
      <c r="ED99" s="14">
        <f>DN99*'Useful Constants'!$B$11</f>
        <v>0</v>
      </c>
      <c r="EE99" s="14">
        <f>DO99*'Useful Constants'!$B$11</f>
        <v>0</v>
      </c>
      <c r="EF99" s="78">
        <f>(SUM(Data!DI99:DO99)*2+Data!DP99)/('Useful Constants'!$B$1*1000000)*$K99/100</f>
        <v>0.91261009570728069</v>
      </c>
      <c r="EG99" s="78">
        <f>(SUM(Data!DJ99:DP99)*2+Data!DQ99)/('Useful Constants'!$B$1*1000000)*$K99/100</f>
        <v>0.60755596750034446</v>
      </c>
      <c r="EH99" s="78">
        <f>(SUM(Data!DK99:DQ99)*2+Data!DR99)/('Useful Constants'!$B$1*1000000)*$K99/100</f>
        <v>0.44564897683030302</v>
      </c>
      <c r="EI99" s="78">
        <f>(SUM(Data!DL99:DR99)*2+Data!DS99)/('Useful Constants'!$B$1*1000000)*$K99/100</f>
        <v>0.33769945271985174</v>
      </c>
      <c r="EJ99" s="78">
        <f>(SUM(Data!DM99:DS99)*2+Data!DT99)/('Useful Constants'!$B$1*1000000)*$K99/100</f>
        <v>0.2813957399896253</v>
      </c>
      <c r="EK99" s="78">
        <f>(SUM(Data!DN99:DT99)*2+Data!DU99)/('Useful Constants'!$B$1*1000000)*$K99/100</f>
        <v>0.27159217372414646</v>
      </c>
      <c r="EL99" s="78">
        <f>(SUM(Data!DO99:DU99)*2+Data!DV99)/('Useful Constants'!$B$1*1000000)*$K99/100</f>
        <v>0.26407329387602163</v>
      </c>
      <c r="EM99" s="78">
        <f>(SUM(Data!DP99:DV99)*2+Data!DW99)/('Useful Constants'!$B$1*1000000)*$K99/100</f>
        <v>0.24505715864694441</v>
      </c>
      <c r="EN99" s="79">
        <f>EF99*'Useful Constants'!$B$3</f>
        <v>76.65924803941158</v>
      </c>
      <c r="EO99" s="79">
        <f>EG99*'Useful Constants'!$B$3</f>
        <v>51.034701270028933</v>
      </c>
      <c r="EP99" s="79">
        <f>EH99*'Useful Constants'!$B$3</f>
        <v>37.434514053745453</v>
      </c>
      <c r="EQ99" s="79">
        <f>EI99*'Useful Constants'!$B$3</f>
        <v>28.366754028467547</v>
      </c>
      <c r="ER99" s="79">
        <f>EJ99*'Useful Constants'!$B$3</f>
        <v>23.637242159128526</v>
      </c>
      <c r="ES99" s="79">
        <f>EK99*'Useful Constants'!$B$3</f>
        <v>22.813742592828302</v>
      </c>
      <c r="ET99" s="79">
        <f>EL99*'Useful Constants'!$B$3</f>
        <v>22.182156685585817</v>
      </c>
      <c r="EU99" s="79">
        <f>EM99*'Useful Constants'!$B$3</f>
        <v>20.584801326343332</v>
      </c>
      <c r="EV99" s="78">
        <f>EF99*'Useful Constants'!$B$4</f>
        <v>25.553082679803858</v>
      </c>
      <c r="EW99" s="78">
        <f>EG99*'Useful Constants'!$B$4</f>
        <v>17.011567090009645</v>
      </c>
      <c r="EX99" s="78">
        <f>EH99*'Useful Constants'!$B$4</f>
        <v>12.478171351248484</v>
      </c>
      <c r="EY99" s="78">
        <f>EI99*'Useful Constants'!$B$4</f>
        <v>9.4555846761558495</v>
      </c>
      <c r="EZ99" s="78">
        <f>EJ99*'Useful Constants'!$B$4</f>
        <v>7.8790807197095081</v>
      </c>
      <c r="FA99" s="78">
        <f>EK99*'Useful Constants'!$B$4</f>
        <v>7.6045808642761008</v>
      </c>
      <c r="FB99" s="78">
        <f>EL99*'Useful Constants'!$B$4</f>
        <v>7.3940522285286061</v>
      </c>
      <c r="FC99" s="78">
        <f>EM99*'Useful Constants'!$B$4</f>
        <v>6.8616004421144439</v>
      </c>
      <c r="FD99" s="40">
        <f t="shared" si="126"/>
        <v>-0.17289743868124918</v>
      </c>
      <c r="FE99" s="40">
        <f t="shared" si="127"/>
        <v>-0.16884492895455963</v>
      </c>
      <c r="FF99" s="40">
        <f t="shared" si="128"/>
        <v>-7.5563282650665364E-2</v>
      </c>
      <c r="FG99" s="40">
        <f t="shared" si="129"/>
        <v>-4.2825484109143323E-2</v>
      </c>
      <c r="FH99" s="40">
        <f t="shared" si="130"/>
        <v>-7.4162708446423753E-2</v>
      </c>
      <c r="FI99" s="40">
        <f t="shared" si="131"/>
        <v>-1.9040359908394797E-2</v>
      </c>
      <c r="FJ99" s="40">
        <f t="shared" si="132"/>
        <v>4.0210933125023069E-3</v>
      </c>
      <c r="FK99" s="40">
        <f t="shared" si="133"/>
        <v>2.462124887855649E-2</v>
      </c>
      <c r="FL99" s="4">
        <f t="shared" si="134"/>
        <v>0.22253244480428638</v>
      </c>
      <c r="FM99" s="4">
        <f t="shared" si="135"/>
        <v>0.22696318184839118</v>
      </c>
      <c r="FN99" s="4">
        <f t="shared" si="136"/>
        <v>0.29136036958329192</v>
      </c>
      <c r="FO99" s="4">
        <f t="shared" si="137"/>
        <v>0.31375139791175483</v>
      </c>
      <c r="FP99" s="4">
        <f t="shared" si="138"/>
        <v>0.29407260652991063</v>
      </c>
      <c r="FQ99" s="4">
        <f t="shared" si="139"/>
        <v>0.33056414658357353</v>
      </c>
      <c r="FR99" s="4">
        <f t="shared" si="140"/>
        <v>0.34583272668718257</v>
      </c>
      <c r="FS99" s="4">
        <f t="shared" si="141"/>
        <v>0.35948023415388275</v>
      </c>
      <c r="FT99" s="38">
        <f t="shared" si="142"/>
        <v>-2.8830773473089905E-3</v>
      </c>
      <c r="FU99" s="38">
        <f t="shared" si="143"/>
        <v>1.5458275182868555E-3</v>
      </c>
      <c r="FV99" s="38">
        <f t="shared" si="144"/>
        <v>8.3132908419530499E-2</v>
      </c>
      <c r="FW99" s="38">
        <f t="shared" si="145"/>
        <v>0.11137678565008263</v>
      </c>
      <c r="FX99" s="38">
        <f t="shared" si="146"/>
        <v>8.4989178164605161E-2</v>
      </c>
      <c r="FY99" s="38">
        <f t="shared" si="147"/>
        <v>0.13209409437391392</v>
      </c>
      <c r="FZ99" s="38">
        <f t="shared" si="148"/>
        <v>0.15180172725089791</v>
      </c>
      <c r="GA99" s="38">
        <f t="shared" si="149"/>
        <v>0.1694088537105595</v>
      </c>
    </row>
    <row r="100" spans="1:183" x14ac:dyDescent="0.25">
      <c r="A100" s="1" t="str">
        <f>Data!A100</f>
        <v>WY_JACKSON-HOLE_725776_TY3A</v>
      </c>
      <c r="B100" s="1" t="str">
        <f>TY3A_REP_CITIES!B100</f>
        <v>Jackson</v>
      </c>
      <c r="C100" s="1" t="str">
        <f>TY3A_REP_CITIES!C100</f>
        <v>Teton</v>
      </c>
      <c r="D100" s="2" t="str">
        <f>TY3A_REP_CITIES!A100</f>
        <v>WY</v>
      </c>
      <c r="E100" s="42">
        <f>TY3A_REP_CITIES!E100</f>
        <v>23464</v>
      </c>
      <c r="F100" s="2">
        <f>TY3A_REP_CITIES!G100</f>
        <v>7</v>
      </c>
      <c r="G100" s="2" t="str">
        <f>TY3A_REP_CITIES!H100</f>
        <v>Very Cold</v>
      </c>
      <c r="H100" s="2" t="str">
        <f>TY3A_REP_CITIES!I100</f>
        <v>Rocky Mountains</v>
      </c>
      <c r="I100" s="2">
        <f>Data!B100</f>
        <v>43.6</v>
      </c>
      <c r="J100" s="2">
        <f>Data!C100</f>
        <v>-110.73</v>
      </c>
      <c r="K100" s="2">
        <f>VLOOKUP(D100,Table1[],2,FALSE)</f>
        <v>1.1000000000000001</v>
      </c>
      <c r="L100" s="2">
        <v>0.5</v>
      </c>
      <c r="M100" s="10">
        <f>Data!N100</f>
        <v>5732.6809899999998</v>
      </c>
      <c r="N100" s="10">
        <f>Data!Q100</f>
        <v>29308</v>
      </c>
      <c r="O100" s="10">
        <f>Data!O100</f>
        <v>65551432285.091698</v>
      </c>
      <c r="P100" s="10">
        <f>Data!P100</f>
        <v>68282741963.637421</v>
      </c>
      <c r="Q100" s="10">
        <f>Data!S100*15</f>
        <v>51520.283295381872</v>
      </c>
      <c r="R100" s="48">
        <f>SUM(Data!U100:AA100)*2+Data!AB100</f>
        <v>1484.2826330333965</v>
      </c>
      <c r="S100" s="48">
        <f>SUM(Data!V100:AB100)*2+Data!AC100</f>
        <v>1472.7466103059235</v>
      </c>
      <c r="T100" s="48">
        <f>SUM(Data!W100:AC100)*2+Data!AD100</f>
        <v>1341.7941328022255</v>
      </c>
      <c r="U100" s="48">
        <f>SUM(Data!X100:AD100)*2+Data!AE100</f>
        <v>1299.5823048461871</v>
      </c>
      <c r="V100" s="48">
        <f>SUM(Data!Y100:AE100)*2+Data!AF100</f>
        <v>1334.3089474662156</v>
      </c>
      <c r="W100" s="48">
        <f>SUM(Data!Z100:AF100)*2+Data!AG100</f>
        <v>1260.6616477014268</v>
      </c>
      <c r="X100" s="48">
        <f>SUM(Data!AA100:AG100)*2+Data!AH100</f>
        <v>1227.7806792741758</v>
      </c>
      <c r="Y100" s="48">
        <f>SUM(Data!AB100:AH100)*2+Data!AI100</f>
        <v>1197.0051029725535</v>
      </c>
      <c r="Z100" s="80">
        <f>(SUM(Data!CS100:CY100)*2+Data!CZ100)/('Useful Constants'!$B$1*1000000)*$K100/100</f>
        <v>2.6005736899596489E-2</v>
      </c>
      <c r="AA100" s="80">
        <f>(SUM(Data!CT100:CZ100)*2+Data!DA100)/('Useful Constants'!$B$1*1000000)*$K100/100</f>
        <v>1.6608021581080525E-2</v>
      </c>
      <c r="AB100" s="80">
        <f>(SUM(Data!CU100:DA100)*2+Data!DB100)/('Useful Constants'!$B$1*1000000)*$K100/100</f>
        <v>1.189013328450857E-2</v>
      </c>
      <c r="AC100" s="80">
        <f>(SUM(Data!CV100:DB100)*2+Data!DC100)/('Useful Constants'!$B$1*1000000)*$K100/100</f>
        <v>8.5732427903001084E-3</v>
      </c>
      <c r="AD100" s="80">
        <f>(SUM(Data!CW100:DC100)*2+Data!DD100)/('Useful Constants'!$B$1*1000000)*$K100/100</f>
        <v>6.7568283926702976E-3</v>
      </c>
      <c r="AE100" s="80">
        <f>(SUM(Data!CX100:DD100)*2+Data!DE100)/('Useful Constants'!$B$1*1000000)*$K100/100</f>
        <v>6.4048715447001256E-3</v>
      </c>
      <c r="AF100" s="80">
        <f>(SUM(Data!CY100:DE100)*2+Data!DF100)/('Useful Constants'!$B$1*1000000)*$K100/100</f>
        <v>6.0897433717376805E-3</v>
      </c>
      <c r="AG100" s="80">
        <f>(SUM(Data!CZ100:DF100)*2+Data!DG100)/('Useful Constants'!$B$1*1000000)*$K100/100</f>
        <v>5.6787067800130918E-3</v>
      </c>
      <c r="AH100" s="48">
        <f>Z100*'Useful Constants'!$B$3</f>
        <v>2.1844818995661051</v>
      </c>
      <c r="AI100" s="48">
        <f>AA100*'Useful Constants'!$B$3</f>
        <v>1.395073812810764</v>
      </c>
      <c r="AJ100" s="48">
        <f>AB100*'Useful Constants'!$B$3</f>
        <v>0.99877119589871988</v>
      </c>
      <c r="AK100" s="48">
        <f>AC100*'Useful Constants'!$B$3</f>
        <v>0.72015239438520906</v>
      </c>
      <c r="AL100" s="48">
        <f>AD100*'Useful Constants'!$B$3</f>
        <v>0.56757358498430499</v>
      </c>
      <c r="AM100" s="48">
        <f>AE100*'Useful Constants'!$B$3</f>
        <v>0.53800920975481059</v>
      </c>
      <c r="AN100" s="48">
        <f>AF100*'Useful Constants'!$B$3</f>
        <v>0.5115384432259652</v>
      </c>
      <c r="AO100" s="48">
        <f>AG100*'Useful Constants'!$B$3</f>
        <v>0.47701136952109974</v>
      </c>
      <c r="AP100" s="10">
        <f>Z100*'Useful Constants'!$B$4</f>
        <v>0.72816063318870172</v>
      </c>
      <c r="AQ100" s="10">
        <f>AA100*'Useful Constants'!$B$4</f>
        <v>0.46502460427025472</v>
      </c>
      <c r="AR100" s="10">
        <f>AB100*'Useful Constants'!$B$4</f>
        <v>0.33292373196623998</v>
      </c>
      <c r="AS100" s="10">
        <f>AC100*'Useful Constants'!$B$4</f>
        <v>0.24005079812840302</v>
      </c>
      <c r="AT100" s="10">
        <f>AD100*'Useful Constants'!$B$4</f>
        <v>0.18919119499476833</v>
      </c>
      <c r="AU100" s="10">
        <f>AE100*'Useful Constants'!$B$4</f>
        <v>0.17933640325160352</v>
      </c>
      <c r="AV100" s="10">
        <f>AF100*'Useful Constants'!$B$4</f>
        <v>0.17051281440865507</v>
      </c>
      <c r="AW100" s="10">
        <f>AG100*'Useful Constants'!$B$4</f>
        <v>0.15900378984036656</v>
      </c>
      <c r="AX100" s="48">
        <f>P100/1000000/'Useful Constants'!$B$1*K100/100*'Useful Constants'!$B$3*15</f>
        <v>18927.976072320293</v>
      </c>
      <c r="AY100" s="48">
        <f>P100/1000000/'Useful Constants'!$B$1*L100/100*'Useful Constants'!$B$3*15</f>
        <v>8603.6254874183142</v>
      </c>
      <c r="AZ100" s="48">
        <f>P100/1000000/'Useful Constants'!$B$1*K100/100*'Useful Constants'!$B$4*15</f>
        <v>6309.3253574400978</v>
      </c>
      <c r="BA100" s="48">
        <f>P100/1000000/'Useful Constants'!$B$1*L100/100*'Useful Constants'!$B$4*15</f>
        <v>2867.8751624727715</v>
      </c>
      <c r="BB100" s="7">
        <f>Data!AN100</f>
        <v>5732.6809899999998</v>
      </c>
      <c r="BC100" s="7">
        <f>Data!AQ100</f>
        <v>5732.6809899999998</v>
      </c>
      <c r="BD100" s="7">
        <f>Data!AT100</f>
        <v>9846.3083399999996</v>
      </c>
      <c r="BE100" s="6">
        <f>Data!AO100</f>
        <v>50570526731.518204</v>
      </c>
      <c r="BF100" s="6">
        <f>Data!AP100</f>
        <v>19679441008.057301</v>
      </c>
      <c r="BG100" s="6">
        <f>Data!AR100</f>
        <v>11771954785.548901</v>
      </c>
      <c r="BH100" s="6">
        <f>Data!AS100</f>
        <v>11771954785.548901</v>
      </c>
      <c r="BI100" s="8">
        <f t="shared" si="100"/>
        <v>0.81117282310415939</v>
      </c>
      <c r="BJ100" s="8">
        <f t="shared" si="101"/>
        <v>0.62570962310225864</v>
      </c>
      <c r="BK100" s="13">
        <f>BB100*'Useful Constants'!$B$5/'Useful Constants'!$B$6*'Useful Constants'!$B$7</f>
        <v>1.4669930653410002</v>
      </c>
      <c r="BL100" s="52">
        <f>1-VLOOKUP($G100,'Useful Constants'!$A$17:$X$23,10,FALSE)</f>
        <v>6.6471999999999865E-2</v>
      </c>
      <c r="BM100" s="52">
        <f>1-VLOOKUP($G100,'Useful Constants'!$A$17:$X$23,12,FALSE)</f>
        <v>4.945672000000001E-2</v>
      </c>
      <c r="BN100" s="52">
        <f>1-VLOOKUP($G100,'Useful Constants'!$A$17:$X$23,14,FALSE)</f>
        <v>3.4455679999999989E-2</v>
      </c>
      <c r="BO100" s="52">
        <f>1-VLOOKUP($G100,'Useful Constants'!$A$17:$X$23,16,FALSE)</f>
        <v>2.1468880000000024E-2</v>
      </c>
      <c r="BP100" s="52">
        <f>1-VLOOKUP($G100,'Useful Constants'!$A$17:$X$23,18,FALSE)</f>
        <v>0</v>
      </c>
      <c r="BQ100" s="52">
        <f>1-VLOOKUP($G100,'Useful Constants'!$A$17:$X$23,20, FALSE)</f>
        <v>0</v>
      </c>
      <c r="BR100" s="52">
        <f>1-VLOOKUP($G100,'Useful Constants'!$A$17:$X$23,22, FALSE)</f>
        <v>0</v>
      </c>
      <c r="BS100" s="52">
        <f>1-VLOOKUP($G100,'Useful Constants'!$A$17:$X$23,24, FALSE)</f>
        <v>0</v>
      </c>
      <c r="BT100" s="13">
        <f t="shared" si="102"/>
        <v>9.7513963039346757E-2</v>
      </c>
      <c r="BU100" s="13">
        <f t="shared" si="103"/>
        <v>7.2552665274511569E-2</v>
      </c>
      <c r="BV100" s="13">
        <f t="shared" si="104"/>
        <v>5.0546243621608575E-2</v>
      </c>
      <c r="BW100" s="13">
        <f t="shared" si="105"/>
        <v>3.1494698080638123E-2</v>
      </c>
      <c r="BX100" s="13">
        <f t="shared" si="106"/>
        <v>0</v>
      </c>
      <c r="BY100" s="13">
        <f t="shared" si="107"/>
        <v>0</v>
      </c>
      <c r="BZ100" s="13">
        <f t="shared" si="108"/>
        <v>0</v>
      </c>
      <c r="CA100" s="13">
        <f t="shared" si="109"/>
        <v>0</v>
      </c>
      <c r="CB100" s="59">
        <f>+SUM(Data!BM100:BS100)*2+Data!BT100</f>
        <v>7523.129769497662</v>
      </c>
      <c r="CC100" s="59">
        <f>+SUM(Data!BN100:BT100)*2+Data!BU100</f>
        <v>7464.8728263902858</v>
      </c>
      <c r="CD100" s="59">
        <f>+SUM(Data!BO100:BU100)*2+Data!BV100</f>
        <v>6802.8448972640999</v>
      </c>
      <c r="CE100" s="59">
        <f>+SUM(Data!BP100:BV100)*2+Data!BW100</f>
        <v>6590.1081154542699</v>
      </c>
      <c r="CF100" s="59">
        <f>+SUM(Data!BQ100:BW100)*2+Data!BX100</f>
        <v>6764.9312714244288</v>
      </c>
      <c r="CG100" s="59">
        <f>+SUM(Data!BR100:BX100)*2+Data!BY100</f>
        <v>6392.7119670147595</v>
      </c>
      <c r="CH100" s="59">
        <f>+SUM(Data!BS100:BY100)*2+Data!BZ100</f>
        <v>6227.989280270589</v>
      </c>
      <c r="CI100" s="59">
        <f>+SUM(Data!BT100:BZ100)*2+Data!CA100</f>
        <v>6072.0630775397312</v>
      </c>
      <c r="CJ100" s="13">
        <f>+SUM(Data!AW100:BC100)*2+Data!BD100</f>
        <v>35582.034085220686</v>
      </c>
      <c r="CK100" s="13">
        <f>+SUM(Data!AX100:BD100)*2+Data!BE100</f>
        <v>35314.47906757563</v>
      </c>
      <c r="CL100" s="13">
        <f>+SUM(Data!AY100:BE100)*2+Data!BF100</f>
        <v>32191.389143442098</v>
      </c>
      <c r="CM100" s="13">
        <f>+SUM(Data!AZ100:BF100)*2+Data!BG100</f>
        <v>31190.79421742406</v>
      </c>
      <c r="CN100" s="13">
        <f>+SUM(Data!BA100:BG100)*2+Data!BH100</f>
        <v>32004.682742038549</v>
      </c>
      <c r="CO100" s="13">
        <f>+SUM(Data!BB100:BH100)*2+Data!BI100</f>
        <v>30245.150653187335</v>
      </c>
      <c r="CP100" s="13">
        <f>+SUM(Data!BC100:BI100)*2+Data!BJ100</f>
        <v>29454.345552268907</v>
      </c>
      <c r="CQ100" s="13">
        <f>+SUM(Data!BD100:BJ100)*2+Data!BK100</f>
        <v>28739.173290190458</v>
      </c>
      <c r="CR100" s="59">
        <f>+SUM(Data!CC100:CI100)*2+Data!CJ100</f>
        <v>22679.065656121169</v>
      </c>
      <c r="CS100" s="59">
        <f>+SUM(Data!CD100:CJ100)*2+Data!CK100</f>
        <v>22617.344148062679</v>
      </c>
      <c r="CT100" s="59">
        <f>+SUM(Data!CE100:CK100)*2+Data!CL100</f>
        <v>20738.835087850843</v>
      </c>
      <c r="CU100" s="59">
        <f>+SUM(Data!CF100:CL100)*2+Data!CM100</f>
        <v>19982.712244142469</v>
      </c>
      <c r="CV100" s="59">
        <f>+SUM(Data!CG100:CM100)*2+Data!CN100</f>
        <v>20740.651975936489</v>
      </c>
      <c r="CW100" s="59">
        <f>+SUM(Data!CH100:CN100)*2+Data!CO100</f>
        <v>19661.674988723033</v>
      </c>
      <c r="CX100" s="59">
        <f>+SUM(Data!CI100:CO100)*2+Data!CP100</f>
        <v>19248.234217855712</v>
      </c>
      <c r="CY100" s="59">
        <f>+SUM(Data!CJ100:CP100)*2+Data!CQ100</f>
        <v>18767.246797614222</v>
      </c>
      <c r="CZ100" s="60">
        <f t="shared" si="110"/>
        <v>65784.229510839519</v>
      </c>
      <c r="DA100" s="60">
        <f t="shared" si="111"/>
        <v>65396.696042028598</v>
      </c>
      <c r="DB100" s="60">
        <f t="shared" si="112"/>
        <v>59733.069128557043</v>
      </c>
      <c r="DC100" s="60">
        <f t="shared" si="113"/>
        <v>57763.614577020795</v>
      </c>
      <c r="DD100" s="60">
        <f t="shared" si="114"/>
        <v>59510.265989399464</v>
      </c>
      <c r="DE100" s="60">
        <f t="shared" si="115"/>
        <v>56299.537608925129</v>
      </c>
      <c r="DF100" s="60">
        <f t="shared" si="116"/>
        <v>54930.569050395206</v>
      </c>
      <c r="DG100" s="60">
        <f t="shared" si="117"/>
        <v>53578.483165344413</v>
      </c>
      <c r="DH100" s="13">
        <f t="shared" si="118"/>
        <v>0.10026118329867553</v>
      </c>
      <c r="DI100" s="13">
        <f t="shared" si="119"/>
        <v>7.459666129003617E-2</v>
      </c>
      <c r="DJ100" s="13">
        <f t="shared" si="120"/>
        <v>5.1970261887118105E-2</v>
      </c>
      <c r="DK100" s="13">
        <f t="shared" si="121"/>
        <v>3.2381985089921711E-2</v>
      </c>
      <c r="DL100" s="13">
        <f t="shared" si="122"/>
        <v>0</v>
      </c>
      <c r="DM100" s="13">
        <f t="shared" si="123"/>
        <v>0</v>
      </c>
      <c r="DN100" s="13">
        <f t="shared" si="124"/>
        <v>0</v>
      </c>
      <c r="DO100" s="13">
        <f t="shared" si="125"/>
        <v>0</v>
      </c>
      <c r="DP100" s="50">
        <f>DH100*'Useful Constants'!$B$8</f>
        <v>427.11264085235774</v>
      </c>
      <c r="DQ100" s="50">
        <f>DI100*'Useful Constants'!$B$8</f>
        <v>317.78177709555411</v>
      </c>
      <c r="DR100" s="50">
        <f>DJ100*'Useful Constants'!$B$10</f>
        <v>126.28773638569699</v>
      </c>
      <c r="DS100" s="50">
        <f>DK100*'Useful Constants'!$B$10</f>
        <v>78.688223768509758</v>
      </c>
      <c r="DT100" s="50">
        <f>DL100*'Useful Constants'!$B$10</f>
        <v>0</v>
      </c>
      <c r="DU100" s="50">
        <f>DM100*'Useful Constants'!$B$10</f>
        <v>0</v>
      </c>
      <c r="DV100" s="50">
        <f>DN100*'Useful Constants'!$B$10</f>
        <v>0</v>
      </c>
      <c r="DW100" s="50">
        <f>DO100*'Useful Constants'!$B$10</f>
        <v>0</v>
      </c>
      <c r="DX100" s="14">
        <f>DH100*'Useful Constants'!$B$9</f>
        <v>192.90251666665174</v>
      </c>
      <c r="DY100" s="14">
        <f>DI100*'Useful Constants'!$B$9</f>
        <v>143.5239763220296</v>
      </c>
      <c r="DZ100" s="14">
        <f>DJ100*'Useful Constants'!$B$11</f>
        <v>35.183867297578956</v>
      </c>
      <c r="EA100" s="14">
        <f>DK100*'Useful Constants'!$B$11</f>
        <v>21.922603905876997</v>
      </c>
      <c r="EB100" s="14">
        <f>DL100*'Useful Constants'!$B$11</f>
        <v>0</v>
      </c>
      <c r="EC100" s="14">
        <f>DM100*'Useful Constants'!$B$11</f>
        <v>0</v>
      </c>
      <c r="ED100" s="14">
        <f>DN100*'Useful Constants'!$B$11</f>
        <v>0</v>
      </c>
      <c r="EE100" s="14">
        <f>DO100*'Useful Constants'!$B$11</f>
        <v>0</v>
      </c>
      <c r="EF100" s="78">
        <f>(SUM(Data!DI100:DO100)*2+Data!DP100)/('Useful Constants'!$B$1*1000000)*$K100/100</f>
        <v>1.1519792075256978</v>
      </c>
      <c r="EG100" s="78">
        <f>(SUM(Data!DJ100:DP100)*2+Data!DQ100)/('Useful Constants'!$B$1*1000000)*$K100/100</f>
        <v>0.75299909801291975</v>
      </c>
      <c r="EH100" s="78">
        <f>(SUM(Data!DK100:DQ100)*2+Data!DR100)/('Useful Constants'!$B$1*1000000)*$K100/100</f>
        <v>0.5489043414874899</v>
      </c>
      <c r="EI100" s="78">
        <f>(SUM(Data!DL100:DR100)*2+Data!DS100)/('Useful Constants'!$B$1*1000000)*$K100/100</f>
        <v>0.41011758912810348</v>
      </c>
      <c r="EJ100" s="78">
        <f>(SUM(Data!DM100:DS100)*2+Data!DT100)/('Useful Constants'!$B$1*1000000)*$K100/100</f>
        <v>0.32883440056924162</v>
      </c>
      <c r="EK100" s="78">
        <f>(SUM(Data!DN100:DT100)*2+Data!DU100)/('Useful Constants'!$B$1*1000000)*$K100/100</f>
        <v>0.3140727074309253</v>
      </c>
      <c r="EL100" s="78">
        <f>(SUM(Data!DO100:DU100)*2+Data!DV100)/('Useful Constants'!$B$1*1000000)*$K100/100</f>
        <v>0.30190624235000274</v>
      </c>
      <c r="EM100" s="78">
        <f>(SUM(Data!DP100:DV100)*2+Data!DW100)/('Useful Constants'!$B$1*1000000)*$K100/100</f>
        <v>0.28018212321993452</v>
      </c>
      <c r="EN100" s="79">
        <f>EF100*'Useful Constants'!$B$3</f>
        <v>96.766253432158621</v>
      </c>
      <c r="EO100" s="79">
        <f>EG100*'Useful Constants'!$B$3</f>
        <v>63.251924233085262</v>
      </c>
      <c r="EP100" s="79">
        <f>EH100*'Useful Constants'!$B$3</f>
        <v>46.107964684949152</v>
      </c>
      <c r="EQ100" s="79">
        <f>EI100*'Useful Constants'!$B$3</f>
        <v>34.449877486760691</v>
      </c>
      <c r="ER100" s="79">
        <f>EJ100*'Useful Constants'!$B$3</f>
        <v>27.622089647816296</v>
      </c>
      <c r="ES100" s="79">
        <f>EK100*'Useful Constants'!$B$3</f>
        <v>26.382107424197727</v>
      </c>
      <c r="ET100" s="79">
        <f>EL100*'Useful Constants'!$B$3</f>
        <v>25.360124357400231</v>
      </c>
      <c r="EU100" s="79">
        <f>EM100*'Useful Constants'!$B$3</f>
        <v>23.535298350474498</v>
      </c>
      <c r="EV100" s="78">
        <f>EF100*'Useful Constants'!$B$4</f>
        <v>32.255417810719536</v>
      </c>
      <c r="EW100" s="78">
        <f>EG100*'Useful Constants'!$B$4</f>
        <v>21.083974744361754</v>
      </c>
      <c r="EX100" s="78">
        <f>EH100*'Useful Constants'!$B$4</f>
        <v>15.369321561649716</v>
      </c>
      <c r="EY100" s="78">
        <f>EI100*'Useful Constants'!$B$4</f>
        <v>11.483292495586898</v>
      </c>
      <c r="EZ100" s="78">
        <f>EJ100*'Useful Constants'!$B$4</f>
        <v>9.2073632159387664</v>
      </c>
      <c r="FA100" s="78">
        <f>EK100*'Useful Constants'!$B$4</f>
        <v>8.7940358080659085</v>
      </c>
      <c r="FB100" s="78">
        <f>EL100*'Useful Constants'!$B$4</f>
        <v>8.4533747858000758</v>
      </c>
      <c r="FC100" s="78">
        <f>EM100*'Useful Constants'!$B$4</f>
        <v>7.8450994501581661</v>
      </c>
      <c r="FD100" s="40">
        <f t="shared" si="126"/>
        <v>-0.24110495687642608</v>
      </c>
      <c r="FE100" s="40">
        <f t="shared" si="127"/>
        <v>-0.23406221834108601</v>
      </c>
      <c r="FF100" s="40">
        <f t="shared" si="128"/>
        <v>-0.12997960039893522</v>
      </c>
      <c r="FG100" s="40">
        <f t="shared" si="129"/>
        <v>-9.3596394474191671E-2</v>
      </c>
      <c r="FH100" s="40">
        <f t="shared" si="130"/>
        <v>-0.12592422841842998</v>
      </c>
      <c r="FI100" s="40">
        <f t="shared" si="131"/>
        <v>-6.6664071089218485E-2</v>
      </c>
      <c r="FJ100" s="40">
        <f t="shared" si="132"/>
        <v>-4.1376022384210918E-2</v>
      </c>
      <c r="FK100" s="40">
        <f t="shared" si="133"/>
        <v>-1.6336097571681463E-2</v>
      </c>
      <c r="FL100" s="4">
        <f t="shared" si="134"/>
        <v>0.17668903344608586</v>
      </c>
      <c r="FM100" s="4">
        <f t="shared" si="135"/>
        <v>0.18314944161184135</v>
      </c>
      <c r="FN100" s="4">
        <f t="shared" si="136"/>
        <v>0.25485782766467974</v>
      </c>
      <c r="FO100" s="4">
        <f t="shared" si="137"/>
        <v>0.27971154720050112</v>
      </c>
      <c r="FP100" s="4">
        <f t="shared" si="138"/>
        <v>0.25935705009387827</v>
      </c>
      <c r="FQ100" s="4">
        <f t="shared" si="139"/>
        <v>0.29867069533469132</v>
      </c>
      <c r="FR100" s="4">
        <f t="shared" si="140"/>
        <v>0.31544833134970146</v>
      </c>
      <c r="FS100" s="4">
        <f t="shared" si="141"/>
        <v>0.33205680632855128</v>
      </c>
      <c r="FT100" s="38">
        <f t="shared" si="142"/>
        <v>-6.154292876831708E-2</v>
      </c>
      <c r="FU100" s="38">
        <f t="shared" si="143"/>
        <v>-5.4537085653251625E-2</v>
      </c>
      <c r="FV100" s="38">
        <f t="shared" si="144"/>
        <v>3.6363679957203965E-2</v>
      </c>
      <c r="FW100" s="38">
        <f t="shared" si="145"/>
        <v>6.7749487146034529E-2</v>
      </c>
      <c r="FX100" s="38">
        <f t="shared" si="146"/>
        <v>4.0503439068019585E-2</v>
      </c>
      <c r="FY100" s="38">
        <f t="shared" si="147"/>
        <v>9.1190218150006969E-2</v>
      </c>
      <c r="FZ100" s="38">
        <f t="shared" si="148"/>
        <v>0.11281975784860186</v>
      </c>
      <c r="GA100" s="38">
        <f t="shared" si="149"/>
        <v>0.13423324853103752</v>
      </c>
    </row>
    <row r="101" spans="1:183" x14ac:dyDescent="0.25">
      <c r="H101" s="2"/>
      <c r="K101" s="2"/>
      <c r="L101" s="2"/>
      <c r="P101" s="81" t="s">
        <v>3773</v>
      </c>
      <c r="Q101" s="82">
        <v>18708.564446171498</v>
      </c>
      <c r="R101" s="82">
        <v>231.68533558955605</v>
      </c>
      <c r="S101" s="82">
        <v>225.50269567254367</v>
      </c>
      <c r="T101" s="82">
        <v>201.82296884354542</v>
      </c>
      <c r="U101" s="82">
        <v>189.72329922051455</v>
      </c>
      <c r="V101" s="82">
        <v>190.78091476498031</v>
      </c>
      <c r="W101" s="82">
        <v>185.83832450528183</v>
      </c>
      <c r="X101" s="82">
        <v>180.38933565880595</v>
      </c>
      <c r="Y101" s="82">
        <v>172.5176607170892</v>
      </c>
      <c r="Z101" s="82">
        <v>0.35573574503826633</v>
      </c>
      <c r="AA101" s="82">
        <v>0.32003426272802626</v>
      </c>
      <c r="AB101" s="82">
        <v>0.28935488185190467</v>
      </c>
      <c r="AC101" s="82">
        <v>0.26713981051368191</v>
      </c>
      <c r="AD101" s="82">
        <v>0.25179020373967853</v>
      </c>
      <c r="AE101" s="82">
        <v>0.24200164388297499</v>
      </c>
      <c r="AF101" s="82">
        <v>0.2342597445492299</v>
      </c>
      <c r="AG101" s="82">
        <v>0.23145597312039984</v>
      </c>
      <c r="AH101" s="82">
        <v>29.881802583214355</v>
      </c>
      <c r="AI101" s="82">
        <v>26.882878069154206</v>
      </c>
      <c r="AJ101" s="82">
        <v>24.305810075560011</v>
      </c>
      <c r="AK101" s="82">
        <v>22.439744083149293</v>
      </c>
      <c r="AL101" s="82">
        <v>21.150377114132993</v>
      </c>
      <c r="AM101" s="82">
        <v>20.328138086169897</v>
      </c>
      <c r="AN101" s="82">
        <v>19.67781854213532</v>
      </c>
      <c r="AO101" s="82">
        <v>19.442301742113589</v>
      </c>
      <c r="AP101" s="82">
        <v>9.9606008610714571</v>
      </c>
      <c r="AQ101" s="82">
        <v>8.9609593563847394</v>
      </c>
      <c r="AR101" s="82">
        <v>8.1019366918533393</v>
      </c>
      <c r="AS101" s="82">
        <v>7.4799146943830976</v>
      </c>
      <c r="AT101" s="82">
        <v>7.0501257047109975</v>
      </c>
      <c r="AU101" s="82">
        <v>6.7760460287233011</v>
      </c>
      <c r="AV101" s="82">
        <v>6.5592728473784367</v>
      </c>
      <c r="AW101" s="82">
        <v>6.4807672473711904</v>
      </c>
      <c r="AX101" s="82">
        <v>10185.542286459355</v>
      </c>
      <c r="AY101" s="82">
        <v>3124.2351867369794</v>
      </c>
      <c r="AZ101" s="82">
        <v>3395.1807621531198</v>
      </c>
      <c r="BA101" s="82">
        <v>1041.411728912326</v>
      </c>
      <c r="BB101" s="82">
        <v>5107.5571067319697</v>
      </c>
      <c r="BC101" s="82">
        <v>5107.5571067319697</v>
      </c>
      <c r="BD101" s="82">
        <v>5469.3112878906722</v>
      </c>
      <c r="BE101" s="82">
        <v>19775378890.603157</v>
      </c>
      <c r="BF101" s="82">
        <v>6587554252.301754</v>
      </c>
      <c r="BG101" s="82">
        <v>3061741244.5282922</v>
      </c>
      <c r="BH101" s="82">
        <v>3061741244.5282922</v>
      </c>
      <c r="BI101" s="82">
        <v>0.86593137723095526</v>
      </c>
      <c r="BJ101" s="82">
        <v>0.68269794975870257</v>
      </c>
      <c r="BK101" s="85">
        <v>1.3070238636127107</v>
      </c>
      <c r="BL101" s="82">
        <v>9.7225346425515863E-2</v>
      </c>
      <c r="BM101" s="82">
        <v>8.2364721479290789E-2</v>
      </c>
      <c r="BN101" s="82">
        <v>6.8765749897333681E-2</v>
      </c>
      <c r="BO101" s="82">
        <v>5.6428431679644842E-2</v>
      </c>
      <c r="BP101" s="82">
        <v>4.2168904943081821E-2</v>
      </c>
      <c r="BQ101" s="82">
        <v>3.507223187205976E-2</v>
      </c>
      <c r="BR101" s="82">
        <v>2.7251509815200886E-2</v>
      </c>
      <c r="BS101" s="82">
        <v>2.262946559538815E-2</v>
      </c>
      <c r="BT101" s="82">
        <v>0.1025472241027067</v>
      </c>
      <c r="BU101" s="82">
        <v>8.5379485840960959E-2</v>
      </c>
      <c r="BV101" s="82">
        <v>6.9774540060591847E-2</v>
      </c>
      <c r="BW101" s="82">
        <v>5.5732386761599306E-2</v>
      </c>
      <c r="BX101" s="82">
        <v>3.9123198265778689E-2</v>
      </c>
      <c r="BY101" s="82">
        <v>3.1731324097229965E-2</v>
      </c>
      <c r="BZ101" s="82">
        <v>2.2781011270508925E-2</v>
      </c>
      <c r="CA101" s="82">
        <v>1.8917194469958262E-2</v>
      </c>
      <c r="CB101" s="82">
        <v>1302.8172525623138</v>
      </c>
      <c r="CC101" s="82">
        <v>1268.2884972561974</v>
      </c>
      <c r="CD101" s="82">
        <v>1136.4088893868282</v>
      </c>
      <c r="CE101" s="82">
        <v>1071.2594957200354</v>
      </c>
      <c r="CF101" s="82">
        <v>1075.2419506301917</v>
      </c>
      <c r="CG101" s="82">
        <v>1040.9583839815782</v>
      </c>
      <c r="CH101" s="82">
        <v>1009.6097535714582</v>
      </c>
      <c r="CI101" s="82">
        <v>966.20983876411299</v>
      </c>
      <c r="CJ101" s="82">
        <v>7031.1373904087923</v>
      </c>
      <c r="CK101" s="82">
        <v>6858.3499327795234</v>
      </c>
      <c r="CL101" s="82">
        <v>6134.2436331697727</v>
      </c>
      <c r="CM101" s="82">
        <v>5766.9077714194837</v>
      </c>
      <c r="CN101" s="82">
        <v>5790.4246761686563</v>
      </c>
      <c r="CO101" s="82">
        <v>5614.213695074397</v>
      </c>
      <c r="CP101" s="82">
        <v>5453.5888267745941</v>
      </c>
      <c r="CQ101" s="82">
        <v>5222.4229073238766</v>
      </c>
      <c r="CR101" s="82">
        <v>3458.0025341245882</v>
      </c>
      <c r="CS101" s="82">
        <v>3372.9368031953582</v>
      </c>
      <c r="CT101" s="82">
        <v>3039.8735380364164</v>
      </c>
      <c r="CU101" s="82">
        <v>2905.5529981524169</v>
      </c>
      <c r="CV101" s="82">
        <v>2954.9600057753487</v>
      </c>
      <c r="CW101" s="82">
        <v>2930.0513110895104</v>
      </c>
      <c r="CX101" s="82">
        <v>2876.1445530788646</v>
      </c>
      <c r="CY101" s="82">
        <v>2752.6272238808542</v>
      </c>
      <c r="CZ101" s="82">
        <v>11791.957177095694</v>
      </c>
      <c r="DA101" s="82">
        <v>11499.575233231084</v>
      </c>
      <c r="DB101" s="82">
        <v>10310.526060593013</v>
      </c>
      <c r="DC101" s="82">
        <v>9743.7202652919332</v>
      </c>
      <c r="DD101" s="82">
        <v>9820.6266325742017</v>
      </c>
      <c r="DE101" s="82">
        <v>9585.2233901454874</v>
      </c>
      <c r="DF101" s="82">
        <v>9339.3431334249162</v>
      </c>
      <c r="DG101" s="82">
        <v>8941.2599699688417</v>
      </c>
      <c r="DH101" s="82">
        <v>0.10543624432926861</v>
      </c>
      <c r="DI101" s="82">
        <v>8.7784846529037189E-2</v>
      </c>
      <c r="DJ101" s="82">
        <v>7.1740269111747912E-2</v>
      </c>
      <c r="DK101" s="82">
        <v>5.7302512077400843E-2</v>
      </c>
      <c r="DL101" s="82">
        <v>4.0225399832974934E-2</v>
      </c>
      <c r="DM101" s="82">
        <v>3.2625277472707735E-2</v>
      </c>
      <c r="DN101" s="82">
        <v>2.342281121115011E-2</v>
      </c>
      <c r="DO101" s="82">
        <v>1.9450140709427185E-2</v>
      </c>
      <c r="DP101" s="82">
        <v>449.15840084268422</v>
      </c>
      <c r="DQ101" s="82">
        <v>373.9634462136986</v>
      </c>
      <c r="DR101" s="82">
        <v>174.32885394154749</v>
      </c>
      <c r="DS101" s="82">
        <v>139.24510434808403</v>
      </c>
      <c r="DT101" s="82">
        <v>97.747721594129089</v>
      </c>
      <c r="DU101" s="82">
        <v>79.279424258679768</v>
      </c>
      <c r="DV101" s="82">
        <v>56.917431243094761</v>
      </c>
      <c r="DW101" s="82">
        <v>47.263841923908068</v>
      </c>
      <c r="DX101" s="82">
        <v>202.85933408951286</v>
      </c>
      <c r="DY101" s="82">
        <v>168.89804472186754</v>
      </c>
      <c r="DZ101" s="82">
        <v>48.568162188653297</v>
      </c>
      <c r="EA101" s="82">
        <v>38.793800676400359</v>
      </c>
      <c r="EB101" s="82">
        <v>27.232595686924032</v>
      </c>
      <c r="EC101" s="82">
        <v>22.087312849023132</v>
      </c>
      <c r="ED101" s="82">
        <v>15.857243189948626</v>
      </c>
      <c r="EE101" s="82">
        <v>13.167745260282203</v>
      </c>
      <c r="EF101" s="82">
        <v>17.312601717366526</v>
      </c>
      <c r="EG101" s="82">
        <v>15.631864915471246</v>
      </c>
      <c r="EH101" s="82">
        <v>14.203965494340155</v>
      </c>
      <c r="EI101" s="82">
        <v>13.192699714268892</v>
      </c>
      <c r="EJ101" s="82">
        <v>12.538829598897188</v>
      </c>
      <c r="EK101" s="82">
        <v>12.159951067050949</v>
      </c>
      <c r="EL101" s="82">
        <v>11.884711056708229</v>
      </c>
      <c r="EM101" s="82">
        <v>11.888877107759038</v>
      </c>
      <c r="EN101" s="82">
        <v>1454.2585442587895</v>
      </c>
      <c r="EO101" s="82">
        <v>1313.0766528995855</v>
      </c>
      <c r="EP101" s="82">
        <v>1193.1331015245735</v>
      </c>
      <c r="EQ101" s="82">
        <v>1108.1867759985873</v>
      </c>
      <c r="ER101" s="82">
        <v>1053.2616863073638</v>
      </c>
      <c r="ES101" s="82">
        <v>1021.4358896322798</v>
      </c>
      <c r="ET101" s="82">
        <v>998.31572876349173</v>
      </c>
      <c r="EU101" s="82">
        <v>998.66567705175896</v>
      </c>
      <c r="EV101" s="82">
        <v>484.75284808626293</v>
      </c>
      <c r="EW101" s="82">
        <v>437.6922176331949</v>
      </c>
      <c r="EX101" s="82">
        <v>397.71103384152434</v>
      </c>
      <c r="EY101" s="82">
        <v>369.39559199952896</v>
      </c>
      <c r="EZ101" s="82">
        <v>351.08722876912117</v>
      </c>
      <c r="FA101" s="82">
        <v>340.47862987742656</v>
      </c>
      <c r="FB101" s="82">
        <v>332.77190958783046</v>
      </c>
      <c r="FC101" s="82">
        <v>332.8885590172531</v>
      </c>
      <c r="FD101" s="40">
        <v>0.37741279481693907</v>
      </c>
      <c r="FE101" s="40">
        <v>0.39265160796767368</v>
      </c>
      <c r="FF101" s="40">
        <v>0.45476917874213685</v>
      </c>
      <c r="FG101" s="40">
        <v>0.48441253532782336</v>
      </c>
      <c r="FH101" s="40">
        <v>0.48037212691648584</v>
      </c>
      <c r="FI101" s="40">
        <v>0.49269508507454385</v>
      </c>
      <c r="FJ101" s="40">
        <v>0.50556588568665806</v>
      </c>
      <c r="FK101" s="40">
        <v>0.52644345703540452</v>
      </c>
      <c r="FL101" s="4">
        <v>0.57573070922274117</v>
      </c>
      <c r="FM101" s="4">
        <v>0.59137533124532182</v>
      </c>
      <c r="FN101" s="4">
        <v>0.63782974993354269</v>
      </c>
      <c r="FO101" s="4">
        <v>0.6589829368677822</v>
      </c>
      <c r="FP101" s="4">
        <v>0.65958600572311998</v>
      </c>
      <c r="FQ101" s="4">
        <v>0.66839094712089031</v>
      </c>
      <c r="FR101" s="4">
        <v>0.67737152167581827</v>
      </c>
      <c r="FS101" s="4">
        <v>0.6899380351793829</v>
      </c>
      <c r="FT101" s="38">
        <v>0.46638412156318293</v>
      </c>
      <c r="FU101" s="38">
        <v>0.48219153309994506</v>
      </c>
      <c r="FV101" s="38">
        <v>0.53942335423876575</v>
      </c>
      <c r="FW101" s="38">
        <v>0.56508640976191471</v>
      </c>
      <c r="FX101" s="38">
        <v>0.56308307802023472</v>
      </c>
      <c r="FY101" s="38">
        <v>0.57374724425551504</v>
      </c>
      <c r="FZ101" s="38">
        <v>0.58477933904382506</v>
      </c>
      <c r="GA101" s="38">
        <v>0.60181553720471981</v>
      </c>
    </row>
    <row r="102" spans="1:183" x14ac:dyDescent="0.25">
      <c r="K102" s="2"/>
      <c r="P102" s="81" t="s">
        <v>3772</v>
      </c>
      <c r="Q102" s="81">
        <v>38949.639411830562</v>
      </c>
      <c r="R102" s="81">
        <v>587.39522777589548</v>
      </c>
      <c r="S102" s="81">
        <v>567.74543898431602</v>
      </c>
      <c r="T102" s="81">
        <v>511.51943344396051</v>
      </c>
      <c r="U102" s="81">
        <v>482.02530300463206</v>
      </c>
      <c r="V102" s="81">
        <v>484.63054999704866</v>
      </c>
      <c r="W102" s="81">
        <v>484.06170426065358</v>
      </c>
      <c r="X102" s="81">
        <v>477.87032446108014</v>
      </c>
      <c r="Y102" s="81">
        <v>466.26151231061255</v>
      </c>
      <c r="Z102" s="81">
        <v>0.62087251735414606</v>
      </c>
      <c r="AA102" s="81">
        <v>0.55706828476913917</v>
      </c>
      <c r="AB102" s="81">
        <v>0.50205250777599819</v>
      </c>
      <c r="AC102" s="81">
        <v>0.46915261894135074</v>
      </c>
      <c r="AD102" s="81">
        <v>0.45425680942278013</v>
      </c>
      <c r="AE102" s="81">
        <v>0.44824845198875007</v>
      </c>
      <c r="AF102" s="81">
        <v>0.44512510535239852</v>
      </c>
      <c r="AG102" s="81">
        <v>0.46150973756574559</v>
      </c>
      <c r="AH102" s="81">
        <v>52.153291457748296</v>
      </c>
      <c r="AI102" s="81">
        <v>46.793735920607702</v>
      </c>
      <c r="AJ102" s="81">
        <v>42.17241065318386</v>
      </c>
      <c r="AK102" s="81">
        <v>39.408819991073457</v>
      </c>
      <c r="AL102" s="81">
        <v>38.157571991513535</v>
      </c>
      <c r="AM102" s="81">
        <v>37.652869967055011</v>
      </c>
      <c r="AN102" s="81">
        <v>37.390508849601467</v>
      </c>
      <c r="AO102" s="81">
        <v>38.766817955522633</v>
      </c>
      <c r="AP102" s="81">
        <v>17.384430485916095</v>
      </c>
      <c r="AQ102" s="81">
        <v>15.597911973535901</v>
      </c>
      <c r="AR102" s="81">
        <v>14.057470217727952</v>
      </c>
      <c r="AS102" s="81">
        <v>13.13627333035782</v>
      </c>
      <c r="AT102" s="81">
        <v>12.719190663837846</v>
      </c>
      <c r="AU102" s="81">
        <v>12.550956655685003</v>
      </c>
      <c r="AV102" s="81">
        <v>12.463502949867157</v>
      </c>
      <c r="AW102" s="81">
        <v>12.922272651840872</v>
      </c>
      <c r="AX102" s="81">
        <v>24833.941846126254</v>
      </c>
      <c r="AY102" s="81">
        <v>6504.3918421041926</v>
      </c>
      <c r="AZ102" s="81">
        <v>8277.9806153754143</v>
      </c>
      <c r="BA102" s="81">
        <v>2168.1306140347306</v>
      </c>
      <c r="BB102" s="81">
        <v>5368.3233038327926</v>
      </c>
      <c r="BC102" s="81">
        <v>5368.3233038327926</v>
      </c>
      <c r="BD102" s="81">
        <v>8684.1382774285685</v>
      </c>
      <c r="BE102" s="81">
        <v>37723101442.361221</v>
      </c>
      <c r="BF102" s="81">
        <v>13722430788.417566</v>
      </c>
      <c r="BG102" s="81">
        <v>9939074572.9362297</v>
      </c>
      <c r="BH102" s="81">
        <v>9939074572.9362297</v>
      </c>
      <c r="BI102" s="81">
        <v>0.7914683003615649</v>
      </c>
      <c r="BJ102" s="81">
        <v>0.57994749610607343</v>
      </c>
      <c r="BK102" s="81">
        <v>1.3737539334508115</v>
      </c>
      <c r="BL102" s="81">
        <v>5.9159087490393586E-2</v>
      </c>
      <c r="BM102" s="81">
        <v>4.4015742349679643E-2</v>
      </c>
      <c r="BN102" s="81">
        <v>3.0665040733857979E-2</v>
      </c>
      <c r="BO102" s="81">
        <v>1.9106982642928826E-2</v>
      </c>
      <c r="BP102" s="81">
        <v>0</v>
      </c>
      <c r="BQ102" s="81">
        <v>0</v>
      </c>
      <c r="BR102" s="81">
        <v>0</v>
      </c>
      <c r="BS102" s="81">
        <v>0</v>
      </c>
      <c r="BT102" s="81">
        <v>8.1363315004062089E-2</v>
      </c>
      <c r="BU102" s="81">
        <v>6.0536206048075962E-2</v>
      </c>
      <c r="BV102" s="81">
        <v>4.2174574941617041E-2</v>
      </c>
      <c r="BW102" s="81">
        <v>2.6278421684685492E-2</v>
      </c>
      <c r="BX102" s="81">
        <v>0</v>
      </c>
      <c r="BY102" s="81">
        <v>0</v>
      </c>
      <c r="BZ102" s="81">
        <v>0</v>
      </c>
      <c r="CA102" s="81">
        <v>0</v>
      </c>
      <c r="CB102" s="81">
        <v>3147.535816589485</v>
      </c>
      <c r="CC102" s="81">
        <v>3042.9624294513319</v>
      </c>
      <c r="CD102" s="81">
        <v>2738.7009786460185</v>
      </c>
      <c r="CE102" s="81">
        <v>2585.8044416358807</v>
      </c>
      <c r="CF102" s="81">
        <v>2588.5198498379368</v>
      </c>
      <c r="CG102" s="81">
        <v>2567.1938948487668</v>
      </c>
      <c r="CH102" s="81">
        <v>2531.6344513371605</v>
      </c>
      <c r="CI102" s="81">
        <v>2477.1851303186422</v>
      </c>
      <c r="CJ102" s="81">
        <v>17728.984312484346</v>
      </c>
      <c r="CK102" s="81">
        <v>17159.908337948091</v>
      </c>
      <c r="CL102" s="81">
        <v>15447.613427981853</v>
      </c>
      <c r="CM102" s="81">
        <v>14592.274060670259</v>
      </c>
      <c r="CN102" s="81">
        <v>14593.395641374787</v>
      </c>
      <c r="CO102" s="81">
        <v>14455.488255448059</v>
      </c>
      <c r="CP102" s="81">
        <v>14266.324984004208</v>
      </c>
      <c r="CQ102" s="81">
        <v>13982.339069505426</v>
      </c>
      <c r="CR102" s="81">
        <v>13471.291470693233</v>
      </c>
      <c r="CS102" s="81">
        <v>13035.113402255914</v>
      </c>
      <c r="CT102" s="81">
        <v>11824.384092729657</v>
      </c>
      <c r="CU102" s="81">
        <v>11324.716366982482</v>
      </c>
      <c r="CV102" s="81">
        <v>11537.401333932827</v>
      </c>
      <c r="CW102" s="81">
        <v>11664.205143569623</v>
      </c>
      <c r="CX102" s="81">
        <v>11506.002906334479</v>
      </c>
      <c r="CY102" s="81">
        <v>11114.376801550481</v>
      </c>
      <c r="CZ102" s="81">
        <v>34347.811599767061</v>
      </c>
      <c r="DA102" s="81">
        <v>33237.984169655334</v>
      </c>
      <c r="DB102" s="81">
        <v>30010.698499357528</v>
      </c>
      <c r="DC102" s="81">
        <v>28502.794869288613</v>
      </c>
      <c r="DD102" s="81">
        <v>28719.316825145554</v>
      </c>
      <c r="DE102" s="81">
        <v>28686.887293866454</v>
      </c>
      <c r="DF102" s="81">
        <v>28303.96234167584</v>
      </c>
      <c r="DG102" s="81">
        <v>27573.901001374546</v>
      </c>
      <c r="DH102" s="81">
        <v>8.3655529784166127E-2</v>
      </c>
      <c r="DI102" s="81">
        <v>6.2241667363509064E-2</v>
      </c>
      <c r="DJ102" s="81">
        <v>4.3362741672790084E-2</v>
      </c>
      <c r="DK102" s="81">
        <v>2.7018752712009483E-2</v>
      </c>
      <c r="DL102" s="81">
        <v>0</v>
      </c>
      <c r="DM102" s="81">
        <v>0</v>
      </c>
      <c r="DN102" s="81">
        <v>0</v>
      </c>
      <c r="DO102" s="81">
        <v>0</v>
      </c>
      <c r="DP102" s="81">
        <v>356.37255688054768</v>
      </c>
      <c r="DQ102" s="81">
        <v>265.14950296854857</v>
      </c>
      <c r="DR102" s="81">
        <v>105.3714622648799</v>
      </c>
      <c r="DS102" s="81">
        <v>65.655569090183022</v>
      </c>
      <c r="DT102" s="81">
        <v>0</v>
      </c>
      <c r="DU102" s="81">
        <v>0</v>
      </c>
      <c r="DV102" s="81">
        <v>0</v>
      </c>
      <c r="DW102" s="81">
        <v>0</v>
      </c>
      <c r="DX102" s="81">
        <v>160.95323930473566</v>
      </c>
      <c r="DY102" s="81">
        <v>119.75296800739143</v>
      </c>
      <c r="DZ102" s="81">
        <v>29.356576112478884</v>
      </c>
      <c r="EA102" s="81">
        <v>18.291695586030418</v>
      </c>
      <c r="EB102" s="81">
        <v>0</v>
      </c>
      <c r="EC102" s="81">
        <v>0</v>
      </c>
      <c r="ED102" s="81">
        <v>0</v>
      </c>
      <c r="EE102" s="81">
        <v>0</v>
      </c>
      <c r="EF102" s="81">
        <v>36.631568479995721</v>
      </c>
      <c r="EG102" s="81">
        <v>33.127021683836809</v>
      </c>
      <c r="EH102" s="81">
        <v>30.115642959699976</v>
      </c>
      <c r="EI102" s="81">
        <v>28.287158461481908</v>
      </c>
      <c r="EJ102" s="81">
        <v>27.536744218252625</v>
      </c>
      <c r="EK102" s="81">
        <v>27.334763182917118</v>
      </c>
      <c r="EL102" s="81">
        <v>27.337928539058534</v>
      </c>
      <c r="EM102" s="81">
        <v>28.534881066571444</v>
      </c>
      <c r="EN102" s="81">
        <v>3077.0517523196409</v>
      </c>
      <c r="EO102" s="81">
        <v>2782.6698214422922</v>
      </c>
      <c r="EP102" s="81">
        <v>2529.7140086147974</v>
      </c>
      <c r="EQ102" s="81">
        <v>2376.1213107644803</v>
      </c>
      <c r="ER102" s="81">
        <v>2313.0865143332207</v>
      </c>
      <c r="ES102" s="81">
        <v>2296.1201073650382</v>
      </c>
      <c r="ET102" s="81">
        <v>2296.3859972809169</v>
      </c>
      <c r="EU102" s="81">
        <v>2396.9300095920021</v>
      </c>
      <c r="EV102" s="81">
        <v>1025.6839174398801</v>
      </c>
      <c r="EW102" s="81">
        <v>927.55660714743067</v>
      </c>
      <c r="EX102" s="81">
        <v>843.23800287159929</v>
      </c>
      <c r="EY102" s="81">
        <v>792.04043692149321</v>
      </c>
      <c r="EZ102" s="81">
        <v>771.0288381110737</v>
      </c>
      <c r="FA102" s="81">
        <v>765.37336912167916</v>
      </c>
      <c r="FB102" s="81">
        <v>765.46199909363872</v>
      </c>
      <c r="FC102" s="81">
        <v>798.97666986400031</v>
      </c>
      <c r="FD102" s="40">
        <v>0.13124967735038631</v>
      </c>
      <c r="FE102" s="40">
        <v>0.15890223264685643</v>
      </c>
      <c r="FF102" s="40">
        <v>0.23948765374508726</v>
      </c>
      <c r="FG102" s="40">
        <v>0.27715973760131057</v>
      </c>
      <c r="FH102" s="40">
        <v>0.27171678712587133</v>
      </c>
      <c r="FI102" s="40">
        <v>0.27252866249065938</v>
      </c>
      <c r="FJ102" s="40">
        <v>0.28212655247604862</v>
      </c>
      <c r="FK102" s="40">
        <v>0.30043712423464419</v>
      </c>
      <c r="FL102" s="4">
        <v>0.4673261514513502</v>
      </c>
      <c r="FM102" s="4">
        <v>0.4882296504058028</v>
      </c>
      <c r="FN102" s="4">
        <v>0.53917254773768142</v>
      </c>
      <c r="FO102" s="4">
        <v>0.56298784352671138</v>
      </c>
      <c r="FP102" s="4">
        <v>0.56175582914344269</v>
      </c>
      <c r="FQ102" s="4">
        <v>0.56244677220230788</v>
      </c>
      <c r="FR102" s="4">
        <v>0.5678114312158008</v>
      </c>
      <c r="FS102" s="4">
        <v>0.5766413288683182</v>
      </c>
      <c r="FT102" s="38">
        <v>0.28931856235002329</v>
      </c>
      <c r="FU102" s="38">
        <v>0.31400729772808833</v>
      </c>
      <c r="FV102" s="38">
        <v>0.38136074104673556</v>
      </c>
      <c r="FW102" s="38">
        <v>0.41245558161051959</v>
      </c>
      <c r="FX102" s="38">
        <v>0.40892938226877434</v>
      </c>
      <c r="FY102" s="38">
        <v>0.40968399342761147</v>
      </c>
      <c r="FZ102" s="38">
        <v>0.41728390491266837</v>
      </c>
      <c r="GA102" s="38">
        <v>0.43111949925026705</v>
      </c>
    </row>
    <row r="103" spans="1:183" x14ac:dyDescent="0.25">
      <c r="P103" s="81" t="s">
        <v>3771</v>
      </c>
      <c r="Q103" s="81">
        <v>35118.301401253739</v>
      </c>
      <c r="R103" s="81">
        <v>235.53803715776968</v>
      </c>
      <c r="S103" s="81">
        <v>240.68029412069529</v>
      </c>
      <c r="T103" s="81">
        <v>211.24112067234856</v>
      </c>
      <c r="U103" s="81">
        <v>196.90824999356289</v>
      </c>
      <c r="V103" s="81">
        <v>203.97450893761754</v>
      </c>
      <c r="W103" s="81">
        <v>188.38767676000398</v>
      </c>
      <c r="X103" s="81">
        <v>179.20595325244494</v>
      </c>
      <c r="Y103" s="81">
        <v>160.5449505414451</v>
      </c>
      <c r="Z103" s="81">
        <v>0.55472038780354649</v>
      </c>
      <c r="AA103" s="81">
        <v>0.5072457302770419</v>
      </c>
      <c r="AB103" s="81">
        <v>0.47178945223299623</v>
      </c>
      <c r="AC103" s="81">
        <v>0.44610778169859128</v>
      </c>
      <c r="AD103" s="81">
        <v>0.42894839047145128</v>
      </c>
      <c r="AE103" s="81">
        <v>0.42062341608429887</v>
      </c>
      <c r="AF103" s="81">
        <v>0.41662375041659794</v>
      </c>
      <c r="AG103" s="81">
        <v>0.41506741194542235</v>
      </c>
      <c r="AH103" s="81">
        <v>46.596512575497904</v>
      </c>
      <c r="AI103" s="81">
        <v>42.608641343271522</v>
      </c>
      <c r="AJ103" s="81">
        <v>39.630313987571675</v>
      </c>
      <c r="AK103" s="81">
        <v>37.473053662681657</v>
      </c>
      <c r="AL103" s="81">
        <v>36.031664799601913</v>
      </c>
      <c r="AM103" s="81">
        <v>35.332366951081106</v>
      </c>
      <c r="AN103" s="81">
        <v>34.996395034994222</v>
      </c>
      <c r="AO103" s="81">
        <v>34.865662603415473</v>
      </c>
      <c r="AP103" s="81">
        <v>15.532170858499301</v>
      </c>
      <c r="AQ103" s="81">
        <v>14.202880447757174</v>
      </c>
      <c r="AR103" s="81">
        <v>13.210104662523891</v>
      </c>
      <c r="AS103" s="81">
        <v>12.491017887560551</v>
      </c>
      <c r="AT103" s="81">
        <v>12.010554933200638</v>
      </c>
      <c r="AU103" s="81">
        <v>11.77745565036037</v>
      </c>
      <c r="AV103" s="81">
        <v>11.665465011664743</v>
      </c>
      <c r="AW103" s="81">
        <v>11.621887534471826</v>
      </c>
      <c r="AX103" s="81">
        <v>10649.549485544914</v>
      </c>
      <c r="AY103" s="81">
        <v>5864.5778649619515</v>
      </c>
      <c r="AZ103" s="81">
        <v>3549.8498285149713</v>
      </c>
      <c r="BA103" s="81">
        <v>1954.8592883206506</v>
      </c>
      <c r="BB103" s="81">
        <v>4806.0563449336696</v>
      </c>
      <c r="BC103" s="81">
        <v>4806.0563449336696</v>
      </c>
      <c r="BD103" s="81">
        <v>7630.637260830903</v>
      </c>
      <c r="BE103" s="81">
        <v>37106017552.587708</v>
      </c>
      <c r="BF103" s="81">
        <v>12520427459.880239</v>
      </c>
      <c r="BG103" s="81">
        <v>5816313023.1856194</v>
      </c>
      <c r="BH103" s="81">
        <v>5816313023.1856194</v>
      </c>
      <c r="BI103" s="81">
        <v>0.86449214324656154</v>
      </c>
      <c r="BJ103" s="81">
        <v>0.68280551123265154</v>
      </c>
      <c r="BK103" s="81">
        <v>1.2298698186685264</v>
      </c>
      <c r="BL103" s="81">
        <v>4.0490104924999201E-2</v>
      </c>
      <c r="BM103" s="81">
        <v>3.0125583434322895E-2</v>
      </c>
      <c r="BN103" s="81">
        <v>2.0987996426498363E-2</v>
      </c>
      <c r="BO103" s="81">
        <v>1.3077343901525753E-2</v>
      </c>
      <c r="BP103" s="81">
        <v>0</v>
      </c>
      <c r="BQ103" s="81">
        <v>0</v>
      </c>
      <c r="BR103" s="81">
        <v>0</v>
      </c>
      <c r="BS103" s="81">
        <v>0</v>
      </c>
      <c r="BT103" s="81">
        <v>4.9009760899198937E-2</v>
      </c>
      <c r="BU103" s="81">
        <v>3.6464406397560413E-2</v>
      </c>
      <c r="BV103" s="81">
        <v>2.5404149693394419E-2</v>
      </c>
      <c r="BW103" s="81">
        <v>1.5828990786701129E-2</v>
      </c>
      <c r="BX103" s="81">
        <v>0</v>
      </c>
      <c r="BY103" s="81">
        <v>0</v>
      </c>
      <c r="BZ103" s="81">
        <v>0</v>
      </c>
      <c r="CA103" s="81">
        <v>0</v>
      </c>
      <c r="CB103" s="81">
        <v>1429.639402965696</v>
      </c>
      <c r="CC103" s="81">
        <v>1461.2167187679013</v>
      </c>
      <c r="CD103" s="81">
        <v>1284.0279118254866</v>
      </c>
      <c r="CE103" s="81">
        <v>1197.429476785092</v>
      </c>
      <c r="CF103" s="81">
        <v>1239.6603974715633</v>
      </c>
      <c r="CG103" s="81">
        <v>1144.770432857626</v>
      </c>
      <c r="CH103" s="81">
        <v>1090.2437718953342</v>
      </c>
      <c r="CI103" s="81">
        <v>978.37508926516432</v>
      </c>
      <c r="CJ103" s="81">
        <v>7999.1327908841422</v>
      </c>
      <c r="CK103" s="81">
        <v>8172.5078427537692</v>
      </c>
      <c r="CL103" s="81">
        <v>7162.5813220094251</v>
      </c>
      <c r="CM103" s="81">
        <v>6685.9653828975424</v>
      </c>
      <c r="CN103" s="81">
        <v>6920.2761837111448</v>
      </c>
      <c r="CO103" s="81">
        <v>6393.6307971405422</v>
      </c>
      <c r="CP103" s="81">
        <v>6094.4284980769598</v>
      </c>
      <c r="CQ103" s="81">
        <v>5463.8802759630362</v>
      </c>
      <c r="CR103" s="81">
        <v>3487.1467339773167</v>
      </c>
      <c r="CS103" s="81">
        <v>3543.5068024126699</v>
      </c>
      <c r="CT103" s="81">
        <v>3081.8654516136503</v>
      </c>
      <c r="CU103" s="81">
        <v>2907.3342201671608</v>
      </c>
      <c r="CV103" s="81">
        <v>2986.0499583392912</v>
      </c>
      <c r="CW103" s="81">
        <v>2755.7818338702655</v>
      </c>
      <c r="CX103" s="81">
        <v>2654.6971786630061</v>
      </c>
      <c r="CY103" s="81">
        <v>2409.795906161818</v>
      </c>
      <c r="CZ103" s="81">
        <v>12915.918927827155</v>
      </c>
      <c r="DA103" s="81">
        <v>13177.231363934339</v>
      </c>
      <c r="DB103" s="81">
        <v>11528.474685448564</v>
      </c>
      <c r="DC103" s="81">
        <v>10790.729079849796</v>
      </c>
      <c r="DD103" s="81">
        <v>11145.986539522</v>
      </c>
      <c r="DE103" s="81">
        <v>10294.183063868431</v>
      </c>
      <c r="DF103" s="81">
        <v>9839.3694486352997</v>
      </c>
      <c r="DG103" s="81">
        <v>8852.0512713900189</v>
      </c>
      <c r="DH103" s="81">
        <v>5.0390492477022424E-2</v>
      </c>
      <c r="DI103" s="81">
        <v>3.7491702929025914E-2</v>
      </c>
      <c r="DJ103" s="81">
        <v>2.6119850220103137E-2</v>
      </c>
      <c r="DK103" s="81">
        <v>1.6274934350254254E-2</v>
      </c>
      <c r="DL103" s="81">
        <v>0</v>
      </c>
      <c r="DM103" s="81">
        <v>0</v>
      </c>
      <c r="DN103" s="81">
        <v>0</v>
      </c>
      <c r="DO103" s="81">
        <v>0</v>
      </c>
      <c r="DP103" s="81">
        <v>214.66349795211559</v>
      </c>
      <c r="DQ103" s="81">
        <v>159.71465447765036</v>
      </c>
      <c r="DR103" s="81">
        <v>63.471236034850605</v>
      </c>
      <c r="DS103" s="81">
        <v>39.548090471117838</v>
      </c>
      <c r="DT103" s="81">
        <v>0</v>
      </c>
      <c r="DU103" s="81">
        <v>0</v>
      </c>
      <c r="DV103" s="81">
        <v>0</v>
      </c>
      <c r="DW103" s="81">
        <v>0</v>
      </c>
      <c r="DX103" s="81">
        <v>96.951307525791151</v>
      </c>
      <c r="DY103" s="81">
        <v>72.13403643544585</v>
      </c>
      <c r="DZ103" s="81">
        <v>17.683138599009819</v>
      </c>
      <c r="EA103" s="81">
        <v>11.018130555122127</v>
      </c>
      <c r="EB103" s="81">
        <v>0</v>
      </c>
      <c r="EC103" s="81">
        <v>0</v>
      </c>
      <c r="ED103" s="81">
        <v>0</v>
      </c>
      <c r="EE103" s="81">
        <v>0</v>
      </c>
      <c r="EF103" s="81">
        <v>30.776779345614084</v>
      </c>
      <c r="EG103" s="81">
        <v>28.095769246062989</v>
      </c>
      <c r="EH103" s="81">
        <v>26.107813039971884</v>
      </c>
      <c r="EI103" s="81">
        <v>24.67063633804575</v>
      </c>
      <c r="EJ103" s="81">
        <v>23.732685455883299</v>
      </c>
      <c r="EK103" s="81">
        <v>23.26111015778476</v>
      </c>
      <c r="EL103" s="81">
        <v>23.045528322674052</v>
      </c>
      <c r="EM103" s="81">
        <v>22.933223463266241</v>
      </c>
      <c r="EN103" s="81">
        <v>2585.2494650315825</v>
      </c>
      <c r="EO103" s="81">
        <v>2360.0446166692909</v>
      </c>
      <c r="EP103" s="81">
        <v>2193.0562953576377</v>
      </c>
      <c r="EQ103" s="81">
        <v>2072.3334523958429</v>
      </c>
      <c r="ER103" s="81">
        <v>1993.5455782941972</v>
      </c>
      <c r="ES103" s="81">
        <v>1953.9332532539204</v>
      </c>
      <c r="ET103" s="81">
        <v>1935.8243791046202</v>
      </c>
      <c r="EU103" s="81">
        <v>1926.3907709143637</v>
      </c>
      <c r="EV103" s="81">
        <v>861.74982167719429</v>
      </c>
      <c r="EW103" s="81">
        <v>786.68153888976371</v>
      </c>
      <c r="EX103" s="81">
        <v>731.01876511921273</v>
      </c>
      <c r="EY103" s="81">
        <v>690.77781746528103</v>
      </c>
      <c r="EZ103" s="81">
        <v>664.51519276473243</v>
      </c>
      <c r="FA103" s="81">
        <v>651.31108441797346</v>
      </c>
      <c r="FB103" s="81">
        <v>645.27479303487348</v>
      </c>
      <c r="FC103" s="81">
        <v>642.13025697145451</v>
      </c>
      <c r="FD103" s="40">
        <v>0.63466714979210526</v>
      </c>
      <c r="FE103" s="40">
        <v>0.62733000974238606</v>
      </c>
      <c r="FF103" s="40">
        <v>0.67368740542581873</v>
      </c>
      <c r="FG103" s="40">
        <v>0.69444527764629371</v>
      </c>
      <c r="FH103" s="40">
        <v>0.68444880030207489</v>
      </c>
      <c r="FI103" s="40">
        <v>0.7084353324345315</v>
      </c>
      <c r="FJ103" s="40">
        <v>0.72124463776394188</v>
      </c>
      <c r="FK103" s="40">
        <v>0.74908331233060355</v>
      </c>
      <c r="FL103" s="4">
        <v>0.69727508253240722</v>
      </c>
      <c r="FM103" s="4">
        <v>0.69764473391949278</v>
      </c>
      <c r="FN103" s="4">
        <v>0.73430752925680287</v>
      </c>
      <c r="FO103" s="4">
        <v>0.75123570142580531</v>
      </c>
      <c r="FP103" s="4">
        <v>0.74669528938273377</v>
      </c>
      <c r="FQ103" s="4">
        <v>0.76380590148661576</v>
      </c>
      <c r="FR103" s="4">
        <v>0.7728841088051136</v>
      </c>
      <c r="FS103" s="4">
        <v>0.79203373757458106</v>
      </c>
      <c r="FT103" s="38">
        <v>0.66055211981394746</v>
      </c>
      <c r="FU103" s="38">
        <v>0.65663478052978552</v>
      </c>
      <c r="FV103" s="38">
        <v>0.69943844574031067</v>
      </c>
      <c r="FW103" s="38">
        <v>0.71854404165440922</v>
      </c>
      <c r="FX103" s="38">
        <v>0.71080332500871313</v>
      </c>
      <c r="FY103" s="38">
        <v>0.7318803847600126</v>
      </c>
      <c r="FZ103" s="38">
        <v>0.7431108303292423</v>
      </c>
      <c r="GA103" s="38">
        <v>0.76727196341195358</v>
      </c>
    </row>
    <row r="104" spans="1:183" x14ac:dyDescent="0.25">
      <c r="P104" s="81" t="s">
        <v>3769</v>
      </c>
      <c r="Q104" s="81">
        <v>7187.6819680486724</v>
      </c>
      <c r="R104" s="81">
        <v>34.468818632814269</v>
      </c>
      <c r="S104" s="81">
        <v>31.566040035090332</v>
      </c>
      <c r="T104" s="81">
        <v>31.62087743574676</v>
      </c>
      <c r="U104" s="81">
        <v>31.864775556602094</v>
      </c>
      <c r="V104" s="81">
        <v>31.135716636948441</v>
      </c>
      <c r="W104" s="81">
        <v>28.766885957075502</v>
      </c>
      <c r="X104" s="81">
        <v>28.637324657429595</v>
      </c>
      <c r="Y104" s="81">
        <v>27.940721106169743</v>
      </c>
      <c r="Z104" s="81">
        <v>0.17908949319886983</v>
      </c>
      <c r="AA104" s="81">
        <v>0.1675608214519152</v>
      </c>
      <c r="AB104" s="81">
        <v>0.15674796734100024</v>
      </c>
      <c r="AC104" s="81">
        <v>0.14760735867819216</v>
      </c>
      <c r="AD104" s="81">
        <v>0.13981466414386767</v>
      </c>
      <c r="AE104" s="81">
        <v>0.13254081664793613</v>
      </c>
      <c r="AF104" s="81">
        <v>0.12385005562882304</v>
      </c>
      <c r="AG104" s="81">
        <v>0.11554231435592692</v>
      </c>
      <c r="AH104" s="81">
        <v>15.043517428705071</v>
      </c>
      <c r="AI104" s="81">
        <v>14.075109001960875</v>
      </c>
      <c r="AJ104" s="81">
        <v>13.16682925664402</v>
      </c>
      <c r="AK104" s="81">
        <v>12.399018128968139</v>
      </c>
      <c r="AL104" s="81">
        <v>11.744431788084885</v>
      </c>
      <c r="AM104" s="81">
        <v>11.133428598426635</v>
      </c>
      <c r="AN104" s="81">
        <v>10.403404672821134</v>
      </c>
      <c r="AO104" s="81">
        <v>9.7055544058978587</v>
      </c>
      <c r="AP104" s="81">
        <v>5.0145058095683561</v>
      </c>
      <c r="AQ104" s="81">
        <v>4.6917030006536251</v>
      </c>
      <c r="AR104" s="81">
        <v>4.3889430855480063</v>
      </c>
      <c r="AS104" s="81">
        <v>4.1330060429893809</v>
      </c>
      <c r="AT104" s="81">
        <v>3.9148105960282953</v>
      </c>
      <c r="AU104" s="81">
        <v>3.711142866142211</v>
      </c>
      <c r="AV104" s="81">
        <v>3.4678015576070447</v>
      </c>
      <c r="AW104" s="81">
        <v>3.2351848019659535</v>
      </c>
      <c r="AX104" s="81">
        <v>5544.4423537904449</v>
      </c>
      <c r="AY104" s="81">
        <v>1200.306361306514</v>
      </c>
      <c r="AZ104" s="81">
        <v>1848.1474512634813</v>
      </c>
      <c r="BA104" s="81">
        <v>400.10212043550467</v>
      </c>
      <c r="BB104" s="81">
        <v>3501.0361648507992</v>
      </c>
      <c r="BC104" s="81">
        <v>3501.0361648507992</v>
      </c>
      <c r="BD104" s="81">
        <v>3104.7412022724952</v>
      </c>
      <c r="BE104" s="81">
        <v>8156390757.1905766</v>
      </c>
      <c r="BF104" s="81">
        <v>2206132917.2919674</v>
      </c>
      <c r="BG104" s="81">
        <v>536485598.51545012</v>
      </c>
      <c r="BH104" s="81">
        <v>536485598.51545012</v>
      </c>
      <c r="BI104" s="81">
        <v>0.93828445539049921</v>
      </c>
      <c r="BJ104" s="81">
        <v>0.80438927418328521</v>
      </c>
      <c r="BK104" s="81">
        <v>0.89591515458531956</v>
      </c>
      <c r="BL104" s="81">
        <v>0.29558583653518178</v>
      </c>
      <c r="BM104" s="81">
        <v>0.26173482506668588</v>
      </c>
      <c r="BN104" s="81">
        <v>0.22989805359818979</v>
      </c>
      <c r="BO104" s="81">
        <v>0.2000755221296939</v>
      </c>
      <c r="BP104" s="81">
        <v>0.17182508236881025</v>
      </c>
      <c r="BQ104" s="81">
        <v>0.14640839228894026</v>
      </c>
      <c r="BR104" s="81">
        <v>0.12188340473613767</v>
      </c>
      <c r="BS104" s="81">
        <v>0.10121113776186806</v>
      </c>
      <c r="BT104" s="81">
        <v>0.25318304628032401</v>
      </c>
      <c r="BU104" s="81">
        <v>0.22365367894782492</v>
      </c>
      <c r="BV104" s="81">
        <v>0.19592889975629774</v>
      </c>
      <c r="BW104" s="81">
        <v>0.17000870870574264</v>
      </c>
      <c r="BX104" s="81">
        <v>0.14544446315134543</v>
      </c>
      <c r="BY104" s="81">
        <v>0.12351635252226971</v>
      </c>
      <c r="BZ104" s="81">
        <v>0.10188893150548124</v>
      </c>
      <c r="CA104" s="81">
        <v>8.4607865240847444E-2</v>
      </c>
      <c r="CB104" s="81">
        <v>277.49802451951092</v>
      </c>
      <c r="CC104" s="81">
        <v>253.85937074452946</v>
      </c>
      <c r="CD104" s="81">
        <v>254.32811825773535</v>
      </c>
      <c r="CE104" s="81">
        <v>256.23713883538471</v>
      </c>
      <c r="CF104" s="81">
        <v>250.40170316234952</v>
      </c>
      <c r="CG104" s="81">
        <v>231.337803400327</v>
      </c>
      <c r="CH104" s="81">
        <v>230.13805896652806</v>
      </c>
      <c r="CI104" s="81">
        <v>224.62768424348016</v>
      </c>
      <c r="CJ104" s="81">
        <v>1151.3569772590804</v>
      </c>
      <c r="CK104" s="81">
        <v>1053.9524902953717</v>
      </c>
      <c r="CL104" s="81">
        <v>1055.6080651793638</v>
      </c>
      <c r="CM104" s="81">
        <v>1062.9352902033561</v>
      </c>
      <c r="CN104" s="81">
        <v>1038.2811137536758</v>
      </c>
      <c r="CO104" s="81">
        <v>960.24682884987135</v>
      </c>
      <c r="CP104" s="81">
        <v>956.16373852964239</v>
      </c>
      <c r="CQ104" s="81">
        <v>932.21962789609017</v>
      </c>
      <c r="CR104" s="81">
        <v>322.94345348080083</v>
      </c>
      <c r="CS104" s="81">
        <v>299.22753393725714</v>
      </c>
      <c r="CT104" s="81">
        <v>300.76813281305641</v>
      </c>
      <c r="CU104" s="81">
        <v>304.14598307625943</v>
      </c>
      <c r="CV104" s="81">
        <v>297.52717539816359</v>
      </c>
      <c r="CW104" s="81">
        <v>276.15798747178229</v>
      </c>
      <c r="CX104" s="81">
        <v>276.89947364030968</v>
      </c>
      <c r="CY104" s="81">
        <v>270.24608599447549</v>
      </c>
      <c r="CZ104" s="81">
        <v>1751.7984552593923</v>
      </c>
      <c r="DA104" s="81">
        <v>1607.0393949771581</v>
      </c>
      <c r="DB104" s="81">
        <v>1610.7043162501554</v>
      </c>
      <c r="DC104" s="81">
        <v>1623.3184121150007</v>
      </c>
      <c r="DD104" s="81">
        <v>1586.2099923141889</v>
      </c>
      <c r="DE104" s="81">
        <v>1467.7426197219809</v>
      </c>
      <c r="DF104" s="81">
        <v>1463.20127113648</v>
      </c>
      <c r="DG104" s="81">
        <v>1427.0933981340459</v>
      </c>
      <c r="DH104" s="81">
        <v>0.26031586677475133</v>
      </c>
      <c r="DI104" s="81">
        <v>0.22995458087743842</v>
      </c>
      <c r="DJ104" s="81">
        <v>0.20144872303105604</v>
      </c>
      <c r="DK104" s="81">
        <v>0.17479829323560411</v>
      </c>
      <c r="DL104" s="81">
        <v>0.1495420094239274</v>
      </c>
      <c r="DM104" s="81">
        <v>0.12699612726868892</v>
      </c>
      <c r="DN104" s="81">
        <v>0.10475940592892639</v>
      </c>
      <c r="DO104" s="81">
        <v>8.6991487383190555E-2</v>
      </c>
      <c r="DP104" s="81">
        <v>1108.9455924604406</v>
      </c>
      <c r="DQ104" s="81">
        <v>979.60651453788751</v>
      </c>
      <c r="DR104" s="81">
        <v>489.52039696546603</v>
      </c>
      <c r="DS104" s="81">
        <v>424.75985256251806</v>
      </c>
      <c r="DT104" s="81">
        <v>363.3870829001437</v>
      </c>
      <c r="DU104" s="81">
        <v>308.60058926291407</v>
      </c>
      <c r="DV104" s="81">
        <v>254.56535640729115</v>
      </c>
      <c r="DW104" s="81">
        <v>211.3893143411531</v>
      </c>
      <c r="DX104" s="81">
        <v>500.84772767462158</v>
      </c>
      <c r="DY104" s="81">
        <v>442.4326136081915</v>
      </c>
      <c r="DZ104" s="81">
        <v>136.3807854920249</v>
      </c>
      <c r="EA104" s="81">
        <v>118.338444520504</v>
      </c>
      <c r="EB104" s="81">
        <v>101.23994037999887</v>
      </c>
      <c r="EC104" s="81">
        <v>85.976378160902399</v>
      </c>
      <c r="ED104" s="81">
        <v>70.922117813883176</v>
      </c>
      <c r="EE104" s="81">
        <v>58.893236958419998</v>
      </c>
      <c r="EF104" s="81">
        <v>7.5947606266793679</v>
      </c>
      <c r="EG104" s="81">
        <v>7.1118218725105056</v>
      </c>
      <c r="EH104" s="81">
        <v>6.6603843612067033</v>
      </c>
      <c r="EI104" s="81">
        <v>6.2861637967253685</v>
      </c>
      <c r="EJ104" s="81">
        <v>5.9714571237240373</v>
      </c>
      <c r="EK104" s="81">
        <v>5.6812588257816028</v>
      </c>
      <c r="EL104" s="81">
        <v>5.3224151999252713</v>
      </c>
      <c r="EM104" s="81">
        <v>4.9769074158365747</v>
      </c>
      <c r="EN104" s="81">
        <v>637.95989264106663</v>
      </c>
      <c r="EO104" s="81">
        <v>597.39303729088238</v>
      </c>
      <c r="EP104" s="81">
        <v>559.47228634136309</v>
      </c>
      <c r="EQ104" s="81">
        <v>528.03775892493093</v>
      </c>
      <c r="ER104" s="81">
        <v>501.60239839281917</v>
      </c>
      <c r="ES104" s="81">
        <v>477.22574136565453</v>
      </c>
      <c r="ET104" s="81">
        <v>447.08287679372279</v>
      </c>
      <c r="EU104" s="81">
        <v>418.06022293027229</v>
      </c>
      <c r="EV104" s="81">
        <v>212.65329754702228</v>
      </c>
      <c r="EW104" s="81">
        <v>199.13101243029416</v>
      </c>
      <c r="EX104" s="81">
        <v>186.49076211378772</v>
      </c>
      <c r="EY104" s="81">
        <v>176.01258630831029</v>
      </c>
      <c r="EZ104" s="81">
        <v>167.20079946427302</v>
      </c>
      <c r="FA104" s="81">
        <v>159.07524712188487</v>
      </c>
      <c r="FB104" s="81">
        <v>149.02762559790762</v>
      </c>
      <c r="FC104" s="81">
        <v>139.35340764342413</v>
      </c>
      <c r="FD104" s="40">
        <v>0.75744089163993644</v>
      </c>
      <c r="FE104" s="40">
        <v>0.77739518116323569</v>
      </c>
      <c r="FF104" s="40">
        <v>0.77688921621322049</v>
      </c>
      <c r="FG104" s="40">
        <v>0.77514953919332152</v>
      </c>
      <c r="FH104" s="40">
        <v>0.78026734271468612</v>
      </c>
      <c r="FI104" s="40">
        <v>0.79661151219726889</v>
      </c>
      <c r="FJ104" s="40">
        <v>0.79723717704461738</v>
      </c>
      <c r="FK104" s="40">
        <v>0.80222172643824874</v>
      </c>
      <c r="FL104" s="4">
        <v>0.74976983273678832</v>
      </c>
      <c r="FM104" s="4">
        <v>0.77221186262077335</v>
      </c>
      <c r="FN104" s="4">
        <v>0.80971199523571247</v>
      </c>
      <c r="FO104" s="4">
        <v>0.81568488687559071</v>
      </c>
      <c r="FP104" s="4">
        <v>0.82460501214256965</v>
      </c>
      <c r="FQ104" s="4">
        <v>0.83871202659589661</v>
      </c>
      <c r="FR104" s="4">
        <v>0.84505214659034522</v>
      </c>
      <c r="FS104" s="4">
        <v>0.8527894340531198</v>
      </c>
      <c r="FT104" s="38">
        <v>0.73982147316862945</v>
      </c>
      <c r="FU104" s="38">
        <v>0.76260999924244621</v>
      </c>
      <c r="FV104" s="38">
        <v>0.79586277086062274</v>
      </c>
      <c r="FW104" s="38">
        <v>0.79754183357113007</v>
      </c>
      <c r="FX104" s="38">
        <v>0.80417545730294815</v>
      </c>
      <c r="FY104" s="38">
        <v>0.8191043350416356</v>
      </c>
      <c r="FZ104" s="38">
        <v>0.82222808445607865</v>
      </c>
      <c r="GA104" s="38">
        <v>0.82831714416828384</v>
      </c>
    </row>
    <row r="105" spans="1:183" x14ac:dyDescent="0.25">
      <c r="P105" s="81" t="s">
        <v>3770</v>
      </c>
      <c r="Q105" s="81">
        <v>20493.415431835452</v>
      </c>
      <c r="R105" s="81">
        <v>358.43475718050371</v>
      </c>
      <c r="S105" s="81">
        <v>362.2786119073495</v>
      </c>
      <c r="T105" s="81">
        <v>324.17343720918313</v>
      </c>
      <c r="U105" s="81">
        <v>317.17212635709723</v>
      </c>
      <c r="V105" s="81">
        <v>313.96425956072119</v>
      </c>
      <c r="W105" s="81">
        <v>291.63414942366973</v>
      </c>
      <c r="X105" s="81">
        <v>273.78726157428292</v>
      </c>
      <c r="Y105" s="81">
        <v>259.02449931588842</v>
      </c>
      <c r="Z105" s="81">
        <v>0.60321105291894994</v>
      </c>
      <c r="AA105" s="81">
        <v>0.55723427256550406</v>
      </c>
      <c r="AB105" s="81">
        <v>0.50930140639117805</v>
      </c>
      <c r="AC105" s="81">
        <v>0.46440627506417353</v>
      </c>
      <c r="AD105" s="81">
        <v>0.42535207039416739</v>
      </c>
      <c r="AE105" s="81">
        <v>0.3877936210821567</v>
      </c>
      <c r="AF105" s="81">
        <v>0.35183109399601931</v>
      </c>
      <c r="AG105" s="81">
        <v>0.31205645060023979</v>
      </c>
      <c r="AH105" s="81">
        <v>50.669728445191801</v>
      </c>
      <c r="AI105" s="81">
        <v>46.807678895502342</v>
      </c>
      <c r="AJ105" s="81">
        <v>42.781318136858971</v>
      </c>
      <c r="AK105" s="81">
        <v>39.010127105390566</v>
      </c>
      <c r="AL105" s="81">
        <v>35.729573913110066</v>
      </c>
      <c r="AM105" s="81">
        <v>32.574664170901158</v>
      </c>
      <c r="AN105" s="81">
        <v>29.553811895665618</v>
      </c>
      <c r="AO105" s="81">
        <v>26.212741850420144</v>
      </c>
      <c r="AP105" s="81">
        <v>16.889909481730598</v>
      </c>
      <c r="AQ105" s="81">
        <v>15.602559631834115</v>
      </c>
      <c r="AR105" s="81">
        <v>14.260439378952993</v>
      </c>
      <c r="AS105" s="81">
        <v>13.003375701796855</v>
      </c>
      <c r="AT105" s="81">
        <v>11.909857971036686</v>
      </c>
      <c r="AU105" s="81">
        <v>10.858221390300386</v>
      </c>
      <c r="AV105" s="81">
        <v>9.8512706318885392</v>
      </c>
      <c r="AW105" s="81">
        <v>8.7375806168067136</v>
      </c>
      <c r="AX105" s="81">
        <v>14138.467331030472</v>
      </c>
      <c r="AY105" s="81">
        <v>3422.2962308399451</v>
      </c>
      <c r="AZ105" s="81">
        <v>4712.8224436768251</v>
      </c>
      <c r="BA105" s="81">
        <v>1140.7654102799816</v>
      </c>
      <c r="BB105" s="81">
        <v>5715.8427659424224</v>
      </c>
      <c r="BC105" s="81">
        <v>5715.8427659424224</v>
      </c>
      <c r="BD105" s="81">
        <v>5951.2306774497702</v>
      </c>
      <c r="BE105" s="81">
        <v>23038728504.191223</v>
      </c>
      <c r="BF105" s="81">
        <v>7518582688.1872025</v>
      </c>
      <c r="BG105" s="81">
        <v>1791442647.6347852</v>
      </c>
      <c r="BH105" s="81">
        <v>1791442647.6347852</v>
      </c>
      <c r="BI105" s="81">
        <v>0.92785218286733229</v>
      </c>
      <c r="BJ105" s="81">
        <v>0.80757918662778616</v>
      </c>
      <c r="BK105" s="81">
        <v>1.4626841638046661</v>
      </c>
      <c r="BL105" s="81">
        <v>7.4037658465045217E-2</v>
      </c>
      <c r="BM105" s="81">
        <v>5.7376853457678186E-2</v>
      </c>
      <c r="BN105" s="81">
        <v>4.2512931641661186E-2</v>
      </c>
      <c r="BO105" s="81">
        <v>2.9445893016994431E-2</v>
      </c>
      <c r="BP105" s="81">
        <v>1.2672545646740448E-2</v>
      </c>
      <c r="BQ105" s="81">
        <v>7.8960961381227563E-3</v>
      </c>
      <c r="BR105" s="81">
        <v>0</v>
      </c>
      <c r="BS105" s="81">
        <v>0</v>
      </c>
      <c r="BT105" s="81">
        <v>0.11151206232638929</v>
      </c>
      <c r="BU105" s="81">
        <v>8.6953998393605222E-2</v>
      </c>
      <c r="BV105" s="81">
        <v>6.4997897812153121E-2</v>
      </c>
      <c r="BW105" s="81">
        <v>4.5643760582033406E-2</v>
      </c>
      <c r="BX105" s="81">
        <v>2.2049645258319022E-2</v>
      </c>
      <c r="BY105" s="81">
        <v>1.3738843293570776E-2</v>
      </c>
      <c r="BZ105" s="81">
        <v>0</v>
      </c>
      <c r="CA105" s="81">
        <v>0</v>
      </c>
      <c r="CB105" s="81">
        <v>2068.4729459194577</v>
      </c>
      <c r="CC105" s="81">
        <v>2096.630127225214</v>
      </c>
      <c r="CD105" s="81">
        <v>1877.2222714430281</v>
      </c>
      <c r="CE105" s="81">
        <v>1839.9636862138523</v>
      </c>
      <c r="CF105" s="81">
        <v>1823.8126289775184</v>
      </c>
      <c r="CG105" s="81">
        <v>1688.7034538119005</v>
      </c>
      <c r="CH105" s="81">
        <v>1585.4244357064249</v>
      </c>
      <c r="CI105" s="81">
        <v>1502.6727154150585</v>
      </c>
      <c r="CJ105" s="81">
        <v>9748.3188979188872</v>
      </c>
      <c r="CK105" s="81">
        <v>9879.2406259213622</v>
      </c>
      <c r="CL105" s="81">
        <v>8837.1396845803356</v>
      </c>
      <c r="CM105" s="81">
        <v>8609.7176067766541</v>
      </c>
      <c r="CN105" s="81">
        <v>8547.4052433051274</v>
      </c>
      <c r="CO105" s="81">
        <v>7930.8285054417292</v>
      </c>
      <c r="CP105" s="81">
        <v>7472.2550139236273</v>
      </c>
      <c r="CQ105" s="81">
        <v>7113.0973701911926</v>
      </c>
      <c r="CR105" s="81">
        <v>2376.8850203714355</v>
      </c>
      <c r="CS105" s="81">
        <v>2437.5771665134885</v>
      </c>
      <c r="CT105" s="81">
        <v>2192.9345983225376</v>
      </c>
      <c r="CU105" s="81">
        <v>2142.8632715802873</v>
      </c>
      <c r="CV105" s="81">
        <v>2141.1157923744227</v>
      </c>
      <c r="CW105" s="81">
        <v>1984.0435746748376</v>
      </c>
      <c r="CX105" s="81">
        <v>1906.5829156293171</v>
      </c>
      <c r="CY105" s="81">
        <v>1839.2360111397763</v>
      </c>
      <c r="CZ105" s="81">
        <v>14193.676864209781</v>
      </c>
      <c r="DA105" s="81">
        <v>14413.447919660066</v>
      </c>
      <c r="DB105" s="81">
        <v>12907.296554345898</v>
      </c>
      <c r="DC105" s="81">
        <v>12592.544564570791</v>
      </c>
      <c r="DD105" s="81">
        <v>12512.333664657066</v>
      </c>
      <c r="DE105" s="81">
        <v>11603.57553392847</v>
      </c>
      <c r="DF105" s="81">
        <v>10964.262365259368</v>
      </c>
      <c r="DG105" s="81">
        <v>10455.006096746027</v>
      </c>
      <c r="DH105" s="81">
        <v>0.11465364520574552</v>
      </c>
      <c r="DI105" s="81">
        <v>8.9403717167932578E-2</v>
      </c>
      <c r="DJ105" s="81">
        <v>6.6829056511049187E-2</v>
      </c>
      <c r="DK105" s="81">
        <v>4.6929663235095689E-2</v>
      </c>
      <c r="DL105" s="81">
        <v>2.2670840728963824E-2</v>
      </c>
      <c r="DM105" s="81">
        <v>1.4125902002492405E-2</v>
      </c>
      <c r="DN105" s="81">
        <v>0</v>
      </c>
      <c r="DO105" s="81">
        <v>0</v>
      </c>
      <c r="DP105" s="81">
        <v>488.42452857647595</v>
      </c>
      <c r="DQ105" s="81">
        <v>380.85983513539276</v>
      </c>
      <c r="DR105" s="81">
        <v>162.39460732184949</v>
      </c>
      <c r="DS105" s="81">
        <v>114.03908166128255</v>
      </c>
      <c r="DT105" s="81">
        <v>55.0901429713821</v>
      </c>
      <c r="DU105" s="81">
        <v>34.325941866056546</v>
      </c>
      <c r="DV105" s="81">
        <v>0</v>
      </c>
      <c r="DW105" s="81">
        <v>0</v>
      </c>
      <c r="DX105" s="81">
        <v>220.59361337585437</v>
      </c>
      <c r="DY105" s="81">
        <v>172.01275183110226</v>
      </c>
      <c r="DZ105" s="81">
        <v>45.243271257980304</v>
      </c>
      <c r="EA105" s="81">
        <v>31.77138201015979</v>
      </c>
      <c r="EB105" s="81">
        <v>15.34815917350851</v>
      </c>
      <c r="EC105" s="81">
        <v>9.5632356556873592</v>
      </c>
      <c r="ED105" s="81">
        <v>0</v>
      </c>
      <c r="EE105" s="81">
        <v>0</v>
      </c>
      <c r="EF105" s="81">
        <v>20.945539390449433</v>
      </c>
      <c r="EG105" s="81">
        <v>19.252553033638904</v>
      </c>
      <c r="EH105" s="81">
        <v>17.55132335618768</v>
      </c>
      <c r="EI105" s="81">
        <v>15.974591651123575</v>
      </c>
      <c r="EJ105" s="81">
        <v>14.618982136653081</v>
      </c>
      <c r="EK105" s="81">
        <v>13.337274517938573</v>
      </c>
      <c r="EL105" s="81">
        <v>12.110668582865904</v>
      </c>
      <c r="EM105" s="81">
        <v>10.773046038101354</v>
      </c>
      <c r="EN105" s="81">
        <v>1759.4253087977529</v>
      </c>
      <c r="EO105" s="81">
        <v>1617.2144548256674</v>
      </c>
      <c r="EP105" s="81">
        <v>1474.3111619197646</v>
      </c>
      <c r="EQ105" s="81">
        <v>1341.8656986943804</v>
      </c>
      <c r="ER105" s="81">
        <v>1227.9944994788589</v>
      </c>
      <c r="ES105" s="81">
        <v>1120.3310595068401</v>
      </c>
      <c r="ET105" s="81">
        <v>1017.2961609607357</v>
      </c>
      <c r="EU105" s="81">
        <v>904.93586720051383</v>
      </c>
      <c r="EV105" s="81">
        <v>586.47510293258426</v>
      </c>
      <c r="EW105" s="81">
        <v>539.07148494188925</v>
      </c>
      <c r="EX105" s="81">
        <v>491.43705397325516</v>
      </c>
      <c r="EY105" s="81">
        <v>447.28856623146015</v>
      </c>
      <c r="EZ105" s="81">
        <v>409.33149982628618</v>
      </c>
      <c r="FA105" s="81">
        <v>373.44368650227989</v>
      </c>
      <c r="FB105" s="81">
        <v>339.09872032024532</v>
      </c>
      <c r="FC105" s="81">
        <v>301.6452890668379</v>
      </c>
      <c r="FD105" s="40">
        <v>0.31930851528529941</v>
      </c>
      <c r="FE105" s="40">
        <v>0.30889627123272656</v>
      </c>
      <c r="FF105" s="40">
        <v>0.37998119592327972</v>
      </c>
      <c r="FG105" s="40">
        <v>0.39489721136617034</v>
      </c>
      <c r="FH105" s="40">
        <v>0.3986588484358316</v>
      </c>
      <c r="FI105" s="40">
        <v>0.44173452709052691</v>
      </c>
      <c r="FJ105" s="40">
        <v>0.47203951696687735</v>
      </c>
      <c r="FK105" s="40">
        <v>0.49620352443222393</v>
      </c>
      <c r="FL105" s="4">
        <v>0.57253969983038644</v>
      </c>
      <c r="FM105" s="4">
        <v>0.57331957939018374</v>
      </c>
      <c r="FN105" s="4">
        <v>0.6214582729759659</v>
      </c>
      <c r="FO105" s="4">
        <v>0.63425365217146668</v>
      </c>
      <c r="FP105" s="4">
        <v>0.64078054395222794</v>
      </c>
      <c r="FQ105" s="4">
        <v>0.66756726209133621</v>
      </c>
      <c r="FR105" s="4">
        <v>0.68763469313874537</v>
      </c>
      <c r="FS105" s="4">
        <v>0.70370070596917589</v>
      </c>
      <c r="FT105" s="38">
        <v>0.43864375861234151</v>
      </c>
      <c r="FU105" s="38">
        <v>0.43406557358252901</v>
      </c>
      <c r="FV105" s="38">
        <v>0.4962054847454519</v>
      </c>
      <c r="FW105" s="38">
        <v>0.51000798784745371</v>
      </c>
      <c r="FX105" s="38">
        <v>0.51497496396678111</v>
      </c>
      <c r="FY105" s="38">
        <v>0.55021353459966715</v>
      </c>
      <c r="FZ105" s="38">
        <v>0.57555055703012792</v>
      </c>
      <c r="GA105" s="38">
        <v>0.59583895488083083</v>
      </c>
    </row>
    <row r="106" spans="1:183" x14ac:dyDescent="0.25">
      <c r="P106" s="81" t="s">
        <v>3767</v>
      </c>
      <c r="Q106" s="81">
        <v>12271.307306367056</v>
      </c>
      <c r="R106" s="81">
        <v>174.2210258306784</v>
      </c>
      <c r="S106" s="81">
        <v>171.48175710442092</v>
      </c>
      <c r="T106" s="81">
        <v>151.98832561074295</v>
      </c>
      <c r="U106" s="81">
        <v>139.52981317146762</v>
      </c>
      <c r="V106" s="81">
        <v>142.56591173326089</v>
      </c>
      <c r="W106" s="81">
        <v>141.28575621920334</v>
      </c>
      <c r="X106" s="81">
        <v>136.75081528025547</v>
      </c>
      <c r="Y106" s="81">
        <v>127.0580280621016</v>
      </c>
      <c r="Z106" s="81">
        <v>0.22081040765976803</v>
      </c>
      <c r="AA106" s="81">
        <v>0.19667297853747348</v>
      </c>
      <c r="AB106" s="81">
        <v>0.17245769684345535</v>
      </c>
      <c r="AC106" s="81">
        <v>0.15624279240328512</v>
      </c>
      <c r="AD106" s="81">
        <v>0.14456572464652004</v>
      </c>
      <c r="AE106" s="81">
        <v>0.1396273837632247</v>
      </c>
      <c r="AF106" s="81">
        <v>0.13705397434877306</v>
      </c>
      <c r="AG106" s="81">
        <v>0.13965903500173674</v>
      </c>
      <c r="AH106" s="81">
        <v>18.548074243420508</v>
      </c>
      <c r="AI106" s="81">
        <v>16.520530197147771</v>
      </c>
      <c r="AJ106" s="81">
        <v>14.48644653485025</v>
      </c>
      <c r="AK106" s="81">
        <v>13.124394561875951</v>
      </c>
      <c r="AL106" s="81">
        <v>12.143520870307682</v>
      </c>
      <c r="AM106" s="81">
        <v>11.728700236110875</v>
      </c>
      <c r="AN106" s="81">
        <v>11.512533845296939</v>
      </c>
      <c r="AO106" s="81">
        <v>11.731358940145887</v>
      </c>
      <c r="AP106" s="81">
        <v>6.1826914144735019</v>
      </c>
      <c r="AQ106" s="81">
        <v>5.5068433990492567</v>
      </c>
      <c r="AR106" s="81">
        <v>4.8288155116167495</v>
      </c>
      <c r="AS106" s="81">
        <v>4.3747981872919839</v>
      </c>
      <c r="AT106" s="81">
        <v>4.0478402901025605</v>
      </c>
      <c r="AU106" s="81">
        <v>3.9095667453702929</v>
      </c>
      <c r="AV106" s="81">
        <v>3.8375112817656452</v>
      </c>
      <c r="AW106" s="81">
        <v>3.9104529800486283</v>
      </c>
      <c r="AX106" s="81">
        <v>4114.8579724361862</v>
      </c>
      <c r="AY106" s="81">
        <v>2049.2459581344337</v>
      </c>
      <c r="AZ106" s="81">
        <v>1371.6193241453957</v>
      </c>
      <c r="BA106" s="81">
        <v>683.08198604481117</v>
      </c>
      <c r="BB106" s="81">
        <v>5459.02044926298</v>
      </c>
      <c r="BC106" s="81">
        <v>5459.02044926298</v>
      </c>
      <c r="BD106" s="81">
        <v>4754.229382232149</v>
      </c>
      <c r="BE106" s="81">
        <v>14299195834.210644</v>
      </c>
      <c r="BF106" s="81">
        <v>4389184761.6182938</v>
      </c>
      <c r="BG106" s="81">
        <v>717117675.78732383</v>
      </c>
      <c r="BH106" s="81">
        <v>717117675.78732383</v>
      </c>
      <c r="BI106" s="81">
        <v>0.95224409271224519</v>
      </c>
      <c r="BJ106" s="81">
        <v>0.85956224007920823</v>
      </c>
      <c r="BK106" s="81">
        <v>1.3969633329663975</v>
      </c>
      <c r="BL106" s="81">
        <v>4.6995959115453834E-4</v>
      </c>
      <c r="BM106" s="81">
        <v>3.4966090851854215E-4</v>
      </c>
      <c r="BN106" s="81">
        <v>2.4360297998783897E-4</v>
      </c>
      <c r="BO106" s="81">
        <v>1.5178580556243047E-4</v>
      </c>
      <c r="BP106" s="81">
        <v>0</v>
      </c>
      <c r="BQ106" s="81">
        <v>0</v>
      </c>
      <c r="BR106" s="81">
        <v>0</v>
      </c>
      <c r="BS106" s="81">
        <v>0</v>
      </c>
      <c r="BT106" s="81">
        <v>5.4330183468558415E-4</v>
      </c>
      <c r="BU106" s="81">
        <v>4.0422925011330012E-4</v>
      </c>
      <c r="BV106" s="81">
        <v>2.8161984232969399E-4</v>
      </c>
      <c r="BW106" s="81">
        <v>1.7547361133476771E-4</v>
      </c>
      <c r="BX106" s="81">
        <v>0</v>
      </c>
      <c r="BY106" s="81">
        <v>0</v>
      </c>
      <c r="BZ106" s="81">
        <v>0</v>
      </c>
      <c r="CA106" s="81">
        <v>0</v>
      </c>
      <c r="CB106" s="81">
        <v>967.82990325172989</v>
      </c>
      <c r="CC106" s="81">
        <v>951.67195827165733</v>
      </c>
      <c r="CD106" s="81">
        <v>843.00368863188078</v>
      </c>
      <c r="CE106" s="81">
        <v>774.56051421405141</v>
      </c>
      <c r="CF106" s="81">
        <v>791.73506035536809</v>
      </c>
      <c r="CG106" s="81">
        <v>784.37142809400939</v>
      </c>
      <c r="CH106" s="81">
        <v>758.87541425887537</v>
      </c>
      <c r="CI106" s="81">
        <v>704.26857892317889</v>
      </c>
      <c r="CJ106" s="81">
        <v>5462.6164386902565</v>
      </c>
      <c r="CK106" s="81">
        <v>5381.8227694577381</v>
      </c>
      <c r="CL106" s="81">
        <v>4768.1333156933124</v>
      </c>
      <c r="CM106" s="81">
        <v>4374.4532759145386</v>
      </c>
      <c r="CN106" s="81">
        <v>4466.9079776537501</v>
      </c>
      <c r="CO106" s="81">
        <v>4422.881130562364</v>
      </c>
      <c r="CP106" s="81">
        <v>4283.8616945446201</v>
      </c>
      <c r="CQ106" s="81">
        <v>3973.7563247198477</v>
      </c>
      <c r="CR106" s="81">
        <v>867.91232497633189</v>
      </c>
      <c r="CS106" s="81">
        <v>849.59034304225827</v>
      </c>
      <c r="CT106" s="81">
        <v>741.04570600426052</v>
      </c>
      <c r="CU106" s="81">
        <v>694.91926826178951</v>
      </c>
      <c r="CV106" s="81">
        <v>713.88149657853421</v>
      </c>
      <c r="CW106" s="81">
        <v>715.45109517835897</v>
      </c>
      <c r="CX106" s="81">
        <v>701.65417722073482</v>
      </c>
      <c r="CY106" s="81">
        <v>639.30280250624787</v>
      </c>
      <c r="CZ106" s="81">
        <v>7298.3586669183169</v>
      </c>
      <c r="DA106" s="81">
        <v>7183.0850707716554</v>
      </c>
      <c r="DB106" s="81">
        <v>6352.1827103294536</v>
      </c>
      <c r="DC106" s="81">
        <v>5843.9330583903784</v>
      </c>
      <c r="DD106" s="81">
        <v>5972.5245345876529</v>
      </c>
      <c r="DE106" s="81">
        <v>5922.7036538347311</v>
      </c>
      <c r="DF106" s="81">
        <v>5744.391286024229</v>
      </c>
      <c r="DG106" s="81">
        <v>5317.3277061492763</v>
      </c>
      <c r="DH106" s="81">
        <v>5.5860805095100734E-4</v>
      </c>
      <c r="DI106" s="81">
        <v>4.1561743238701656E-4</v>
      </c>
      <c r="DJ106" s="81">
        <v>2.8955380083330788E-4</v>
      </c>
      <c r="DK106" s="81">
        <v>1.8041715628988296E-4</v>
      </c>
      <c r="DL106" s="81">
        <v>0</v>
      </c>
      <c r="DM106" s="81">
        <v>0</v>
      </c>
      <c r="DN106" s="81">
        <v>0</v>
      </c>
      <c r="DO106" s="81">
        <v>0</v>
      </c>
      <c r="DP106" s="81">
        <v>2.3796702970512911</v>
      </c>
      <c r="DQ106" s="81">
        <v>1.7705302619686905</v>
      </c>
      <c r="DR106" s="81">
        <v>0.7036157360249381</v>
      </c>
      <c r="DS106" s="81">
        <v>0.43841368978441558</v>
      </c>
      <c r="DT106" s="81">
        <v>0</v>
      </c>
      <c r="DU106" s="81">
        <v>0</v>
      </c>
      <c r="DV106" s="81">
        <v>0</v>
      </c>
      <c r="DW106" s="81">
        <v>0</v>
      </c>
      <c r="DX106" s="81">
        <v>1.0747618900297382</v>
      </c>
      <c r="DY106" s="81">
        <v>0.79964793991261984</v>
      </c>
      <c r="DZ106" s="81">
        <v>0.19602792316414941</v>
      </c>
      <c r="EA106" s="81">
        <v>0.12214241480825078</v>
      </c>
      <c r="EB106" s="81">
        <v>0</v>
      </c>
      <c r="EC106" s="81">
        <v>0</v>
      </c>
      <c r="ED106" s="81">
        <v>0</v>
      </c>
      <c r="EE106" s="81">
        <v>0</v>
      </c>
      <c r="EF106" s="81">
        <v>9.3497780327363493</v>
      </c>
      <c r="EG106" s="81">
        <v>8.3315824376093541</v>
      </c>
      <c r="EH106" s="81">
        <v>7.2977989263474754</v>
      </c>
      <c r="EI106" s="81">
        <v>6.6036254318228771</v>
      </c>
      <c r="EJ106" s="81">
        <v>6.0910321081008876</v>
      </c>
      <c r="EK106" s="81">
        <v>5.8798611892324715</v>
      </c>
      <c r="EL106" s="81">
        <v>5.7656240725845791</v>
      </c>
      <c r="EM106" s="81">
        <v>5.8691689758556791</v>
      </c>
      <c r="EN106" s="81">
        <v>785.38135474985302</v>
      </c>
      <c r="EO106" s="81">
        <v>699.85292475918573</v>
      </c>
      <c r="EP106" s="81">
        <v>613.01510981318825</v>
      </c>
      <c r="EQ106" s="81">
        <v>554.70453627312168</v>
      </c>
      <c r="ER106" s="81">
        <v>511.64669708047455</v>
      </c>
      <c r="ES106" s="81">
        <v>493.90833989552766</v>
      </c>
      <c r="ET106" s="81">
        <v>484.31242209710467</v>
      </c>
      <c r="EU106" s="81">
        <v>493.01019397187724</v>
      </c>
      <c r="EV106" s="81">
        <v>261.79378491661777</v>
      </c>
      <c r="EW106" s="81">
        <v>233.28430825306179</v>
      </c>
      <c r="EX106" s="81">
        <v>204.33836993772934</v>
      </c>
      <c r="EY106" s="81">
        <v>184.90151209104053</v>
      </c>
      <c r="EZ106" s="81">
        <v>170.54889902682484</v>
      </c>
      <c r="FA106" s="81">
        <v>164.63611329850923</v>
      </c>
      <c r="FB106" s="81">
        <v>161.43747403236824</v>
      </c>
      <c r="FC106" s="81">
        <v>164.33673132395904</v>
      </c>
      <c r="FD106" s="40">
        <v>0.41357582642459728</v>
      </c>
      <c r="FE106" s="40">
        <v>0.42271101485926743</v>
      </c>
      <c r="FF106" s="40">
        <v>0.48868779279639657</v>
      </c>
      <c r="FG106" s="40">
        <v>0.52912660104206777</v>
      </c>
      <c r="FH106" s="40">
        <v>0.51888307302194103</v>
      </c>
      <c r="FI106" s="40">
        <v>0.52284719043220695</v>
      </c>
      <c r="FJ106" s="40">
        <v>0.53704348982678718</v>
      </c>
      <c r="FK106" s="40">
        <v>0.5711267120526341</v>
      </c>
      <c r="FL106" s="4">
        <v>0.56592004448769739</v>
      </c>
      <c r="FM106" s="4">
        <v>0.57662388178566226</v>
      </c>
      <c r="FN106" s="4">
        <v>0.62552714103950391</v>
      </c>
      <c r="FO106" s="4">
        <v>0.65574276530278608</v>
      </c>
      <c r="FP106" s="4">
        <v>0.65120338125120203</v>
      </c>
      <c r="FQ106" s="4">
        <v>0.65480605514586643</v>
      </c>
      <c r="FR106" s="4">
        <v>0.66482927371142564</v>
      </c>
      <c r="FS106" s="4">
        <v>0.68718234406102385</v>
      </c>
      <c r="FT106" s="38">
        <v>0.47876655924731892</v>
      </c>
      <c r="FU106" s="38">
        <v>0.48857681512622958</v>
      </c>
      <c r="FV106" s="38">
        <v>0.54727639357853897</v>
      </c>
      <c r="FW106" s="38">
        <v>0.58334534437532859</v>
      </c>
      <c r="FX106" s="38">
        <v>0.57553833181256786</v>
      </c>
      <c r="FY106" s="38">
        <v>0.57934807687228407</v>
      </c>
      <c r="FZ106" s="38">
        <v>0.59176102138757836</v>
      </c>
      <c r="GA106" s="38">
        <v>0.62082914011232215</v>
      </c>
    </row>
    <row r="107" spans="1:183" x14ac:dyDescent="0.25">
      <c r="P107" s="81" t="s">
        <v>3768</v>
      </c>
      <c r="Q107" s="81">
        <v>6562.0194181430843</v>
      </c>
      <c r="R107" s="81">
        <v>112.55617503774621</v>
      </c>
      <c r="S107" s="81">
        <v>99.920624139001603</v>
      </c>
      <c r="T107" s="81">
        <v>86.466640182795771</v>
      </c>
      <c r="U107" s="81">
        <v>76.585002311312223</v>
      </c>
      <c r="V107" s="81">
        <v>73.892250777576464</v>
      </c>
      <c r="W107" s="81">
        <v>72.989528905138101</v>
      </c>
      <c r="X107" s="81">
        <v>69.117482398533056</v>
      </c>
      <c r="Y107" s="81">
        <v>68.895901786034528</v>
      </c>
      <c r="Z107" s="81">
        <v>0.19052759992054824</v>
      </c>
      <c r="AA107" s="81">
        <v>0.15490062626628576</v>
      </c>
      <c r="AB107" s="81">
        <v>0.12912450786596591</v>
      </c>
      <c r="AC107" s="81">
        <v>0.10830240583863252</v>
      </c>
      <c r="AD107" s="81">
        <v>9.151510463032593E-2</v>
      </c>
      <c r="AE107" s="81">
        <v>8.1330205924935589E-2</v>
      </c>
      <c r="AF107" s="81">
        <v>7.4789449247747913E-2</v>
      </c>
      <c r="AG107" s="81">
        <v>6.9510257929616376E-2</v>
      </c>
      <c r="AH107" s="81">
        <v>16.004318393326056</v>
      </c>
      <c r="AI107" s="81">
        <v>13.011652606368004</v>
      </c>
      <c r="AJ107" s="81">
        <v>10.846458660741137</v>
      </c>
      <c r="AK107" s="81">
        <v>9.0974020904451312</v>
      </c>
      <c r="AL107" s="81">
        <v>7.687268788947379</v>
      </c>
      <c r="AM107" s="81">
        <v>6.8317372976945894</v>
      </c>
      <c r="AN107" s="81">
        <v>6.2823137368108242</v>
      </c>
      <c r="AO107" s="81">
        <v>5.8388616660877748</v>
      </c>
      <c r="AP107" s="81">
        <v>5.3347727977753516</v>
      </c>
      <c r="AQ107" s="81">
        <v>4.3372175354560021</v>
      </c>
      <c r="AR107" s="81">
        <v>3.6154862202470457</v>
      </c>
      <c r="AS107" s="81">
        <v>3.0324673634817105</v>
      </c>
      <c r="AT107" s="81">
        <v>2.5624229296491263</v>
      </c>
      <c r="AU107" s="81">
        <v>2.2772457658981966</v>
      </c>
      <c r="AV107" s="81">
        <v>2.0941045789369417</v>
      </c>
      <c r="AW107" s="81">
        <v>1.9462872220292582</v>
      </c>
      <c r="AX107" s="81">
        <v>5240.824200306075</v>
      </c>
      <c r="AY107" s="81">
        <v>1095.8238950508735</v>
      </c>
      <c r="AZ107" s="81">
        <v>1746.941400102025</v>
      </c>
      <c r="BA107" s="81">
        <v>365.27463168362453</v>
      </c>
      <c r="BB107" s="81">
        <v>6358.8215391786962</v>
      </c>
      <c r="BC107" s="81">
        <v>6358.8215391786962</v>
      </c>
      <c r="BD107" s="81">
        <v>4092.8135939752674</v>
      </c>
      <c r="BE107" s="81">
        <v>7747229441.3153429</v>
      </c>
      <c r="BF107" s="81">
        <v>2379283456.3073931</v>
      </c>
      <c r="BG107" s="81">
        <v>249852482.39137179</v>
      </c>
      <c r="BH107" s="81">
        <v>249852482.39137179</v>
      </c>
      <c r="BI107" s="81">
        <v>0.96875704353475434</v>
      </c>
      <c r="BJ107" s="81">
        <v>0.90496783421741556</v>
      </c>
      <c r="BK107" s="81">
        <v>1.6272224318758284</v>
      </c>
      <c r="BL107" s="81">
        <v>4.6210538389211839E-2</v>
      </c>
      <c r="BM107" s="81">
        <v>3.7005174518826539E-2</v>
      </c>
      <c r="BN107" s="81">
        <v>2.8688688597212911E-2</v>
      </c>
      <c r="BO107" s="81">
        <v>2.1261080624371091E-2</v>
      </c>
      <c r="BP107" s="81">
        <v>1.4510825897839658E-2</v>
      </c>
      <c r="BQ107" s="81">
        <v>9.0415043296667563E-3</v>
      </c>
      <c r="BR107" s="81">
        <v>0</v>
      </c>
      <c r="BS107" s="81">
        <v>0</v>
      </c>
      <c r="BT107" s="81">
        <v>8.0791558389308946E-2</v>
      </c>
      <c r="BU107" s="81">
        <v>6.4750370867875315E-2</v>
      </c>
      <c r="BV107" s="81">
        <v>5.0252932110363739E-2</v>
      </c>
      <c r="BW107" s="81">
        <v>3.7299242116774496E-2</v>
      </c>
      <c r="BX107" s="81">
        <v>2.5662311958586724E-2</v>
      </c>
      <c r="BY107" s="81">
        <v>1.5989848290948381E-2</v>
      </c>
      <c r="BZ107" s="81">
        <v>0</v>
      </c>
      <c r="CA107" s="81">
        <v>0</v>
      </c>
      <c r="CB107" s="81">
        <v>602.34882554364196</v>
      </c>
      <c r="CC107" s="81">
        <v>531.42395797422193</v>
      </c>
      <c r="CD107" s="81">
        <v>460.05068524703199</v>
      </c>
      <c r="CE107" s="81">
        <v>408.04766739718838</v>
      </c>
      <c r="CF107" s="81">
        <v>393.65940557297017</v>
      </c>
      <c r="CG107" s="81">
        <v>388.24686955220534</v>
      </c>
      <c r="CH107" s="81">
        <v>367.3168393606897</v>
      </c>
      <c r="CI107" s="81">
        <v>366.67038523568823</v>
      </c>
      <c r="CJ107" s="81">
        <v>3112.2335286614293</v>
      </c>
      <c r="CK107" s="81">
        <v>2771.5684207451222</v>
      </c>
      <c r="CL107" s="81">
        <v>2393.3671401742458</v>
      </c>
      <c r="CM107" s="81">
        <v>2105.0462177979102</v>
      </c>
      <c r="CN107" s="81">
        <v>2028.2262873140969</v>
      </c>
      <c r="CO107" s="81">
        <v>2003.6663147482489</v>
      </c>
      <c r="CP107" s="81">
        <v>1891.895402533738</v>
      </c>
      <c r="CQ107" s="81">
        <v>1883.5878493984671</v>
      </c>
      <c r="CR107" s="81">
        <v>328.08648643799495</v>
      </c>
      <c r="CS107" s="81">
        <v>287.39102674734983</v>
      </c>
      <c r="CT107" s="81">
        <v>250.84894433852176</v>
      </c>
      <c r="CU107" s="81">
        <v>216.69756614781213</v>
      </c>
      <c r="CV107" s="81">
        <v>203.57048809504812</v>
      </c>
      <c r="CW107" s="81">
        <v>199.13826533401098</v>
      </c>
      <c r="CX107" s="81">
        <v>186.48236355423998</v>
      </c>
      <c r="CY107" s="81">
        <v>188.30012902502082</v>
      </c>
      <c r="CZ107" s="81">
        <v>4042.6688406430667</v>
      </c>
      <c r="DA107" s="81">
        <v>3590.3834054666931</v>
      </c>
      <c r="DB107" s="81">
        <v>3104.2667697598004</v>
      </c>
      <c r="DC107" s="81">
        <v>2729.7914513429105</v>
      </c>
      <c r="DD107" s="81">
        <v>2625.4561809821153</v>
      </c>
      <c r="DE107" s="81">
        <v>2591.0514496344649</v>
      </c>
      <c r="DF107" s="81">
        <v>2445.6946054486675</v>
      </c>
      <c r="DG107" s="81">
        <v>2438.5583636591759</v>
      </c>
      <c r="DH107" s="81">
        <v>8.3067665308482114E-2</v>
      </c>
      <c r="DI107" s="81">
        <v>6.65745560932825E-2</v>
      </c>
      <c r="DJ107" s="81">
        <v>5.1668687032851719E-2</v>
      </c>
      <c r="DK107" s="81">
        <v>3.8350058127190015E-2</v>
      </c>
      <c r="DL107" s="81">
        <v>2.6385285583250085E-2</v>
      </c>
      <c r="DM107" s="81">
        <v>1.6440323625960273E-2</v>
      </c>
      <c r="DN107" s="81">
        <v>0</v>
      </c>
      <c r="DO107" s="81">
        <v>0</v>
      </c>
      <c r="DP107" s="81">
        <v>353.86825421413374</v>
      </c>
      <c r="DQ107" s="81">
        <v>283.60760895738343</v>
      </c>
      <c r="DR107" s="81">
        <v>125.5549094898297</v>
      </c>
      <c r="DS107" s="81">
        <v>93.190641249071746</v>
      </c>
      <c r="DT107" s="81">
        <v>64.116243967297706</v>
      </c>
      <c r="DU107" s="81">
        <v>39.949986411083472</v>
      </c>
      <c r="DV107" s="81">
        <v>0</v>
      </c>
      <c r="DW107" s="81">
        <v>0</v>
      </c>
      <c r="DX107" s="81">
        <v>159.82218805351957</v>
      </c>
      <c r="DY107" s="81">
        <v>128.08944592347552</v>
      </c>
      <c r="DZ107" s="81">
        <v>34.979701121240616</v>
      </c>
      <c r="EA107" s="81">
        <v>25.962989352107641</v>
      </c>
      <c r="EB107" s="81">
        <v>17.862838339860303</v>
      </c>
      <c r="EC107" s="81">
        <v>11.130099094775106</v>
      </c>
      <c r="ED107" s="81">
        <v>0</v>
      </c>
      <c r="EE107" s="81">
        <v>0</v>
      </c>
      <c r="EF107" s="81">
        <v>6.7310047547335561</v>
      </c>
      <c r="EG107" s="81">
        <v>5.4650603953130146</v>
      </c>
      <c r="EH107" s="81">
        <v>4.5594843812401802</v>
      </c>
      <c r="EI107" s="81">
        <v>3.8272333605222237</v>
      </c>
      <c r="EJ107" s="81">
        <v>3.2308864205592385</v>
      </c>
      <c r="EK107" s="81">
        <v>2.8652628427775775</v>
      </c>
      <c r="EL107" s="81">
        <v>2.6302143378405445</v>
      </c>
      <c r="EM107" s="81">
        <v>2.4414607472047649</v>
      </c>
      <c r="EN107" s="81">
        <v>565.40439939761859</v>
      </c>
      <c r="EO107" s="81">
        <v>459.06507320629322</v>
      </c>
      <c r="EP107" s="81">
        <v>382.99668802417523</v>
      </c>
      <c r="EQ107" s="81">
        <v>321.48760228386675</v>
      </c>
      <c r="ER107" s="81">
        <v>271.394459326976</v>
      </c>
      <c r="ES107" s="81">
        <v>240.68207879331655</v>
      </c>
      <c r="ET107" s="81">
        <v>220.93800437860574</v>
      </c>
      <c r="EU107" s="81">
        <v>205.08270276520028</v>
      </c>
      <c r="EV107" s="81">
        <v>188.46813313253955</v>
      </c>
      <c r="EW107" s="81">
        <v>153.02169106876445</v>
      </c>
      <c r="EX107" s="81">
        <v>127.66556267472504</v>
      </c>
      <c r="EY107" s="81">
        <v>107.16253409462227</v>
      </c>
      <c r="EZ107" s="81">
        <v>90.464819775658682</v>
      </c>
      <c r="FA107" s="81">
        <v>80.227359597772178</v>
      </c>
      <c r="FB107" s="81">
        <v>73.646001459535256</v>
      </c>
      <c r="FC107" s="81">
        <v>68.360900921733418</v>
      </c>
      <c r="FD107" s="40">
        <v>0.39431821780948689</v>
      </c>
      <c r="FE107" s="40">
        <v>0.46106038441066688</v>
      </c>
      <c r="FF107" s="40">
        <v>0.53308666927678428</v>
      </c>
      <c r="FG107" s="40">
        <v>0.58880040465552208</v>
      </c>
      <c r="FH107" s="40">
        <v>0.60435637001039988</v>
      </c>
      <c r="FI107" s="40">
        <v>0.60948787404617299</v>
      </c>
      <c r="FJ107" s="40">
        <v>0.6311801969811679</v>
      </c>
      <c r="FK107" s="40">
        <v>0.63224408003973087</v>
      </c>
      <c r="FL107" s="4">
        <v>0.61910995250756107</v>
      </c>
      <c r="FM107" s="4">
        <v>0.66698513960759875</v>
      </c>
      <c r="FN107" s="4">
        <v>0.72200494329436338</v>
      </c>
      <c r="FO107" s="4">
        <v>0.75782617422066667</v>
      </c>
      <c r="FP107" s="4">
        <v>0.77188670780043955</v>
      </c>
      <c r="FQ107" s="4">
        <v>0.77873513907644565</v>
      </c>
      <c r="FR107" s="4">
        <v>0.79446440763823845</v>
      </c>
      <c r="FS107" s="4">
        <v>0.79622607778678645</v>
      </c>
      <c r="FT107" s="38">
        <v>0.50058052362103223</v>
      </c>
      <c r="FU107" s="38">
        <v>0.55897960915888634</v>
      </c>
      <c r="FV107" s="38">
        <v>0.62724855585127015</v>
      </c>
      <c r="FW107" s="38">
        <v>0.67295349818154071</v>
      </c>
      <c r="FX107" s="38">
        <v>0.68759220124666787</v>
      </c>
      <c r="FY107" s="38">
        <v>0.69342154108090248</v>
      </c>
      <c r="FZ107" s="38">
        <v>0.71192546289784098</v>
      </c>
      <c r="GA107" s="38">
        <v>0.71333367545886162</v>
      </c>
    </row>
  </sheetData>
  <sortState xmlns:xlrd2="http://schemas.microsoft.com/office/spreadsheetml/2017/richdata2" ref="A2:GA100">
    <sortCondition ref="A1:A100"/>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FEA7-8379-4269-926C-310603882EA3}">
  <dimension ref="A1:AC37"/>
  <sheetViews>
    <sheetView topLeftCell="B1" workbookViewId="0">
      <selection activeCell="S34" sqref="S34"/>
    </sheetView>
  </sheetViews>
  <sheetFormatPr defaultRowHeight="15" x14ac:dyDescent="0.25"/>
  <cols>
    <col min="1" max="1" width="14.5703125" customWidth="1"/>
    <col min="2" max="2" width="43.42578125" customWidth="1"/>
    <col min="3" max="18" width="9.140625" style="3"/>
    <col min="20" max="20" width="16.140625" bestFit="1" customWidth="1"/>
    <col min="21" max="21" width="29.28515625" customWidth="1"/>
  </cols>
  <sheetData>
    <row r="1" spans="1:29" x14ac:dyDescent="0.25">
      <c r="A1" t="s">
        <v>3707</v>
      </c>
      <c r="B1" s="57">
        <v>2018</v>
      </c>
      <c r="C1" s="3" t="s">
        <v>3751</v>
      </c>
      <c r="D1" s="3" t="s">
        <v>3752</v>
      </c>
      <c r="E1" s="3" t="s">
        <v>3753</v>
      </c>
      <c r="F1" s="3" t="s">
        <v>3754</v>
      </c>
      <c r="G1" s="3" t="s">
        <v>3755</v>
      </c>
      <c r="H1" s="3" t="s">
        <v>3756</v>
      </c>
      <c r="I1" s="3" t="s">
        <v>3757</v>
      </c>
      <c r="J1" s="3" t="s">
        <v>3758</v>
      </c>
      <c r="K1" s="3" t="s">
        <v>3750</v>
      </c>
      <c r="L1" s="3" t="s">
        <v>3759</v>
      </c>
      <c r="M1" s="3" t="s">
        <v>3760</v>
      </c>
      <c r="N1" s="3" t="s">
        <v>3761</v>
      </c>
      <c r="O1" s="3" t="s">
        <v>3762</v>
      </c>
      <c r="P1" s="3" t="s">
        <v>3763</v>
      </c>
      <c r="Q1" s="3" t="s">
        <v>3764</v>
      </c>
      <c r="R1" s="3" t="s">
        <v>3765</v>
      </c>
      <c r="V1" s="3">
        <v>2022</v>
      </c>
      <c r="W1" s="3">
        <v>2024</v>
      </c>
      <c r="X1" s="3">
        <v>2026</v>
      </c>
      <c r="Y1" s="3">
        <v>2028</v>
      </c>
      <c r="Z1" s="3">
        <v>2030</v>
      </c>
      <c r="AA1" s="3">
        <v>2032</v>
      </c>
      <c r="AB1" s="3">
        <v>2034</v>
      </c>
      <c r="AC1" s="3">
        <v>2036</v>
      </c>
    </row>
    <row r="2" spans="1:29" x14ac:dyDescent="0.25">
      <c r="A2" t="s">
        <v>3708</v>
      </c>
      <c r="B2" t="s">
        <v>3749</v>
      </c>
      <c r="C2" s="58">
        <f>Analysis!$Q$101</f>
        <v>18708.564446171498</v>
      </c>
      <c r="D2" s="58">
        <f>Analysis!$Q$101</f>
        <v>18708.564446171498</v>
      </c>
      <c r="E2" s="58">
        <f>Analysis!$Q$101</f>
        <v>18708.564446171498</v>
      </c>
      <c r="F2" s="58">
        <f>Analysis!$Q$101</f>
        <v>18708.564446171498</v>
      </c>
      <c r="G2" s="58">
        <f>Analysis!$Q$101</f>
        <v>18708.564446171498</v>
      </c>
      <c r="H2" s="58">
        <f>Analysis!$Q$101</f>
        <v>18708.564446171498</v>
      </c>
      <c r="I2" s="58">
        <f>Analysis!$Q$101</f>
        <v>18708.564446171498</v>
      </c>
      <c r="J2" s="58">
        <f>Analysis!$Q$101</f>
        <v>18708.564446171498</v>
      </c>
      <c r="K2" s="58"/>
      <c r="L2" s="58"/>
      <c r="M2" s="58"/>
      <c r="N2" s="58"/>
      <c r="O2" s="58"/>
      <c r="P2" s="58"/>
      <c r="Q2" s="58"/>
      <c r="R2" s="58"/>
      <c r="T2" s="11" t="s">
        <v>3773</v>
      </c>
      <c r="U2" t="s">
        <v>3651</v>
      </c>
      <c r="V2" s="40">
        <f>Analysis!FD101</f>
        <v>0.37741279481693907</v>
      </c>
      <c r="W2" s="40">
        <f>Analysis!FE101</f>
        <v>0.39265160796767368</v>
      </c>
      <c r="X2" s="40">
        <f>Analysis!FF101</f>
        <v>0.45476917874213685</v>
      </c>
      <c r="Y2" s="40">
        <f>Analysis!FG101</f>
        <v>0.48441253532782336</v>
      </c>
      <c r="Z2" s="40">
        <f>Analysis!FH101</f>
        <v>0.48037212691648584</v>
      </c>
      <c r="AA2" s="40">
        <f>Analysis!FI101</f>
        <v>0.49269508507454385</v>
      </c>
      <c r="AB2" s="40">
        <f>Analysis!FJ101</f>
        <v>0.50556588568665806</v>
      </c>
      <c r="AC2" s="40">
        <f>Analysis!FK101</f>
        <v>0.52644345703540452</v>
      </c>
    </row>
    <row r="3" spans="1:29" x14ac:dyDescent="0.25">
      <c r="A3" t="s">
        <v>3903</v>
      </c>
      <c r="B3" t="s">
        <v>3710</v>
      </c>
      <c r="C3" s="58">
        <f>Analysis!R101</f>
        <v>231.68533558955605</v>
      </c>
      <c r="D3" s="58">
        <f>Analysis!S101</f>
        <v>225.50269567254367</v>
      </c>
      <c r="E3" s="58">
        <f>Analysis!T101</f>
        <v>201.82296884354542</v>
      </c>
      <c r="F3" s="58">
        <f>Analysis!U101</f>
        <v>189.72329922051455</v>
      </c>
      <c r="G3" s="58">
        <f>Analysis!V101</f>
        <v>190.78091476498031</v>
      </c>
      <c r="H3" s="58">
        <f>Analysis!W101</f>
        <v>185.83832450528183</v>
      </c>
      <c r="I3" s="58">
        <f>Analysis!X101</f>
        <v>180.38933565880595</v>
      </c>
      <c r="J3" s="58">
        <f>Analysis!Y101</f>
        <v>172.5176607170892</v>
      </c>
      <c r="K3" s="58">
        <f>Analysis!CB101</f>
        <v>1302.8172525623138</v>
      </c>
      <c r="L3" s="58">
        <f>Analysis!CC101</f>
        <v>1268.2884972561974</v>
      </c>
      <c r="M3" s="58">
        <f>Analysis!CD101</f>
        <v>1136.4088893868282</v>
      </c>
      <c r="N3" s="58">
        <f>Analysis!CE101</f>
        <v>1071.2594957200354</v>
      </c>
      <c r="O3" s="58">
        <f>Analysis!CF101</f>
        <v>1075.2419506301917</v>
      </c>
      <c r="P3" s="58">
        <f>Analysis!CG101</f>
        <v>1040.9583839815782</v>
      </c>
      <c r="Q3" s="58">
        <f>Analysis!CH101</f>
        <v>1009.6097535714582</v>
      </c>
      <c r="R3" s="58">
        <f>Analysis!CI101</f>
        <v>966.20983876411299</v>
      </c>
      <c r="T3" s="11" t="s">
        <v>3772</v>
      </c>
      <c r="U3" t="s">
        <v>3651</v>
      </c>
      <c r="V3" s="40">
        <f>Analysis!FD102</f>
        <v>0.13124967735038631</v>
      </c>
      <c r="W3" s="40">
        <f>Analysis!FE102</f>
        <v>0.15890223264685643</v>
      </c>
      <c r="X3" s="40">
        <f>Analysis!FF102</f>
        <v>0.23948765374508726</v>
      </c>
      <c r="Y3" s="40">
        <f>Analysis!FG102</f>
        <v>0.27715973760131057</v>
      </c>
      <c r="Z3" s="40">
        <f>Analysis!FH102</f>
        <v>0.27171678712587133</v>
      </c>
      <c r="AA3" s="40">
        <f>Analysis!FI102</f>
        <v>0.27252866249065938</v>
      </c>
      <c r="AB3" s="40">
        <f>Analysis!FJ102</f>
        <v>0.28212655247604862</v>
      </c>
      <c r="AC3" s="40">
        <f>Analysis!FK102</f>
        <v>0.30043712423464419</v>
      </c>
    </row>
    <row r="4" spans="1:29" x14ac:dyDescent="0.25">
      <c r="A4" t="s">
        <v>3903</v>
      </c>
      <c r="B4" t="s">
        <v>3890</v>
      </c>
      <c r="C4" s="58">
        <f>Analysis!$AX$101+Analysis!AH101</f>
        <v>10215.42408904257</v>
      </c>
      <c r="D4" s="58">
        <f>Analysis!$AX$101+Analysis!AI101</f>
        <v>10212.425164528509</v>
      </c>
      <c r="E4" s="58">
        <f>Analysis!$AX$101+Analysis!AJ101</f>
        <v>10209.848096534915</v>
      </c>
      <c r="F4" s="58">
        <f>Analysis!$AX$101+Analysis!AK101</f>
        <v>10207.982030542504</v>
      </c>
      <c r="G4" s="58">
        <f>Analysis!$AX$101+Analysis!AL101</f>
        <v>10206.692663573487</v>
      </c>
      <c r="H4" s="58">
        <f>Analysis!$AX$101+Analysis!AM101</f>
        <v>10205.870424545525</v>
      </c>
      <c r="I4" s="58">
        <f>Analysis!$AX$101+Analysis!AN101</f>
        <v>10205.22010500149</v>
      </c>
      <c r="J4" s="58">
        <f>Analysis!$AX$101+Analysis!AO101</f>
        <v>10204.984588201469</v>
      </c>
      <c r="K4" s="58">
        <f>Analysis!EN101</f>
        <v>1454.2585442587895</v>
      </c>
      <c r="L4" s="58">
        <f>Analysis!EO101</f>
        <v>1313.0766528995855</v>
      </c>
      <c r="M4" s="58">
        <f>Analysis!EP101</f>
        <v>1193.1331015245735</v>
      </c>
      <c r="N4" s="58">
        <f>Analysis!EQ101</f>
        <v>1108.1867759985873</v>
      </c>
      <c r="O4" s="58">
        <f>Analysis!ER101</f>
        <v>1053.2616863073638</v>
      </c>
      <c r="P4" s="58">
        <f>Analysis!ES101</f>
        <v>1021.4358896322798</v>
      </c>
      <c r="Q4" s="58">
        <f>Analysis!ET101</f>
        <v>998.31572876349173</v>
      </c>
      <c r="R4" s="58">
        <f>Analysis!EU101</f>
        <v>998.66567705175896</v>
      </c>
      <c r="T4" s="11" t="s">
        <v>3771</v>
      </c>
      <c r="U4" t="s">
        <v>3651</v>
      </c>
      <c r="V4" s="40">
        <f>Analysis!FD103</f>
        <v>0.63466714979210526</v>
      </c>
      <c r="W4" s="40">
        <f>Analysis!FE103</f>
        <v>0.62733000974238606</v>
      </c>
      <c r="X4" s="40">
        <f>Analysis!FF103</f>
        <v>0.67368740542581873</v>
      </c>
      <c r="Y4" s="40">
        <f>Analysis!FG103</f>
        <v>0.69444527764629371</v>
      </c>
      <c r="Z4" s="40">
        <f>Analysis!FH103</f>
        <v>0.68444880030207489</v>
      </c>
      <c r="AA4" s="40">
        <f>Analysis!FI103</f>
        <v>0.7084353324345315</v>
      </c>
      <c r="AB4" s="40">
        <f>Analysis!FJ103</f>
        <v>0.72124463776394188</v>
      </c>
      <c r="AC4" s="40">
        <f>Analysis!FK103</f>
        <v>0.74908331233060355</v>
      </c>
    </row>
    <row r="5" spans="1:29" x14ac:dyDescent="0.25">
      <c r="A5" t="s">
        <v>3708</v>
      </c>
      <c r="B5" t="s">
        <v>3898</v>
      </c>
      <c r="C5" s="58">
        <f>Analysis!$AY$101</f>
        <v>3124.2351867369794</v>
      </c>
      <c r="D5" s="58">
        <f>Analysis!$AY$101</f>
        <v>3124.2351867369794</v>
      </c>
      <c r="E5" s="58">
        <f>Analysis!$AY$101</f>
        <v>3124.2351867369794</v>
      </c>
      <c r="F5" s="58">
        <f>Analysis!$AY$101</f>
        <v>3124.2351867369794</v>
      </c>
      <c r="G5" s="58">
        <f>Analysis!$AY$101</f>
        <v>3124.2351867369794</v>
      </c>
      <c r="H5" s="58">
        <f>Analysis!$AY$101</f>
        <v>3124.2351867369794</v>
      </c>
      <c r="I5" s="58">
        <f>Analysis!$AY$101</f>
        <v>3124.2351867369794</v>
      </c>
      <c r="J5" s="58">
        <f>Analysis!$AY$101</f>
        <v>3124.2351867369794</v>
      </c>
      <c r="K5" s="58"/>
      <c r="L5" s="58"/>
      <c r="M5" s="58"/>
      <c r="N5" s="58"/>
      <c r="O5" s="58"/>
      <c r="P5" s="58"/>
      <c r="Q5" s="58"/>
      <c r="R5" s="58"/>
      <c r="T5" s="11" t="s">
        <v>3769</v>
      </c>
      <c r="U5" t="s">
        <v>3651</v>
      </c>
      <c r="V5" s="40">
        <f>Analysis!FD104</f>
        <v>0.75744089163993644</v>
      </c>
      <c r="W5" s="40">
        <f>Analysis!FE104</f>
        <v>0.77739518116323569</v>
      </c>
      <c r="X5" s="40">
        <f>Analysis!FF104</f>
        <v>0.77688921621322049</v>
      </c>
      <c r="Y5" s="40">
        <f>Analysis!FG104</f>
        <v>0.77514953919332152</v>
      </c>
      <c r="Z5" s="40">
        <f>Analysis!FH104</f>
        <v>0.78026734271468612</v>
      </c>
      <c r="AA5" s="40">
        <f>Analysis!FI104</f>
        <v>0.79661151219726889</v>
      </c>
      <c r="AB5" s="40">
        <f>Analysis!FJ104</f>
        <v>0.79723717704461738</v>
      </c>
      <c r="AC5" s="40">
        <f>Analysis!FK104</f>
        <v>0.80222172643824874</v>
      </c>
    </row>
    <row r="6" spans="1:29" x14ac:dyDescent="0.25">
      <c r="A6" t="s">
        <v>3903</v>
      </c>
      <c r="B6" t="s">
        <v>3891</v>
      </c>
      <c r="C6" s="58">
        <f>Analysis!$AZ$101+Analysis!AP101</f>
        <v>3405.141363014191</v>
      </c>
      <c r="D6" s="58">
        <f>Analysis!$AZ$101+Analysis!AQ101</f>
        <v>3404.1417215095044</v>
      </c>
      <c r="E6" s="58">
        <f>Analysis!$AZ$101+Analysis!AR101</f>
        <v>3403.2826988449733</v>
      </c>
      <c r="F6" s="58">
        <f>Analysis!$AZ$101+Analysis!AS101</f>
        <v>3402.6606768475031</v>
      </c>
      <c r="G6" s="58">
        <f>Analysis!$AZ$101+Analysis!AT101</f>
        <v>3402.2308878578306</v>
      </c>
      <c r="H6" s="58">
        <f>Analysis!$AZ$101+Analysis!AU101</f>
        <v>3401.9568081818429</v>
      </c>
      <c r="I6" s="58">
        <f>Analysis!$AZ$101+Analysis!AV101</f>
        <v>3401.7400350004982</v>
      </c>
      <c r="J6" s="58">
        <f>Analysis!$AZ$101+Analysis!AW101</f>
        <v>3401.661529400491</v>
      </c>
      <c r="K6" s="58">
        <f>Analysis!EV101</f>
        <v>484.75284808626293</v>
      </c>
      <c r="L6" s="58">
        <f>Analysis!EW101</f>
        <v>437.6922176331949</v>
      </c>
      <c r="M6" s="58">
        <f>Analysis!EX101</f>
        <v>397.71103384152434</v>
      </c>
      <c r="N6" s="58">
        <f>Analysis!EY101</f>
        <v>369.39559199952896</v>
      </c>
      <c r="O6" s="58">
        <f>Analysis!EZ101</f>
        <v>351.08722876912117</v>
      </c>
      <c r="P6" s="58">
        <f>Analysis!FA101</f>
        <v>340.47862987742656</v>
      </c>
      <c r="Q6" s="58">
        <f>Analysis!FB101</f>
        <v>332.77190958783046</v>
      </c>
      <c r="R6" s="58">
        <f>Analysis!FC101</f>
        <v>332.8885590172531</v>
      </c>
      <c r="T6" s="11" t="s">
        <v>3770</v>
      </c>
      <c r="U6" t="s">
        <v>3651</v>
      </c>
      <c r="V6" s="40">
        <f>Analysis!FD105</f>
        <v>0.31930851528529941</v>
      </c>
      <c r="W6" s="40">
        <f>Analysis!FE105</f>
        <v>0.30889627123272656</v>
      </c>
      <c r="X6" s="40">
        <f>Analysis!FF105</f>
        <v>0.37998119592327972</v>
      </c>
      <c r="Y6" s="40">
        <f>Analysis!FG105</f>
        <v>0.39489721136617034</v>
      </c>
      <c r="Z6" s="40">
        <f>Analysis!FH105</f>
        <v>0.3986588484358316</v>
      </c>
      <c r="AA6" s="40">
        <f>Analysis!FI105</f>
        <v>0.44173452709052691</v>
      </c>
      <c r="AB6" s="40">
        <f>Analysis!FJ105</f>
        <v>0.47203951696687735</v>
      </c>
      <c r="AC6" s="40">
        <f>Analysis!FK105</f>
        <v>0.49620352443222393</v>
      </c>
    </row>
    <row r="7" spans="1:29" x14ac:dyDescent="0.25">
      <c r="A7" t="s">
        <v>3708</v>
      </c>
      <c r="B7" t="s">
        <v>3899</v>
      </c>
      <c r="C7" s="58">
        <f>Analysis!$BA$101</f>
        <v>1041.411728912326</v>
      </c>
      <c r="D7" s="58">
        <f>Analysis!$BA$101</f>
        <v>1041.411728912326</v>
      </c>
      <c r="E7" s="58">
        <f>Analysis!$BA$101</f>
        <v>1041.411728912326</v>
      </c>
      <c r="F7" s="58">
        <f>Analysis!$BA$101</f>
        <v>1041.411728912326</v>
      </c>
      <c r="G7" s="58">
        <f>Analysis!$BA$101</f>
        <v>1041.411728912326</v>
      </c>
      <c r="H7" s="58">
        <f>Analysis!$BA$101</f>
        <v>1041.411728912326</v>
      </c>
      <c r="I7" s="58">
        <f>Analysis!$BA$101</f>
        <v>1041.411728912326</v>
      </c>
      <c r="J7" s="58">
        <f>Analysis!$BA$101</f>
        <v>1041.411728912326</v>
      </c>
      <c r="K7" s="58"/>
      <c r="L7" s="58"/>
      <c r="M7" s="58"/>
      <c r="N7" s="58"/>
      <c r="O7" s="58"/>
      <c r="P7" s="58"/>
      <c r="Q7" s="58"/>
      <c r="R7" s="58"/>
      <c r="T7" s="11" t="s">
        <v>3767</v>
      </c>
      <c r="U7" t="s">
        <v>3651</v>
      </c>
      <c r="V7" s="40">
        <f>Analysis!FD106</f>
        <v>0.41357582642459728</v>
      </c>
      <c r="W7" s="40">
        <f>Analysis!FE106</f>
        <v>0.42271101485926743</v>
      </c>
      <c r="X7" s="40">
        <f>Analysis!FF106</f>
        <v>0.48868779279639657</v>
      </c>
      <c r="Y7" s="40">
        <f>Analysis!FG106</f>
        <v>0.52912660104206777</v>
      </c>
      <c r="Z7" s="40">
        <f>Analysis!FH106</f>
        <v>0.51888307302194103</v>
      </c>
      <c r="AA7" s="40">
        <f>Analysis!FI106</f>
        <v>0.52284719043220695</v>
      </c>
      <c r="AB7" s="40">
        <f>Analysis!FJ106</f>
        <v>0.53704348982678718</v>
      </c>
      <c r="AC7" s="40">
        <f>Analysis!FK106</f>
        <v>0.5711267120526341</v>
      </c>
    </row>
    <row r="8" spans="1:29" x14ac:dyDescent="0.25">
      <c r="A8" t="s">
        <v>3709</v>
      </c>
      <c r="B8" t="s">
        <v>3775</v>
      </c>
      <c r="D8" s="58"/>
      <c r="E8" s="58"/>
      <c r="K8" s="58">
        <f>Analysis!CJ101</f>
        <v>7031.1373904087923</v>
      </c>
      <c r="L8" s="58">
        <f>Analysis!CK101</f>
        <v>6858.3499327795234</v>
      </c>
      <c r="M8" s="58">
        <f>Analysis!CL101</f>
        <v>6134.2436331697727</v>
      </c>
      <c r="N8" s="58">
        <f>Analysis!CM101</f>
        <v>5766.9077714194837</v>
      </c>
      <c r="O8" s="58">
        <f>Analysis!CN101</f>
        <v>5790.4246761686563</v>
      </c>
      <c r="P8" s="58">
        <f>Analysis!CO101</f>
        <v>5614.213695074397</v>
      </c>
      <c r="Q8" s="58">
        <f>Analysis!CP101</f>
        <v>5453.5888267745941</v>
      </c>
      <c r="R8" s="58">
        <f>Analysis!CQ101</f>
        <v>5222.4229073238766</v>
      </c>
      <c r="T8" s="11" t="s">
        <v>3768</v>
      </c>
      <c r="U8" t="s">
        <v>3651</v>
      </c>
      <c r="V8" s="40">
        <f>Analysis!FD107</f>
        <v>0.39431821780948689</v>
      </c>
      <c r="W8" s="40">
        <f>Analysis!FE107</f>
        <v>0.46106038441066688</v>
      </c>
      <c r="X8" s="40">
        <f>Analysis!FF107</f>
        <v>0.53308666927678428</v>
      </c>
      <c r="Y8" s="40">
        <f>Analysis!FG107</f>
        <v>0.58880040465552208</v>
      </c>
      <c r="Z8" s="40">
        <f>Analysis!FH107</f>
        <v>0.60435637001039988</v>
      </c>
      <c r="AA8" s="40">
        <f>Analysis!FI107</f>
        <v>0.60948787404617299</v>
      </c>
      <c r="AB8" s="40">
        <f>Analysis!FJ107</f>
        <v>0.6311801969811679</v>
      </c>
      <c r="AC8" s="40">
        <f>Analysis!FK107</f>
        <v>0.63224408003973087</v>
      </c>
    </row>
    <row r="9" spans="1:29" x14ac:dyDescent="0.25">
      <c r="A9" t="s">
        <v>3709</v>
      </c>
      <c r="B9" t="s">
        <v>3711</v>
      </c>
      <c r="D9" s="58"/>
      <c r="E9" s="58"/>
      <c r="K9" s="58">
        <f>Analysis!CR101</f>
        <v>3458.0025341245882</v>
      </c>
      <c r="L9" s="58">
        <f>Analysis!CS101</f>
        <v>3372.9368031953582</v>
      </c>
      <c r="M9" s="58">
        <f>Analysis!CT101</f>
        <v>3039.8735380364164</v>
      </c>
      <c r="N9" s="58">
        <f>Analysis!CU101</f>
        <v>2905.5529981524169</v>
      </c>
      <c r="O9" s="58">
        <f>Analysis!CV101</f>
        <v>2954.9600057753487</v>
      </c>
      <c r="P9" s="58">
        <f>Analysis!CW101</f>
        <v>2930.0513110895104</v>
      </c>
      <c r="Q9" s="58">
        <f>Analysis!CX101</f>
        <v>2876.1445530788646</v>
      </c>
      <c r="R9" s="58">
        <f>Analysis!CY101</f>
        <v>2752.6272238808542</v>
      </c>
      <c r="V9" s="3">
        <v>2022</v>
      </c>
      <c r="W9" s="3">
        <v>2024</v>
      </c>
      <c r="X9" s="3">
        <v>2026</v>
      </c>
      <c r="Y9" s="3">
        <v>2028</v>
      </c>
      <c r="Z9" s="3">
        <v>2030</v>
      </c>
      <c r="AA9" s="3">
        <v>2032</v>
      </c>
      <c r="AB9" s="3">
        <v>2034</v>
      </c>
      <c r="AC9" s="3">
        <v>2036</v>
      </c>
    </row>
    <row r="10" spans="1:29" x14ac:dyDescent="0.25">
      <c r="A10" t="s">
        <v>3709</v>
      </c>
      <c r="B10" t="s">
        <v>3712</v>
      </c>
      <c r="D10" s="58"/>
      <c r="E10" s="58"/>
      <c r="K10" s="58">
        <f>Analysis!DP101</f>
        <v>449.15840084268422</v>
      </c>
      <c r="L10" s="58">
        <f>Analysis!DQ101</f>
        <v>373.9634462136986</v>
      </c>
      <c r="M10" s="58">
        <f>Analysis!DR101</f>
        <v>174.32885394154749</v>
      </c>
      <c r="N10" s="58">
        <f>Analysis!DS101</f>
        <v>139.24510434808403</v>
      </c>
      <c r="O10" s="58">
        <f>Analysis!DT101</f>
        <v>97.747721594129089</v>
      </c>
      <c r="P10" s="58">
        <f>Analysis!DU101</f>
        <v>79.279424258679768</v>
      </c>
      <c r="Q10" s="58">
        <f>Analysis!DV101</f>
        <v>56.917431243094761</v>
      </c>
      <c r="R10" s="58">
        <f>Analysis!DW101</f>
        <v>47.263841923908068</v>
      </c>
      <c r="T10" s="11" t="s">
        <v>3773</v>
      </c>
      <c r="U10" t="s">
        <v>3652</v>
      </c>
      <c r="V10" s="4">
        <f>Analysis!FL101</f>
        <v>0.57573070922274117</v>
      </c>
      <c r="W10" s="4">
        <f>Analysis!FM101</f>
        <v>0.59137533124532182</v>
      </c>
      <c r="X10" s="4">
        <f>Analysis!FN101</f>
        <v>0.63782974993354269</v>
      </c>
      <c r="Y10" s="4">
        <f>Analysis!FO101</f>
        <v>0.6589829368677822</v>
      </c>
      <c r="Z10" s="4">
        <f>Analysis!FP101</f>
        <v>0.65958600572311998</v>
      </c>
      <c r="AA10" s="4">
        <f>Analysis!FQ101</f>
        <v>0.66839094712089031</v>
      </c>
      <c r="AB10" s="4">
        <f>Analysis!FR101</f>
        <v>0.67737152167581827</v>
      </c>
      <c r="AC10" s="4">
        <f>Analysis!FS101</f>
        <v>0.6899380351793829</v>
      </c>
    </row>
    <row r="11" spans="1:29" x14ac:dyDescent="0.25">
      <c r="A11" t="s">
        <v>3709</v>
      </c>
      <c r="B11" t="s">
        <v>3713</v>
      </c>
      <c r="D11" s="58"/>
      <c r="E11" s="58"/>
      <c r="K11" s="58">
        <f>Analysis!DX101</f>
        <v>202.85933408951286</v>
      </c>
      <c r="L11" s="58">
        <f>Analysis!DY101</f>
        <v>168.89804472186754</v>
      </c>
      <c r="M11" s="58">
        <f>Analysis!DZ101</f>
        <v>48.568162188653297</v>
      </c>
      <c r="N11" s="58">
        <f>Analysis!EA101</f>
        <v>38.793800676400359</v>
      </c>
      <c r="O11" s="58">
        <f>Analysis!EB101</f>
        <v>27.232595686924032</v>
      </c>
      <c r="P11" s="58">
        <f>Analysis!EC101</f>
        <v>22.087312849023132</v>
      </c>
      <c r="Q11" s="58">
        <f>Analysis!ED101</f>
        <v>15.857243189948626</v>
      </c>
      <c r="R11" s="58">
        <f>Analysis!EE101</f>
        <v>13.167745260282203</v>
      </c>
      <c r="S11" s="3"/>
      <c r="T11" s="11" t="s">
        <v>3772</v>
      </c>
      <c r="U11" t="s">
        <v>3652</v>
      </c>
      <c r="V11" s="4">
        <f>Analysis!FL102</f>
        <v>0.4673261514513502</v>
      </c>
      <c r="W11" s="4">
        <f>Analysis!FM102</f>
        <v>0.4882296504058028</v>
      </c>
      <c r="X11" s="4">
        <f>Analysis!FN102</f>
        <v>0.53917254773768142</v>
      </c>
      <c r="Y11" s="4">
        <f>Analysis!FO102</f>
        <v>0.56298784352671138</v>
      </c>
      <c r="Z11" s="4">
        <f>Analysis!FP102</f>
        <v>0.56175582914344269</v>
      </c>
      <c r="AA11" s="4">
        <f>Analysis!FQ102</f>
        <v>0.56244677220230788</v>
      </c>
      <c r="AB11" s="4">
        <f>Analysis!FR102</f>
        <v>0.5678114312158008</v>
      </c>
      <c r="AC11" s="4">
        <f>Analysis!FS102</f>
        <v>0.5766413288683182</v>
      </c>
    </row>
    <row r="12" spans="1:29" x14ac:dyDescent="0.25">
      <c r="A12" s="83" t="s">
        <v>3903</v>
      </c>
      <c r="B12" s="83" t="s">
        <v>3904</v>
      </c>
      <c r="C12" s="84">
        <f>SUM(C2:C3)</f>
        <v>18940.249781761053</v>
      </c>
      <c r="D12" s="84">
        <f t="shared" ref="D12:J12" si="0">SUM(D2:D3)</f>
        <v>18934.067141844043</v>
      </c>
      <c r="E12" s="84">
        <f t="shared" si="0"/>
        <v>18910.387415015044</v>
      </c>
      <c r="F12" s="84">
        <f t="shared" si="0"/>
        <v>18898.287745392012</v>
      </c>
      <c r="G12" s="84">
        <f t="shared" si="0"/>
        <v>18899.345360936477</v>
      </c>
      <c r="H12" s="84">
        <f t="shared" si="0"/>
        <v>18894.402770676781</v>
      </c>
      <c r="I12" s="84">
        <f t="shared" si="0"/>
        <v>18888.953781830303</v>
      </c>
      <c r="J12" s="84">
        <f t="shared" si="0"/>
        <v>18881.082106888589</v>
      </c>
      <c r="K12" s="84">
        <f t="shared" ref="K12:R12" si="1">SUM(K3,K8,K9)</f>
        <v>11791.957177095694</v>
      </c>
      <c r="L12" s="84">
        <f t="shared" si="1"/>
        <v>11499.575233231079</v>
      </c>
      <c r="M12" s="84">
        <f t="shared" si="1"/>
        <v>10310.526060593018</v>
      </c>
      <c r="N12" s="84">
        <f t="shared" si="1"/>
        <v>9743.7202652919368</v>
      </c>
      <c r="O12" s="84">
        <f t="shared" si="1"/>
        <v>9820.6266325741963</v>
      </c>
      <c r="P12" s="84">
        <f t="shared" si="1"/>
        <v>9585.2233901454856</v>
      </c>
      <c r="Q12" s="84">
        <f t="shared" si="1"/>
        <v>9339.3431334249162</v>
      </c>
      <c r="R12" s="84">
        <f t="shared" si="1"/>
        <v>8941.2599699688435</v>
      </c>
      <c r="T12" s="11" t="s">
        <v>3771</v>
      </c>
      <c r="U12" t="s">
        <v>3652</v>
      </c>
      <c r="V12" s="4">
        <f>Analysis!FL103</f>
        <v>0.69727508253240722</v>
      </c>
      <c r="W12" s="4">
        <f>Analysis!FM103</f>
        <v>0.69764473391949278</v>
      </c>
      <c r="X12" s="4">
        <f>Analysis!FN103</f>
        <v>0.73430752925680287</v>
      </c>
      <c r="Y12" s="4">
        <f>Analysis!FO103</f>
        <v>0.75123570142580531</v>
      </c>
      <c r="Z12" s="4">
        <f>Analysis!FP103</f>
        <v>0.74669528938273377</v>
      </c>
      <c r="AA12" s="4">
        <f>Analysis!FQ103</f>
        <v>0.76380590148661576</v>
      </c>
      <c r="AB12" s="4">
        <f>Analysis!FR103</f>
        <v>0.7728841088051136</v>
      </c>
      <c r="AC12" s="4">
        <f>Analysis!FS103</f>
        <v>0.79203373757458106</v>
      </c>
    </row>
    <row r="13" spans="1:29" x14ac:dyDescent="0.25">
      <c r="A13" s="83" t="s">
        <v>3903</v>
      </c>
      <c r="B13" s="83" t="s">
        <v>3905</v>
      </c>
      <c r="C13" s="84">
        <f>SUM(C2,C3,C4,C5)</f>
        <v>32279.909057540601</v>
      </c>
      <c r="D13" s="84">
        <f t="shared" ref="D13:J13" si="2">SUM(D2,D3,D4,D5)</f>
        <v>32270.727493109531</v>
      </c>
      <c r="E13" s="84">
        <f t="shared" si="2"/>
        <v>32244.470698286939</v>
      </c>
      <c r="F13" s="84">
        <f t="shared" si="2"/>
        <v>32230.504962671497</v>
      </c>
      <c r="G13" s="84">
        <f t="shared" si="2"/>
        <v>32230.273211246946</v>
      </c>
      <c r="H13" s="84">
        <f t="shared" si="2"/>
        <v>32224.508381959284</v>
      </c>
      <c r="I13" s="84">
        <f t="shared" si="2"/>
        <v>32218.409073568771</v>
      </c>
      <c r="J13" s="84">
        <f t="shared" si="2"/>
        <v>32210.301881827036</v>
      </c>
      <c r="K13" s="84">
        <f>SUM(K3,K8,K9,K4)</f>
        <v>13246.215721354483</v>
      </c>
      <c r="L13" s="84">
        <f t="shared" ref="L13:R13" si="3">SUM(L3,L8,L9,L4)</f>
        <v>12812.651886130665</v>
      </c>
      <c r="M13" s="84">
        <f t="shared" si="3"/>
        <v>11503.659162117592</v>
      </c>
      <c r="N13" s="84">
        <f t="shared" si="3"/>
        <v>10851.907041290524</v>
      </c>
      <c r="O13" s="84">
        <f t="shared" si="3"/>
        <v>10873.88831888156</v>
      </c>
      <c r="P13" s="84">
        <f t="shared" si="3"/>
        <v>10606.659279777765</v>
      </c>
      <c r="Q13" s="84">
        <f t="shared" si="3"/>
        <v>10337.658862188408</v>
      </c>
      <c r="R13" s="84">
        <f t="shared" si="3"/>
        <v>9939.9256470206019</v>
      </c>
      <c r="T13" s="11" t="s">
        <v>3769</v>
      </c>
      <c r="U13" t="s">
        <v>3652</v>
      </c>
      <c r="V13" s="4">
        <f>Analysis!FL104</f>
        <v>0.74976983273678832</v>
      </c>
      <c r="W13" s="4">
        <f>Analysis!FM104</f>
        <v>0.77221186262077335</v>
      </c>
      <c r="X13" s="4">
        <f>Analysis!FN104</f>
        <v>0.80971199523571247</v>
      </c>
      <c r="Y13" s="4">
        <f>Analysis!FO104</f>
        <v>0.81568488687559071</v>
      </c>
      <c r="Z13" s="4">
        <f>Analysis!FP104</f>
        <v>0.82460501214256965</v>
      </c>
      <c r="AA13" s="4">
        <f>Analysis!FQ104</f>
        <v>0.83871202659589661</v>
      </c>
      <c r="AB13" s="4">
        <f>Analysis!FR104</f>
        <v>0.84505214659034522</v>
      </c>
      <c r="AC13" s="4">
        <f>Analysis!FS104</f>
        <v>0.8527894340531198</v>
      </c>
    </row>
    <row r="14" spans="1:29" x14ac:dyDescent="0.25">
      <c r="A14" s="83" t="s">
        <v>3903</v>
      </c>
      <c r="B14" s="83" t="s">
        <v>3906</v>
      </c>
      <c r="C14" s="84">
        <f>SUM(C2,C3,C6,C7)</f>
        <v>23386.802873687571</v>
      </c>
      <c r="D14" s="84">
        <f t="shared" ref="D14:J14" si="4">SUM(D2,D3,D6,D7)</f>
        <v>23379.62059226587</v>
      </c>
      <c r="E14" s="84">
        <f t="shared" si="4"/>
        <v>23355.081842772342</v>
      </c>
      <c r="F14" s="84">
        <f t="shared" si="4"/>
        <v>23342.360151151843</v>
      </c>
      <c r="G14" s="84">
        <f t="shared" si="4"/>
        <v>23342.987977706631</v>
      </c>
      <c r="H14" s="84">
        <f t="shared" si="4"/>
        <v>23337.771307770949</v>
      </c>
      <c r="I14" s="84">
        <f t="shared" si="4"/>
        <v>23332.105545743128</v>
      </c>
      <c r="J14" s="84">
        <f t="shared" si="4"/>
        <v>23324.155365201404</v>
      </c>
      <c r="K14" s="84">
        <f>SUM(K3,K8,K9,K6)</f>
        <v>12276.710025181957</v>
      </c>
      <c r="L14" s="84">
        <f t="shared" ref="L14:R14" si="5">SUM(L3,L8,L9,L6)</f>
        <v>11937.267450864274</v>
      </c>
      <c r="M14" s="84">
        <f t="shared" si="5"/>
        <v>10708.237094434542</v>
      </c>
      <c r="N14" s="84">
        <f t="shared" si="5"/>
        <v>10113.115857291466</v>
      </c>
      <c r="O14" s="84">
        <f t="shared" si="5"/>
        <v>10171.713861343318</v>
      </c>
      <c r="P14" s="84">
        <f t="shared" si="5"/>
        <v>9925.7020200229126</v>
      </c>
      <c r="Q14" s="84">
        <f t="shared" si="5"/>
        <v>9672.1150430127473</v>
      </c>
      <c r="R14" s="84">
        <f t="shared" si="5"/>
        <v>9274.1485289860975</v>
      </c>
      <c r="T14" s="11" t="s">
        <v>3770</v>
      </c>
      <c r="U14" t="s">
        <v>3652</v>
      </c>
      <c r="V14" s="4">
        <f>Analysis!FL105</f>
        <v>0.57253969983038644</v>
      </c>
      <c r="W14" s="4">
        <f>Analysis!FM105</f>
        <v>0.57331957939018374</v>
      </c>
      <c r="X14" s="4">
        <f>Analysis!FN105</f>
        <v>0.6214582729759659</v>
      </c>
      <c r="Y14" s="4">
        <f>Analysis!FO105</f>
        <v>0.63425365217146668</v>
      </c>
      <c r="Z14" s="4">
        <f>Analysis!FP105</f>
        <v>0.64078054395222794</v>
      </c>
      <c r="AA14" s="4">
        <f>Analysis!FQ105</f>
        <v>0.66756726209133621</v>
      </c>
      <c r="AB14" s="4">
        <f>Analysis!FR105</f>
        <v>0.68763469313874537</v>
      </c>
      <c r="AC14" s="4">
        <f>Analysis!FS105</f>
        <v>0.70370070596917589</v>
      </c>
    </row>
    <row r="15" spans="1:29" x14ac:dyDescent="0.25">
      <c r="T15" s="11" t="s">
        <v>3767</v>
      </c>
      <c r="U15" t="s">
        <v>3652</v>
      </c>
      <c r="V15" s="4">
        <f>Analysis!FL106</f>
        <v>0.56592004448769739</v>
      </c>
      <c r="W15" s="4">
        <f>Analysis!FM106</f>
        <v>0.57662388178566226</v>
      </c>
      <c r="X15" s="4">
        <f>Analysis!FN106</f>
        <v>0.62552714103950391</v>
      </c>
      <c r="Y15" s="4">
        <f>Analysis!FO106</f>
        <v>0.65574276530278608</v>
      </c>
      <c r="Z15" s="4">
        <f>Analysis!FP106</f>
        <v>0.65120338125120203</v>
      </c>
      <c r="AA15" s="4">
        <f>Analysis!FQ106</f>
        <v>0.65480605514586643</v>
      </c>
      <c r="AB15" s="4">
        <f>Analysis!FR106</f>
        <v>0.66482927371142564</v>
      </c>
      <c r="AC15" s="4">
        <f>Analysis!FS106</f>
        <v>0.68718234406102385</v>
      </c>
    </row>
    <row r="16" spans="1:29" x14ac:dyDescent="0.25">
      <c r="T16" s="11" t="s">
        <v>3768</v>
      </c>
      <c r="U16" t="s">
        <v>3652</v>
      </c>
      <c r="V16" s="4">
        <f>Analysis!FL107</f>
        <v>0.61910995250756107</v>
      </c>
      <c r="W16" s="4">
        <f>Analysis!FM107</f>
        <v>0.66698513960759875</v>
      </c>
      <c r="X16" s="4">
        <f>Analysis!FN107</f>
        <v>0.72200494329436338</v>
      </c>
      <c r="Y16" s="4">
        <f>Analysis!FO107</f>
        <v>0.75782617422066667</v>
      </c>
      <c r="Z16" s="4">
        <f>Analysis!FP107</f>
        <v>0.77188670780043955</v>
      </c>
      <c r="AA16" s="4">
        <f>Analysis!FQ107</f>
        <v>0.77873513907644565</v>
      </c>
      <c r="AB16" s="4">
        <f>Analysis!FR107</f>
        <v>0.79446440763823845</v>
      </c>
      <c r="AC16" s="4">
        <f>Analysis!FS107</f>
        <v>0.79622607778678645</v>
      </c>
    </row>
    <row r="17" spans="1:29" x14ac:dyDescent="0.25">
      <c r="B17" s="3"/>
      <c r="V17" s="3">
        <v>2022</v>
      </c>
      <c r="W17" s="3">
        <v>2024</v>
      </c>
      <c r="X17" s="3">
        <v>2026</v>
      </c>
      <c r="Y17" s="3">
        <v>2028</v>
      </c>
      <c r="Z17" s="3">
        <v>2030</v>
      </c>
      <c r="AA17" s="3">
        <v>2032</v>
      </c>
      <c r="AB17" s="3">
        <v>2034</v>
      </c>
      <c r="AC17" s="3">
        <v>2036</v>
      </c>
    </row>
    <row r="18" spans="1:29" x14ac:dyDescent="0.25">
      <c r="B18" s="3"/>
      <c r="T18" s="11" t="s">
        <v>3773</v>
      </c>
      <c r="U18" t="s">
        <v>3653</v>
      </c>
      <c r="V18" s="38">
        <f>Analysis!FT101</f>
        <v>0.46638412156318293</v>
      </c>
      <c r="W18" s="38">
        <f>Analysis!FU101</f>
        <v>0.48219153309994506</v>
      </c>
      <c r="X18" s="38">
        <f>Analysis!FV101</f>
        <v>0.53942335423876575</v>
      </c>
      <c r="Y18" s="38">
        <f>Analysis!FW101</f>
        <v>0.56508640976191471</v>
      </c>
      <c r="Z18" s="38">
        <f>Analysis!FX101</f>
        <v>0.56308307802023472</v>
      </c>
      <c r="AA18" s="38">
        <f>Analysis!FY101</f>
        <v>0.57374724425551504</v>
      </c>
      <c r="AB18" s="38">
        <f>Analysis!FZ101</f>
        <v>0.58477933904382506</v>
      </c>
      <c r="AC18" s="38">
        <f>Analysis!GA101</f>
        <v>0.60181553720471981</v>
      </c>
    </row>
    <row r="19" spans="1:29" x14ac:dyDescent="0.25">
      <c r="A19" t="s">
        <v>3707</v>
      </c>
      <c r="B19" s="3"/>
      <c r="T19" s="11" t="s">
        <v>3772</v>
      </c>
      <c r="U19" t="s">
        <v>3653</v>
      </c>
      <c r="V19" s="38">
        <f>Analysis!FT102</f>
        <v>0.28931856235002329</v>
      </c>
      <c r="W19" s="38">
        <f>Analysis!FU102</f>
        <v>0.31400729772808833</v>
      </c>
      <c r="X19" s="38">
        <f>Analysis!FV102</f>
        <v>0.38136074104673556</v>
      </c>
      <c r="Y19" s="38">
        <f>Analysis!FW102</f>
        <v>0.41245558161051959</v>
      </c>
      <c r="Z19" s="38">
        <f>Analysis!FX102</f>
        <v>0.40892938226877434</v>
      </c>
      <c r="AA19" s="38">
        <f>Analysis!FY102</f>
        <v>0.40968399342761147</v>
      </c>
      <c r="AB19" s="38">
        <f>Analysis!FZ102</f>
        <v>0.41728390491266837</v>
      </c>
      <c r="AC19" s="38">
        <f>Analysis!GA102</f>
        <v>0.43111949925026705</v>
      </c>
    </row>
    <row r="20" spans="1:29" x14ac:dyDescent="0.25">
      <c r="A20" t="s">
        <v>3708</v>
      </c>
      <c r="B20" s="3"/>
      <c r="T20" s="11" t="s">
        <v>3771</v>
      </c>
      <c r="U20" t="s">
        <v>3653</v>
      </c>
      <c r="V20" s="38">
        <f>Analysis!FT103</f>
        <v>0.66055211981394746</v>
      </c>
      <c r="W20" s="38">
        <f>Analysis!FU103</f>
        <v>0.65663478052978552</v>
      </c>
      <c r="X20" s="38">
        <f>Analysis!FV103</f>
        <v>0.69943844574031067</v>
      </c>
      <c r="Y20" s="38">
        <f>Analysis!FW103</f>
        <v>0.71854404165440922</v>
      </c>
      <c r="Z20" s="38">
        <f>Analysis!FX103</f>
        <v>0.71080332500871313</v>
      </c>
      <c r="AA20" s="38">
        <f>Analysis!FY103</f>
        <v>0.7318803847600126</v>
      </c>
      <c r="AB20" s="38">
        <f>Analysis!FZ103</f>
        <v>0.7431108303292423</v>
      </c>
      <c r="AC20" s="38">
        <f>Analysis!GA103</f>
        <v>0.76727196341195358</v>
      </c>
    </row>
    <row r="21" spans="1:29" x14ac:dyDescent="0.25">
      <c r="A21" t="s">
        <v>3903</v>
      </c>
      <c r="B21" s="3"/>
      <c r="T21" s="11" t="s">
        <v>3769</v>
      </c>
      <c r="U21" t="s">
        <v>3653</v>
      </c>
      <c r="V21" s="38">
        <f>Analysis!FT104</f>
        <v>0.73982147316862945</v>
      </c>
      <c r="W21" s="38">
        <f>Analysis!FU104</f>
        <v>0.76260999924244621</v>
      </c>
      <c r="X21" s="38">
        <f>Analysis!FV104</f>
        <v>0.79586277086062274</v>
      </c>
      <c r="Y21" s="38">
        <f>Analysis!FW104</f>
        <v>0.79754183357113007</v>
      </c>
      <c r="Z21" s="38">
        <f>Analysis!FX104</f>
        <v>0.80417545730294815</v>
      </c>
      <c r="AA21" s="38">
        <f>Analysis!FY104</f>
        <v>0.8191043350416356</v>
      </c>
      <c r="AB21" s="38">
        <f>Analysis!FZ104</f>
        <v>0.82222808445607865</v>
      </c>
      <c r="AC21" s="38">
        <f>Analysis!GA104</f>
        <v>0.82831714416828384</v>
      </c>
    </row>
    <row r="22" spans="1:29" x14ac:dyDescent="0.25">
      <c r="A22" t="s">
        <v>3903</v>
      </c>
      <c r="B22" s="3"/>
      <c r="T22" s="11" t="s">
        <v>3770</v>
      </c>
      <c r="U22" t="s">
        <v>3653</v>
      </c>
      <c r="V22" s="38">
        <f>Analysis!FT105</f>
        <v>0.43864375861234151</v>
      </c>
      <c r="W22" s="38">
        <f>Analysis!FU105</f>
        <v>0.43406557358252901</v>
      </c>
      <c r="X22" s="38">
        <f>Analysis!FV105</f>
        <v>0.4962054847454519</v>
      </c>
      <c r="Y22" s="38">
        <f>Analysis!FW105</f>
        <v>0.51000798784745371</v>
      </c>
      <c r="Z22" s="38">
        <f>Analysis!FX105</f>
        <v>0.51497496396678111</v>
      </c>
      <c r="AA22" s="38">
        <f>Analysis!FY105</f>
        <v>0.55021353459966715</v>
      </c>
      <c r="AB22" s="38">
        <f>Analysis!FZ105</f>
        <v>0.57555055703012792</v>
      </c>
      <c r="AC22" s="38">
        <f>Analysis!GA105</f>
        <v>0.59583895488083083</v>
      </c>
    </row>
    <row r="23" spans="1:29" x14ac:dyDescent="0.25">
      <c r="A23" t="s">
        <v>3708</v>
      </c>
      <c r="B23" s="3"/>
      <c r="T23" s="11" t="s">
        <v>3767</v>
      </c>
      <c r="U23" t="s">
        <v>3653</v>
      </c>
      <c r="V23" s="38">
        <f>Analysis!FT106</f>
        <v>0.47876655924731892</v>
      </c>
      <c r="W23" s="38">
        <f>Analysis!FU106</f>
        <v>0.48857681512622958</v>
      </c>
      <c r="X23" s="38">
        <f>Analysis!FV106</f>
        <v>0.54727639357853897</v>
      </c>
      <c r="Y23" s="38">
        <f>Analysis!FW106</f>
        <v>0.58334534437532859</v>
      </c>
      <c r="Z23" s="38">
        <f>Analysis!FX106</f>
        <v>0.57553833181256786</v>
      </c>
      <c r="AA23" s="38">
        <f>Analysis!FY106</f>
        <v>0.57934807687228407</v>
      </c>
      <c r="AB23" s="38">
        <f>Analysis!FZ106</f>
        <v>0.59176102138757836</v>
      </c>
      <c r="AC23" s="38">
        <f>Analysis!GA106</f>
        <v>0.62082914011232215</v>
      </c>
    </row>
    <row r="24" spans="1:29" x14ac:dyDescent="0.25">
      <c r="A24" t="s">
        <v>3903</v>
      </c>
      <c r="B24" s="3"/>
      <c r="T24" s="11" t="s">
        <v>3768</v>
      </c>
      <c r="U24" t="s">
        <v>3653</v>
      </c>
      <c r="V24" s="38">
        <f>Analysis!FT107</f>
        <v>0.50058052362103223</v>
      </c>
      <c r="W24" s="38">
        <f>Analysis!FU107</f>
        <v>0.55897960915888634</v>
      </c>
      <c r="X24" s="38">
        <f>Analysis!FV107</f>
        <v>0.62724855585127015</v>
      </c>
      <c r="Y24" s="38">
        <f>Analysis!FW107</f>
        <v>0.67295349818154071</v>
      </c>
      <c r="Z24" s="38">
        <f>Analysis!FX107</f>
        <v>0.68759220124666787</v>
      </c>
      <c r="AA24" s="38">
        <f>Analysis!FY107</f>
        <v>0.69342154108090248</v>
      </c>
      <c r="AB24" s="38">
        <f>Analysis!FZ107</f>
        <v>0.71192546289784098</v>
      </c>
      <c r="AC24" s="38">
        <f>Analysis!GA107</f>
        <v>0.71333367545886162</v>
      </c>
    </row>
    <row r="25" spans="1:29" x14ac:dyDescent="0.25">
      <c r="A25" t="s">
        <v>3708</v>
      </c>
      <c r="B25" s="3"/>
    </row>
    <row r="26" spans="1:29" x14ac:dyDescent="0.25">
      <c r="A26" t="s">
        <v>3709</v>
      </c>
      <c r="B26" s="3"/>
    </row>
    <row r="27" spans="1:29" x14ac:dyDescent="0.25">
      <c r="A27" t="s">
        <v>3709</v>
      </c>
      <c r="B27" s="3"/>
    </row>
    <row r="28" spans="1:29" x14ac:dyDescent="0.25">
      <c r="A28" t="s">
        <v>3709</v>
      </c>
      <c r="B28" s="3"/>
    </row>
    <row r="29" spans="1:29" x14ac:dyDescent="0.25">
      <c r="A29" t="s">
        <v>3709</v>
      </c>
      <c r="B29" s="3"/>
    </row>
    <row r="30" spans="1:29" x14ac:dyDescent="0.25">
      <c r="A30" s="83" t="s">
        <v>3903</v>
      </c>
      <c r="B30" s="3"/>
    </row>
    <row r="31" spans="1:29" x14ac:dyDescent="0.25">
      <c r="A31" s="83" t="s">
        <v>3903</v>
      </c>
      <c r="B31" s="3"/>
    </row>
    <row r="32" spans="1:29" x14ac:dyDescent="0.25">
      <c r="A32" s="83" t="s">
        <v>3903</v>
      </c>
      <c r="B32" s="3"/>
    </row>
    <row r="33" spans="2:2" x14ac:dyDescent="0.25">
      <c r="B33" s="3"/>
    </row>
    <row r="34" spans="2:2" x14ac:dyDescent="0.25">
      <c r="B34" s="3"/>
    </row>
    <row r="35" spans="2:2" x14ac:dyDescent="0.25">
      <c r="B35" s="3"/>
    </row>
    <row r="36" spans="2:2" x14ac:dyDescent="0.25">
      <c r="B36" s="3"/>
    </row>
    <row r="37" spans="2:2" x14ac:dyDescent="0.25">
      <c r="B3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8</vt:i4>
      </vt:variant>
      <vt:variant>
        <vt:lpstr>Named Ranges</vt:lpstr>
      </vt:variant>
      <vt:variant>
        <vt:i4>3</vt:i4>
      </vt:variant>
    </vt:vector>
  </HeadingPairs>
  <TitlesOfParts>
    <vt:vector size="18" baseType="lpstr">
      <vt:lpstr>Data</vt:lpstr>
      <vt:lpstr>TY3A_REP_CITIES</vt:lpstr>
      <vt:lpstr>Census Population Data</vt:lpstr>
      <vt:lpstr>Useful Constants</vt:lpstr>
      <vt:lpstr>Leak Rate</vt:lpstr>
      <vt:lpstr>Analysis</vt:lpstr>
      <vt:lpstr>US Average - Population Weight</vt:lpstr>
      <vt:lpstr>Sizing</vt:lpstr>
      <vt:lpstr>AC Adoption</vt:lpstr>
      <vt:lpstr>GWP20 US</vt:lpstr>
      <vt:lpstr>GWP100 US</vt:lpstr>
      <vt:lpstr>Heat Pump Fraction</vt:lpstr>
      <vt:lpstr>CO2 Emission Reduction Bar</vt:lpstr>
      <vt:lpstr>GWP20 Emission Reduction Bar</vt:lpstr>
      <vt:lpstr>GWP100 Emission Reduction Bar</vt:lpstr>
      <vt:lpstr>CO_1_US</vt:lpstr>
      <vt:lpstr>'Census Population Data'!Print_Area</vt:lpstr>
      <vt:lpstr>'Census Population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E Pistochini</dc:creator>
  <cp:lastModifiedBy>Theresa E Pistochini</cp:lastModifiedBy>
  <cp:lastPrinted>2021-02-26T19:57:35Z</cp:lastPrinted>
  <dcterms:created xsi:type="dcterms:W3CDTF">2021-01-20T17:55:29Z</dcterms:created>
  <dcterms:modified xsi:type="dcterms:W3CDTF">2023-04-17T19:53:36Z</dcterms:modified>
</cp:coreProperties>
</file>