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C:\Sinh2019\LSHTM-AMR\"/>
    </mc:Choice>
  </mc:AlternateContent>
  <xr:revisionPtr revIDLastSave="0" documentId="13_ncr:1_{2217702E-CDAB-4525-9FA7-700E790E1F83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Note" sheetId="2" r:id="rId1"/>
    <sheet name="Pig data" sheetId="4" r:id="rId2"/>
    <sheet name="Floor sample " sheetId="3" r:id="rId3"/>
    <sheet name="Feed consumption " sheetId="5" r:id="rId4"/>
  </sheets>
  <definedNames>
    <definedName name="_xlnm._FilterDatabase" localSheetId="2" hidden="1">'Floor sample '!$A$1:$D$76</definedName>
    <definedName name="_xlnm._FilterDatabase" localSheetId="1" hidden="1">'Pig data'!$B$1:$K$451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37" i="4" l="1"/>
  <c r="L437" i="4" s="1"/>
  <c r="L268" i="4"/>
  <c r="L267" i="4"/>
  <c r="L262" i="4"/>
  <c r="L261" i="4"/>
  <c r="L259" i="4"/>
  <c r="L257" i="4"/>
  <c r="L252" i="4"/>
  <c r="L250" i="4"/>
  <c r="L244" i="4"/>
  <c r="L242" i="4"/>
  <c r="L240" i="4"/>
  <c r="L237" i="4"/>
  <c r="L235" i="4"/>
  <c r="L231" i="4"/>
  <c r="L227" i="4"/>
  <c r="L224" i="4"/>
  <c r="L221" i="4"/>
  <c r="L220" i="4"/>
  <c r="L214" i="4"/>
  <c r="L212" i="4"/>
  <c r="L210" i="4"/>
  <c r="L209" i="4"/>
  <c r="L203" i="4"/>
  <c r="L202" i="4"/>
  <c r="L197" i="4"/>
  <c r="L196" i="4"/>
  <c r="L190" i="4"/>
  <c r="L189" i="4"/>
  <c r="L187" i="4"/>
  <c r="L182" i="4"/>
  <c r="L178" i="4"/>
  <c r="L177" i="4"/>
  <c r="L172" i="4"/>
  <c r="L171" i="4"/>
  <c r="L169" i="4"/>
  <c r="L167" i="4"/>
  <c r="L162" i="4"/>
  <c r="L160" i="4"/>
  <c r="L154" i="4"/>
  <c r="L152" i="4"/>
  <c r="L150" i="4"/>
  <c r="L147" i="4"/>
  <c r="L145" i="4"/>
  <c r="L141" i="4"/>
  <c r="L137" i="4"/>
  <c r="L134" i="4"/>
  <c r="L131" i="4"/>
  <c r="L130" i="4"/>
  <c r="L124" i="4"/>
  <c r="L122" i="4"/>
  <c r="L120" i="4"/>
  <c r="L119" i="4"/>
  <c r="L113" i="4"/>
  <c r="L112" i="4"/>
  <c r="L107" i="4"/>
  <c r="L106" i="4"/>
  <c r="L100" i="4"/>
  <c r="L99" i="4"/>
  <c r="L97" i="4"/>
  <c r="L92" i="4"/>
  <c r="L448" i="4"/>
  <c r="L88" i="4"/>
  <c r="L447" i="4"/>
  <c r="L87" i="4"/>
  <c r="L442" i="4"/>
  <c r="L82" i="4"/>
  <c r="L441" i="4"/>
  <c r="L81" i="4"/>
  <c r="L439" i="4"/>
  <c r="L79" i="4"/>
  <c r="L77" i="4"/>
  <c r="L432" i="4"/>
  <c r="L72" i="4"/>
  <c r="L430" i="4"/>
  <c r="L70" i="4"/>
  <c r="L424" i="4"/>
  <c r="L64" i="4"/>
  <c r="L422" i="4"/>
  <c r="L62" i="4"/>
  <c r="L420" i="4"/>
  <c r="L60" i="4"/>
  <c r="L417" i="4"/>
  <c r="L57" i="4"/>
  <c r="L415" i="4"/>
  <c r="L55" i="4"/>
  <c r="L411" i="4"/>
  <c r="L51" i="4"/>
  <c r="L407" i="4"/>
  <c r="L47" i="4"/>
  <c r="L404" i="4"/>
  <c r="L44" i="4"/>
  <c r="L401" i="4"/>
  <c r="L41" i="4"/>
  <c r="L400" i="4"/>
  <c r="L40" i="4"/>
  <c r="L394" i="4"/>
  <c r="L34" i="4"/>
  <c r="L392" i="4"/>
  <c r="L32" i="4"/>
  <c r="L390" i="4"/>
  <c r="L30" i="4"/>
  <c r="L389" i="4"/>
  <c r="L29" i="4"/>
  <c r="L383" i="4"/>
  <c r="L23" i="4"/>
  <c r="L382" i="4"/>
  <c r="L22" i="4"/>
  <c r="L377" i="4"/>
  <c r="L17" i="4"/>
  <c r="L376" i="4"/>
  <c r="L16" i="4"/>
  <c r="L370" i="4"/>
  <c r="L10" i="4"/>
  <c r="L369" i="4"/>
  <c r="L9" i="4"/>
  <c r="L367" i="4"/>
  <c r="L7" i="4"/>
  <c r="L362" i="4"/>
  <c r="L2" i="4"/>
  <c r="G14" i="2" l="1"/>
  <c r="G13" i="2"/>
  <c r="F15" i="2"/>
  <c r="E15" i="2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C76" i="3"/>
  <c r="D76" i="3" s="1"/>
  <c r="C75" i="3"/>
  <c r="D75" i="3" s="1"/>
  <c r="C74" i="3"/>
  <c r="D74" i="3" s="1"/>
  <c r="C73" i="3"/>
  <c r="D73" i="3" s="1"/>
  <c r="C72" i="3"/>
  <c r="D72" i="3" s="1"/>
  <c r="C71" i="3"/>
  <c r="D71" i="3" s="1"/>
  <c r="C70" i="3"/>
  <c r="D70" i="3" s="1"/>
  <c r="C69" i="3"/>
  <c r="D69" i="3" s="1"/>
  <c r="C68" i="3"/>
  <c r="D68" i="3" s="1"/>
  <c r="C67" i="3"/>
  <c r="D67" i="3" s="1"/>
  <c r="C66" i="3"/>
  <c r="D66" i="3" s="1"/>
  <c r="C65" i="3"/>
  <c r="D65" i="3" s="1"/>
  <c r="C64" i="3"/>
  <c r="D64" i="3" s="1"/>
  <c r="C63" i="3"/>
  <c r="D63" i="3" s="1"/>
  <c r="C62" i="3"/>
  <c r="D62" i="3" s="1"/>
  <c r="K448" i="4"/>
  <c r="K447" i="4"/>
  <c r="K442" i="4"/>
  <c r="K441" i="4"/>
  <c r="K439" i="4"/>
  <c r="K432" i="4"/>
  <c r="K430" i="4"/>
  <c r="K424" i="4"/>
  <c r="K422" i="4"/>
  <c r="K420" i="4"/>
  <c r="K417" i="4"/>
  <c r="K415" i="4"/>
  <c r="K411" i="4"/>
  <c r="K407" i="4"/>
  <c r="K404" i="4"/>
  <c r="K401" i="4"/>
  <c r="K400" i="4"/>
  <c r="K394" i="4"/>
  <c r="K392" i="4"/>
  <c r="K390" i="4"/>
  <c r="K389" i="4"/>
  <c r="K383" i="4"/>
  <c r="K382" i="4"/>
  <c r="K377" i="4"/>
  <c r="K376" i="4"/>
  <c r="K370" i="4"/>
  <c r="K369" i="4"/>
  <c r="K367" i="4"/>
  <c r="K362" i="4"/>
  <c r="A23" i="5" l="1"/>
  <c r="A22" i="5"/>
  <c r="A21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U23" i="5"/>
  <c r="CV23" i="5"/>
  <c r="CW23" i="5"/>
  <c r="CX23" i="5"/>
  <c r="CY23" i="5"/>
  <c r="CZ23" i="5"/>
  <c r="DA23" i="5"/>
  <c r="DB23" i="5"/>
  <c r="DC23" i="5"/>
  <c r="DD23" i="5"/>
  <c r="DE23" i="5"/>
  <c r="DF23" i="5"/>
  <c r="DG23" i="5"/>
  <c r="DH23" i="5"/>
  <c r="DI23" i="5"/>
  <c r="DJ23" i="5"/>
  <c r="DK23" i="5"/>
  <c r="DL23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CT22" i="5"/>
  <c r="CU22" i="5"/>
  <c r="CV22" i="5"/>
  <c r="CW22" i="5"/>
  <c r="CX22" i="5"/>
  <c r="CY22" i="5"/>
  <c r="CZ22" i="5"/>
  <c r="DA22" i="5"/>
  <c r="DB22" i="5"/>
  <c r="DC22" i="5"/>
  <c r="DD22" i="5"/>
  <c r="DE22" i="5"/>
  <c r="DF22" i="5"/>
  <c r="DG22" i="5"/>
  <c r="DH22" i="5"/>
  <c r="DI22" i="5"/>
  <c r="DJ22" i="5"/>
  <c r="DK22" i="5"/>
  <c r="DL22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U21" i="5"/>
  <c r="CV21" i="5"/>
  <c r="CW21" i="5"/>
  <c r="CX21" i="5"/>
  <c r="CY21" i="5"/>
  <c r="CZ21" i="5"/>
  <c r="DA21" i="5"/>
  <c r="DB21" i="5"/>
  <c r="DC21" i="5"/>
  <c r="DD21" i="5"/>
  <c r="DE21" i="5"/>
  <c r="DF21" i="5"/>
  <c r="DG21" i="5"/>
  <c r="DH21" i="5"/>
  <c r="DI21" i="5"/>
  <c r="DJ21" i="5"/>
  <c r="DK21" i="5"/>
  <c r="DL21" i="5"/>
  <c r="BY21" i="5" l="1"/>
  <c r="BT22" i="5"/>
  <c r="BU22" i="5"/>
  <c r="BV22" i="5"/>
  <c r="BW22" i="5"/>
  <c r="BX22" i="5"/>
  <c r="BY22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C15" i="2"/>
  <c r="D15" i="2"/>
  <c r="B15" i="2"/>
  <c r="G15" i="2" l="1"/>
  <c r="K268" i="4"/>
  <c r="K267" i="4"/>
  <c r="K262" i="4"/>
  <c r="K261" i="4"/>
  <c r="K259" i="4"/>
  <c r="K257" i="4"/>
  <c r="K252" i="4"/>
  <c r="K250" i="4"/>
  <c r="K244" i="4"/>
  <c r="K242" i="4"/>
  <c r="K240" i="4"/>
  <c r="K237" i="4"/>
  <c r="K235" i="4"/>
  <c r="K231" i="4"/>
  <c r="K227" i="4"/>
  <c r="K224" i="4"/>
  <c r="K221" i="4"/>
  <c r="K220" i="4"/>
  <c r="K214" i="4"/>
  <c r="K212" i="4"/>
  <c r="K210" i="4"/>
  <c r="K209" i="4"/>
  <c r="K203" i="4"/>
  <c r="K202" i="4"/>
  <c r="K197" i="4"/>
  <c r="K196" i="4"/>
  <c r="K190" i="4"/>
  <c r="K189" i="4"/>
  <c r="K187" i="4"/>
  <c r="K182" i="4"/>
  <c r="C44" i="3"/>
  <c r="D44" i="3" s="1"/>
  <c r="C46" i="3"/>
  <c r="D46" i="3" s="1"/>
  <c r="C45" i="3"/>
  <c r="D45" i="3" s="1"/>
  <c r="C43" i="3"/>
  <c r="D43" i="3" s="1"/>
  <c r="C42" i="3"/>
  <c r="D42" i="3" s="1"/>
  <c r="C41" i="3"/>
  <c r="D41" i="3" s="1"/>
  <c r="C40" i="3"/>
  <c r="D40" i="3" s="1"/>
  <c r="C39" i="3"/>
  <c r="D39" i="3" s="1"/>
  <c r="C38" i="3"/>
  <c r="D38" i="3" s="1"/>
  <c r="C37" i="3"/>
  <c r="D37" i="3" s="1"/>
  <c r="C35" i="3"/>
  <c r="D35" i="3" s="1"/>
  <c r="C34" i="3"/>
  <c r="D34" i="3" s="1"/>
  <c r="C32" i="3"/>
  <c r="D32" i="3" s="1"/>
  <c r="C17" i="4" l="1"/>
  <c r="C287" i="4" s="1"/>
  <c r="C377" i="4" s="1"/>
  <c r="K178" i="4" l="1"/>
  <c r="K177" i="4"/>
  <c r="K172" i="4"/>
  <c r="K171" i="4"/>
  <c r="K169" i="4"/>
  <c r="K167" i="4"/>
  <c r="K162" i="4"/>
  <c r="K160" i="4"/>
  <c r="K154" i="4"/>
  <c r="K152" i="4"/>
  <c r="K150" i="4"/>
  <c r="K147" i="4"/>
  <c r="K145" i="4"/>
  <c r="K141" i="4"/>
  <c r="K137" i="4"/>
  <c r="K131" i="4"/>
  <c r="K130" i="4"/>
  <c r="K124" i="4"/>
  <c r="K122" i="4"/>
  <c r="K120" i="4"/>
  <c r="K119" i="4"/>
  <c r="K113" i="4"/>
  <c r="K112" i="4"/>
  <c r="K106" i="4"/>
  <c r="K100" i="4"/>
  <c r="K99" i="4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6" i="3"/>
  <c r="D16" i="3" s="1"/>
  <c r="C15" i="3"/>
  <c r="D15" i="3" s="1"/>
  <c r="C14" i="3"/>
  <c r="D14" i="3" s="1"/>
  <c r="C13" i="3"/>
  <c r="D13" i="3" s="1"/>
  <c r="C12" i="3"/>
  <c r="D12" i="3" s="1"/>
  <c r="C10" i="3"/>
  <c r="D10" i="3" s="1"/>
  <c r="C9" i="3"/>
  <c r="D9" i="3" s="1"/>
  <c r="C8" i="3"/>
  <c r="D8" i="3" s="1"/>
  <c r="C7" i="3"/>
  <c r="D7" i="3" s="1"/>
  <c r="C6" i="3"/>
  <c r="D6" i="3" s="1"/>
  <c r="C5" i="3"/>
  <c r="D5" i="3" s="1"/>
  <c r="C4" i="3"/>
  <c r="D4" i="3" s="1"/>
  <c r="C3" i="3"/>
  <c r="D3" i="3" s="1"/>
  <c r="C2" i="3"/>
  <c r="D2" i="3" s="1"/>
  <c r="D23" i="5" l="1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C23" i="5"/>
  <c r="C22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C21" i="5"/>
  <c r="K88" i="4" l="1"/>
  <c r="K87" i="4"/>
  <c r="K82" i="4"/>
  <c r="K81" i="4"/>
  <c r="K79" i="4"/>
  <c r="K77" i="4"/>
  <c r="K72" i="4"/>
  <c r="K70" i="4"/>
  <c r="K64" i="4"/>
  <c r="K62" i="4"/>
  <c r="K60" i="4"/>
  <c r="K57" i="4"/>
  <c r="K55" i="4"/>
  <c r="K51" i="4"/>
  <c r="K47" i="4"/>
  <c r="K44" i="4"/>
  <c r="K41" i="4"/>
  <c r="K40" i="4"/>
  <c r="K34" i="4"/>
  <c r="K32" i="4"/>
  <c r="K30" i="4"/>
  <c r="K29" i="4"/>
  <c r="K23" i="4"/>
  <c r="K22" i="4"/>
  <c r="K17" i="4"/>
  <c r="K16" i="4"/>
  <c r="K10" i="4"/>
  <c r="K9" i="4"/>
  <c r="K7" i="4"/>
  <c r="K2" i="4"/>
</calcChain>
</file>

<file path=xl/sharedStrings.xml><?xml version="1.0" encoding="utf-8"?>
<sst xmlns="http://schemas.openxmlformats.org/spreadsheetml/2006/main" count="1846" uniqueCount="227">
  <si>
    <t>Pig ID</t>
  </si>
  <si>
    <t>Sex</t>
  </si>
  <si>
    <t xml:space="preserve">Group </t>
  </si>
  <si>
    <t>TN1</t>
  </si>
  <si>
    <t>TN2</t>
  </si>
  <si>
    <t>TN3</t>
  </si>
  <si>
    <t>M0 weight</t>
  </si>
  <si>
    <t>31/12/2020</t>
  </si>
  <si>
    <t>Control pen (ô chuồng đối chứng)</t>
  </si>
  <si>
    <t xml:space="preserve">TN2 </t>
  </si>
  <si>
    <t>Probiotic pen (ô chuồng probitic)</t>
  </si>
  <si>
    <t xml:space="preserve">TN1 </t>
  </si>
  <si>
    <t>Pig sample ID</t>
  </si>
  <si>
    <t>P1.1.1</t>
  </si>
  <si>
    <t>P2.2.1</t>
  </si>
  <si>
    <t>P3.2.1</t>
  </si>
  <si>
    <t>P3.3.1</t>
  </si>
  <si>
    <t>P3.4.1</t>
  </si>
  <si>
    <t>P6.1.1</t>
  </si>
  <si>
    <t>P4.2.2</t>
  </si>
  <si>
    <t>P4.3.1</t>
  </si>
  <si>
    <t>P4.4.1</t>
  </si>
  <si>
    <t>P6.4.2</t>
  </si>
  <si>
    <t>P4.5.1</t>
  </si>
  <si>
    <t>P5.5.2</t>
  </si>
  <si>
    <t>P1.1.2</t>
  </si>
  <si>
    <t>P5.5.1</t>
  </si>
  <si>
    <t>P3.1.2</t>
  </si>
  <si>
    <t>P3.2.2</t>
  </si>
  <si>
    <t>P1.3.2</t>
  </si>
  <si>
    <t>P4.3.2</t>
  </si>
  <si>
    <t>P2.4.2</t>
  </si>
  <si>
    <t>P2.4.3</t>
  </si>
  <si>
    <t>P2.5.3</t>
  </si>
  <si>
    <t>P2.5.2</t>
  </si>
  <si>
    <t>P1.1.3</t>
  </si>
  <si>
    <t>P3.1.3</t>
  </si>
  <si>
    <t>P3.2.3</t>
  </si>
  <si>
    <t>P3.4.3</t>
  </si>
  <si>
    <t>P5.2.3</t>
  </si>
  <si>
    <t>P4.3.3</t>
  </si>
  <si>
    <t>P6.3.3</t>
  </si>
  <si>
    <t>P3.5.3</t>
  </si>
  <si>
    <t>D1.1</t>
  </si>
  <si>
    <t>D1.2</t>
  </si>
  <si>
    <t>D2.1</t>
  </si>
  <si>
    <t>D2.2</t>
  </si>
  <si>
    <t>D3.1</t>
  </si>
  <si>
    <t>D4.1</t>
  </si>
  <si>
    <t>D5.1</t>
  </si>
  <si>
    <t>D3.2</t>
  </si>
  <si>
    <t>D4.2</t>
  </si>
  <si>
    <t>D5.2</t>
  </si>
  <si>
    <t>D1.3</t>
  </si>
  <si>
    <t>D2.3</t>
  </si>
  <si>
    <t>D3.3</t>
  </si>
  <si>
    <t>D4.3</t>
  </si>
  <si>
    <t>D5.3</t>
  </si>
  <si>
    <t>Time</t>
  </si>
  <si>
    <t>M0</t>
  </si>
  <si>
    <t>For Feed and meat samples to analyses Antibiotic concentration/residues:</t>
  </si>
  <si>
    <t>Type</t>
  </si>
  <si>
    <t>Number</t>
  </si>
  <si>
    <t>Feed</t>
  </si>
  <si>
    <t>Monthly: Jan to Apr</t>
  </si>
  <si>
    <t>Early May</t>
  </si>
  <si>
    <t>pen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</si>
  <si>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</si>
  <si>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</si>
  <si>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</si>
  <si>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</si>
  <si>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</si>
  <si>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</si>
  <si>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</si>
  <si>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</si>
  <si>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</si>
  <si>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</si>
  <si>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</si>
  <si>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</si>
  <si>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</si>
  <si>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</si>
  <si>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</si>
  <si>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</si>
  <si>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</si>
  <si>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</si>
  <si>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</si>
  <si>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</si>
  <si>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</si>
  <si>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</si>
  <si>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</si>
  <si>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</si>
  <si>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</si>
  <si>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</si>
  <si>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</si>
  <si>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</si>
  <si>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</si>
  <si>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</si>
  <si>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</si>
  <si>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</si>
  <si>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</si>
  <si>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</si>
  <si>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</si>
  <si>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</si>
  <si>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</si>
  <si>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</si>
  <si>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</si>
  <si>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</si>
  <si>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</si>
  <si>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</si>
  <si>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</si>
  <si>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</si>
  <si>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</si>
  <si>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</si>
  <si>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</si>
  <si>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</si>
  <si>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</si>
  <si>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</si>
  <si>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</si>
  <si>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</si>
  <si>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</si>
  <si>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</si>
  <si>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</si>
  <si>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</si>
  <si>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</si>
  <si>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</si>
  <si>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30/12</t>
  </si>
  <si>
    <t>31/12</t>
  </si>
  <si>
    <t>28/1 - 29/1 giảm cám để dọn máng ăn</t>
  </si>
  <si>
    <t>TN1-Ab</t>
  </si>
  <si>
    <t>TN2-Pro</t>
  </si>
  <si>
    <t>TN3-Ctr</t>
  </si>
  <si>
    <t>M1</t>
  </si>
  <si>
    <t>M2</t>
  </si>
  <si>
    <t>ID sample</t>
  </si>
  <si>
    <t xml:space="preserve">Month </t>
  </si>
  <si>
    <t>S</t>
  </si>
  <si>
    <t xml:space="preserve">Pigpen </t>
  </si>
  <si>
    <t>M1 weight</t>
  </si>
  <si>
    <t>M2 weight</t>
  </si>
  <si>
    <t>28/1/2021</t>
  </si>
  <si>
    <t>Pig sample</t>
  </si>
  <si>
    <t>Floor sample</t>
  </si>
  <si>
    <t xml:space="preserve">Total </t>
  </si>
  <si>
    <t xml:space="preserve">Time control </t>
  </si>
  <si>
    <t xml:space="preserve">Antibiotic pen (ô chuồng kháng sinh) 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</si>
  <si>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</si>
  <si>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</si>
  <si>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</si>
  <si>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</si>
  <si>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</si>
  <si>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</si>
  <si>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</si>
  <si>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</si>
  <si>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</si>
  <si>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</si>
  <si>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</si>
  <si>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</si>
  <si>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</si>
  <si>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</si>
  <si>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</si>
  <si>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</si>
  <si>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</si>
  <si>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số kg cám cho vào mỗi ngày?</t>
  </si>
  <si>
    <t>Bảng chấm công bảng 5 thông tin</t>
  </si>
  <si>
    <t xml:space="preserve">feed efficiency and FCR </t>
  </si>
  <si>
    <t>KII với students: làm rõ các vẫn đề về CB: có ? Sinh viên tham gia chăm sóc lợn?</t>
  </si>
  <si>
    <t>M3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</si>
  <si>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</si>
  <si>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</si>
  <si>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</si>
  <si>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</si>
  <si>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</si>
  <si>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</si>
  <si>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</si>
  <si>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</si>
  <si>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</si>
  <si>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</si>
  <si>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</si>
  <si>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</si>
  <si>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</si>
  <si>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</si>
  <si>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</si>
  <si>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</si>
  <si>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</si>
  <si>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</si>
  <si>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</si>
  <si>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</si>
  <si>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</si>
  <si>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</si>
  <si>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</si>
  <si>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</si>
  <si>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</si>
  <si>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</si>
  <si>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</si>
  <si>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</si>
  <si>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</si>
  <si>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</si>
  <si>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</si>
  <si>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</si>
  <si>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</si>
  <si>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</si>
  <si>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</si>
  <si>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</si>
  <si>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</si>
  <si>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</si>
  <si>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</si>
  <si>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</si>
  <si>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</si>
  <si>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</si>
  <si>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</si>
  <si>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M4</t>
  </si>
  <si>
    <t>Align</t>
  </si>
  <si>
    <t>Sample</t>
  </si>
  <si>
    <t>Antibiotic</t>
  </si>
  <si>
    <t>Probiotic</t>
  </si>
  <si>
    <t>Control</t>
  </si>
  <si>
    <t>Pork (pooled 3)</t>
  </si>
  <si>
    <t>Kidney (pooled 3)</t>
  </si>
  <si>
    <t>Male</t>
  </si>
  <si>
    <t>Female</t>
  </si>
  <si>
    <t>Weight (kg)</t>
  </si>
  <si>
    <t>M3 weight</t>
  </si>
  <si>
    <t>M4 weight</t>
  </si>
  <si>
    <t>26/4/2021</t>
  </si>
  <si>
    <t>Ecoli.CFU</t>
  </si>
  <si>
    <t>Ecoli.LogCFU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</si>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</sst>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14" fontId="0" fillId="0" borderId="0" xfId="0" applyNumberFormat="1"/>
    <xf numFmtId="2" fontId="0" fillId="0" borderId="0" xfId="0" applyNumberFormat="1"/>
    <xf numFmtId="0" fontId="0" fillId="0" borderId="0" xfId="0" applyBorder="1"/>
    <xf numFmtId="0" fontId="0" fillId="0" borderId="0" xfId="0" applyAlignment="1">
      <alignment horizontal="right"/>
    </xf>
    <xf numFmtId="0" fontId="5" fillId="0" borderId="1" xfId="0" applyFont="1" applyFill="1" applyBorder="1"/>
    <xf numFmtId="0" fontId="5" fillId="0" borderId="0" xfId="0" applyFont="1"/>
    <xf numFmtId="0" fontId="5" fillId="4" borderId="0" xfId="0" applyFont="1" applyFill="1"/>
    <xf numFmtId="0" fontId="0" fillId="0" borderId="1" xfId="0" applyBorder="1" applyAlignment="1">
      <alignment horizontal="center"/>
    </xf>
    <xf numFmtId="0" fontId="6" fillId="4" borderId="1" xfId="0" applyFont="1" applyFill="1" applyBorder="1"/>
    <xf numFmtId="0" fontId="7" fillId="0" borderId="1" xfId="0" applyFont="1" applyBorder="1"/>
    <xf numFmtId="0" fontId="7" fillId="0" borderId="1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/>
    </xf>
    <xf numFmtId="0" fontId="5" fillId="0" borderId="3" xfId="0" applyFont="1" applyBorder="1"/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7" borderId="0" xfId="0" applyFill="1"/>
    <xf numFmtId="0" fontId="0" fillId="0" borderId="0" xfId="0" applyFont="1"/>
    <xf numFmtId="0" fontId="12" fillId="0" borderId="0" xfId="0" applyFont="1"/>
    <xf numFmtId="0" fontId="13" fillId="0" borderId="0" xfId="0" applyFont="1"/>
    <xf numFmtId="0" fontId="3" fillId="0" borderId="1" xfId="0" applyFont="1" applyBorder="1" applyAlignment="1">
      <alignment horizontal="center" vertical="center" wrapText="1"/>
    </xf>
    <xf numFmtId="2" fontId="7" fillId="0" borderId="1" xfId="0" applyNumberFormat="1" applyFont="1" applyFill="1" applyBorder="1"/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71" fontId="0" fillId="2" borderId="1" xfId="3" applyNumberFormat="1" applyFont="1" applyFill="1" applyBorder="1"/>
    <xf numFmtId="0" fontId="0" fillId="0" borderId="1" xfId="0" applyFont="1" applyFill="1" applyBorder="1"/>
    <xf numFmtId="0" fontId="5" fillId="0" borderId="1" xfId="0" applyFont="1" applyBorder="1"/>
    <xf numFmtId="0" fontId="0" fillId="2" borderId="1" xfId="0" applyFont="1" applyFill="1" applyBorder="1"/>
    <xf numFmtId="2" fontId="0" fillId="0" borderId="1" xfId="0" applyNumberFormat="1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8" xfId="0" applyNumberFormat="1" applyBorder="1" applyAlignment="1">
      <alignment horizontal="right"/>
    </xf>
    <xf numFmtId="0" fontId="5" fillId="7" borderId="1" xfId="0" applyFont="1" applyFill="1" applyBorder="1"/>
    <xf numFmtId="16" fontId="5" fillId="0" borderId="1" xfId="0" applyNumberFormat="1" applyFont="1" applyBorder="1"/>
    <xf numFmtId="16" fontId="5" fillId="7" borderId="1" xfId="0" applyNumberFormat="1" applyFont="1" applyFill="1" applyBorder="1"/>
    <xf numFmtId="0" fontId="13" fillId="0" borderId="1" xfId="0" applyFont="1" applyFill="1" applyBorder="1"/>
    <xf numFmtId="0" fontId="13" fillId="0" borderId="1" xfId="0" applyFont="1" applyBorder="1"/>
    <xf numFmtId="0" fontId="13" fillId="7" borderId="1" xfId="0" applyFont="1" applyFill="1" applyBorder="1"/>
    <xf numFmtId="0" fontId="13" fillId="8" borderId="1" xfId="0" applyFont="1" applyFill="1" applyBorder="1"/>
    <xf numFmtId="0" fontId="13" fillId="3" borderId="1" xfId="0" applyFont="1" applyFill="1" applyBorder="1"/>
    <xf numFmtId="0" fontId="13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3" borderId="1" xfId="0" applyFont="1" applyFill="1" applyBorder="1"/>
    <xf numFmtId="0" fontId="12" fillId="0" borderId="1" xfId="0" applyFont="1" applyFill="1" applyBorder="1"/>
    <xf numFmtId="0" fontId="12" fillId="0" borderId="1" xfId="0" applyFont="1" applyBorder="1"/>
    <xf numFmtId="0" fontId="12" fillId="7" borderId="1" xfId="0" applyFont="1" applyFill="1" applyBorder="1"/>
    <xf numFmtId="0" fontId="12" fillId="3" borderId="1" xfId="0" applyFont="1" applyFill="1" applyBorder="1"/>
    <xf numFmtId="0" fontId="12" fillId="5" borderId="1" xfId="0" applyFont="1" applyFill="1" applyBorder="1"/>
    <xf numFmtId="0" fontId="12" fillId="8" borderId="1" xfId="0" applyFont="1" applyFill="1" applyBorder="1"/>
  </cellXfs>
  <cellStyles count="4">
    <cellStyle name="Comma" xfId="3" builtinId="3"/>
    <cellStyle name="Normal" xfId="0" builtinId="0"/>
    <cellStyle name="Normal 2" xfId="1" xr:uid="{E941E809-2EA7-4377-AAA6-A45D8D7C98A0}"/>
    <cellStyle name="Normal 3" xfId="2" xr:uid="{B3129824-11A5-41F5-A05C-AAE0E1AE3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'Feed consumption '!$B$21</c:f>
              <c:strCache>
                <c:ptCount val="1"/>
                <c:pt idx="0">
                  <c:v>TN1-Ab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'Feed consumption '!$C$21:$BY$21</c:f>
              <c:numCache>
                <c:formatCode>General</c:formatCode>
                <c:ptCount val="75"/>
                <c:pt idx="0">
                  <c:v>1.8</c:v>
                </c:pt>
                <c:pt idx="1">
                  <c:v>2.1</c:v>
                </c:pt>
                <c:pt idx="2">
                  <c:v>2.4</c:v>
                </c:pt>
                <c:pt idx="3">
                  <c:v>3.59</c:v>
                </c:pt>
                <c:pt idx="4">
                  <c:v>2.6100000000000003</c:v>
                </c:pt>
                <c:pt idx="5">
                  <c:v>3.4</c:v>
                </c:pt>
                <c:pt idx="6">
                  <c:v>3.5</c:v>
                </c:pt>
                <c:pt idx="7">
                  <c:v>3.85</c:v>
                </c:pt>
                <c:pt idx="8">
                  <c:v>3.7700000000000005</c:v>
                </c:pt>
                <c:pt idx="9">
                  <c:v>4.3499999999999996</c:v>
                </c:pt>
                <c:pt idx="10">
                  <c:v>3.4599999999999995</c:v>
                </c:pt>
                <c:pt idx="11">
                  <c:v>4.26</c:v>
                </c:pt>
                <c:pt idx="12">
                  <c:v>4.57</c:v>
                </c:pt>
                <c:pt idx="13">
                  <c:v>4.7700000000000005</c:v>
                </c:pt>
                <c:pt idx="14">
                  <c:v>5.0200000000000005</c:v>
                </c:pt>
                <c:pt idx="15">
                  <c:v>5.0999999999999996</c:v>
                </c:pt>
                <c:pt idx="16">
                  <c:v>5.2700000000000005</c:v>
                </c:pt>
                <c:pt idx="17">
                  <c:v>5.0999999999999996</c:v>
                </c:pt>
                <c:pt idx="18">
                  <c:v>6.02</c:v>
                </c:pt>
                <c:pt idx="19">
                  <c:v>6.49</c:v>
                </c:pt>
                <c:pt idx="20">
                  <c:v>6.25</c:v>
                </c:pt>
                <c:pt idx="21">
                  <c:v>6.1499999999999995</c:v>
                </c:pt>
                <c:pt idx="22">
                  <c:v>6.5299999999999994</c:v>
                </c:pt>
                <c:pt idx="23">
                  <c:v>6.16</c:v>
                </c:pt>
                <c:pt idx="24">
                  <c:v>6.4</c:v>
                </c:pt>
                <c:pt idx="25">
                  <c:v>6.4799999999999995</c:v>
                </c:pt>
                <c:pt idx="26">
                  <c:v>6.63</c:v>
                </c:pt>
                <c:pt idx="27">
                  <c:v>6.7199999999999989</c:v>
                </c:pt>
                <c:pt idx="28">
                  <c:v>6.4</c:v>
                </c:pt>
                <c:pt idx="29">
                  <c:v>6.08</c:v>
                </c:pt>
                <c:pt idx="30">
                  <c:v>6</c:v>
                </c:pt>
                <c:pt idx="31">
                  <c:v>7.266</c:v>
                </c:pt>
                <c:pt idx="32">
                  <c:v>6.9219999999999997</c:v>
                </c:pt>
                <c:pt idx="33">
                  <c:v>7.6</c:v>
                </c:pt>
                <c:pt idx="34">
                  <c:v>6.94</c:v>
                </c:pt>
                <c:pt idx="35">
                  <c:v>7.1</c:v>
                </c:pt>
                <c:pt idx="36">
                  <c:v>8.1900000000000013</c:v>
                </c:pt>
                <c:pt idx="37">
                  <c:v>6.9399999999999995</c:v>
                </c:pt>
                <c:pt idx="38">
                  <c:v>7.3100000000000005</c:v>
                </c:pt>
                <c:pt idx="39">
                  <c:v>8.1</c:v>
                </c:pt>
                <c:pt idx="40">
                  <c:v>8.25</c:v>
                </c:pt>
                <c:pt idx="41">
                  <c:v>8.8000000000000007</c:v>
                </c:pt>
                <c:pt idx="42">
                  <c:v>9</c:v>
                </c:pt>
                <c:pt idx="43">
                  <c:v>8.3079999999999998</c:v>
                </c:pt>
                <c:pt idx="44">
                  <c:v>9.6940000000000008</c:v>
                </c:pt>
                <c:pt idx="45">
                  <c:v>8.9879999999999995</c:v>
                </c:pt>
                <c:pt idx="46">
                  <c:v>7.7560000000000002</c:v>
                </c:pt>
                <c:pt idx="47">
                  <c:v>9.2799999999999994</c:v>
                </c:pt>
                <c:pt idx="48">
                  <c:v>9.93</c:v>
                </c:pt>
                <c:pt idx="49">
                  <c:v>10.169999999999998</c:v>
                </c:pt>
                <c:pt idx="50">
                  <c:v>10.33</c:v>
                </c:pt>
                <c:pt idx="51">
                  <c:v>9.9599999999999991</c:v>
                </c:pt>
                <c:pt idx="52">
                  <c:v>10.920000000000002</c:v>
                </c:pt>
                <c:pt idx="53">
                  <c:v>11.1</c:v>
                </c:pt>
                <c:pt idx="54">
                  <c:v>11.148</c:v>
                </c:pt>
                <c:pt idx="55">
                  <c:v>11.32</c:v>
                </c:pt>
                <c:pt idx="56">
                  <c:v>11.4</c:v>
                </c:pt>
                <c:pt idx="57">
                  <c:v>11.811999999999998</c:v>
                </c:pt>
                <c:pt idx="58">
                  <c:v>12.000000000000002</c:v>
                </c:pt>
                <c:pt idx="59">
                  <c:v>12.044</c:v>
                </c:pt>
                <c:pt idx="60">
                  <c:v>11.91</c:v>
                </c:pt>
                <c:pt idx="61">
                  <c:v>12.184000000000001</c:v>
                </c:pt>
                <c:pt idx="62">
                  <c:v>12.279999999999998</c:v>
                </c:pt>
                <c:pt idx="63">
                  <c:v>12.34</c:v>
                </c:pt>
                <c:pt idx="64">
                  <c:v>11.5</c:v>
                </c:pt>
                <c:pt idx="65">
                  <c:v>13.8</c:v>
                </c:pt>
                <c:pt idx="66">
                  <c:v>14.8</c:v>
                </c:pt>
                <c:pt idx="67">
                  <c:v>12.736000000000001</c:v>
                </c:pt>
                <c:pt idx="68">
                  <c:v>14.24</c:v>
                </c:pt>
                <c:pt idx="69">
                  <c:v>13.25</c:v>
                </c:pt>
                <c:pt idx="70">
                  <c:v>13.914000000000001</c:v>
                </c:pt>
                <c:pt idx="71">
                  <c:v>13.916</c:v>
                </c:pt>
                <c:pt idx="72">
                  <c:v>14.242000000000001</c:v>
                </c:pt>
                <c:pt idx="73">
                  <c:v>14.24</c:v>
                </c:pt>
                <c:pt idx="74">
                  <c:v>14.779999999999998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A-4916-9BDE-578724D7D880}"/>
            </c:ext>
          </c:extLst>
        </c:ser>
        <c:ser>
          <c:idx val="1"/>
          <c:order val="1"/>
          <c:tx>
            <c:strRef>
              <c:f>'Feed consumption '!$B$22</c:f>
              <c:strCache>
                <c:ptCount val="1"/>
                <c:pt idx="0">
                  <c:v>TN2-Pro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'Feed consumption '!$C$22:$BY$22</c:f>
              <c:numCache>
                <c:formatCode>General</c:formatCode>
                <c:ptCount val="75"/>
                <c:pt idx="0">
                  <c:v>1.8</c:v>
                </c:pt>
                <c:pt idx="1">
                  <c:v>2.1</c:v>
                </c:pt>
                <c:pt idx="2">
                  <c:v>2.4</c:v>
                </c:pt>
                <c:pt idx="3">
                  <c:v>3.8240000000000003</c:v>
                </c:pt>
                <c:pt idx="4">
                  <c:v>2.67</c:v>
                </c:pt>
                <c:pt idx="5">
                  <c:v>3.41</c:v>
                </c:pt>
                <c:pt idx="6">
                  <c:v>3.5</c:v>
                </c:pt>
                <c:pt idx="7">
                  <c:v>3.84</c:v>
                </c:pt>
                <c:pt idx="8">
                  <c:v>3.79</c:v>
                </c:pt>
                <c:pt idx="9">
                  <c:v>4.18</c:v>
                </c:pt>
                <c:pt idx="10">
                  <c:v>3.8199999999999994</c:v>
                </c:pt>
                <c:pt idx="11">
                  <c:v>4.37</c:v>
                </c:pt>
                <c:pt idx="12">
                  <c:v>4.63</c:v>
                </c:pt>
                <c:pt idx="13">
                  <c:v>4.7799999999999994</c:v>
                </c:pt>
                <c:pt idx="14">
                  <c:v>5.0399999999999991</c:v>
                </c:pt>
                <c:pt idx="15">
                  <c:v>5.0399999999999991</c:v>
                </c:pt>
                <c:pt idx="16">
                  <c:v>4.93</c:v>
                </c:pt>
                <c:pt idx="17">
                  <c:v>5.5299999999999994</c:v>
                </c:pt>
                <c:pt idx="18">
                  <c:v>5.7200000000000006</c:v>
                </c:pt>
                <c:pt idx="19">
                  <c:v>6.5199999999999987</c:v>
                </c:pt>
                <c:pt idx="20">
                  <c:v>6.5200000000000005</c:v>
                </c:pt>
                <c:pt idx="21">
                  <c:v>6.3100000000000005</c:v>
                </c:pt>
                <c:pt idx="22">
                  <c:v>6.1800000000000006</c:v>
                </c:pt>
                <c:pt idx="23">
                  <c:v>5.9599999999999991</c:v>
                </c:pt>
                <c:pt idx="24">
                  <c:v>6.2800000000000011</c:v>
                </c:pt>
                <c:pt idx="25">
                  <c:v>6.44</c:v>
                </c:pt>
                <c:pt idx="26">
                  <c:v>6.4</c:v>
                </c:pt>
                <c:pt idx="27">
                  <c:v>6.42</c:v>
                </c:pt>
                <c:pt idx="28">
                  <c:v>6.26</c:v>
                </c:pt>
                <c:pt idx="29">
                  <c:v>6.04</c:v>
                </c:pt>
                <c:pt idx="30">
                  <c:v>6</c:v>
                </c:pt>
                <c:pt idx="31">
                  <c:v>7.7779999999999987</c:v>
                </c:pt>
                <c:pt idx="32">
                  <c:v>7.0259999999999989</c:v>
                </c:pt>
                <c:pt idx="33">
                  <c:v>7.9159999999999995</c:v>
                </c:pt>
                <c:pt idx="34">
                  <c:v>7.63</c:v>
                </c:pt>
                <c:pt idx="35">
                  <c:v>7.2399999999999993</c:v>
                </c:pt>
                <c:pt idx="36">
                  <c:v>8.4400000000000013</c:v>
                </c:pt>
                <c:pt idx="37">
                  <c:v>6.92</c:v>
                </c:pt>
                <c:pt idx="38">
                  <c:v>5.62</c:v>
                </c:pt>
                <c:pt idx="39">
                  <c:v>8.2099999999999991</c:v>
                </c:pt>
                <c:pt idx="40">
                  <c:v>8.1100000000000012</c:v>
                </c:pt>
                <c:pt idx="41">
                  <c:v>8.98</c:v>
                </c:pt>
                <c:pt idx="42">
                  <c:v>8.75</c:v>
                </c:pt>
                <c:pt idx="43">
                  <c:v>8.645999999999999</c:v>
                </c:pt>
                <c:pt idx="44">
                  <c:v>9.6639999999999997</c:v>
                </c:pt>
                <c:pt idx="45">
                  <c:v>9.1579999999999995</c:v>
                </c:pt>
                <c:pt idx="46">
                  <c:v>9.85</c:v>
                </c:pt>
                <c:pt idx="47">
                  <c:v>10.02</c:v>
                </c:pt>
                <c:pt idx="48">
                  <c:v>9.4999999999999982</c:v>
                </c:pt>
                <c:pt idx="49">
                  <c:v>10.16</c:v>
                </c:pt>
                <c:pt idx="50">
                  <c:v>10.33</c:v>
                </c:pt>
                <c:pt idx="51">
                  <c:v>10</c:v>
                </c:pt>
                <c:pt idx="52">
                  <c:v>11.1</c:v>
                </c:pt>
                <c:pt idx="53">
                  <c:v>11.1</c:v>
                </c:pt>
                <c:pt idx="54">
                  <c:v>11.047999999999998</c:v>
                </c:pt>
                <c:pt idx="55">
                  <c:v>11.180000000000001</c:v>
                </c:pt>
                <c:pt idx="56">
                  <c:v>11.815999999999999</c:v>
                </c:pt>
                <c:pt idx="57">
                  <c:v>11.871999999999996</c:v>
                </c:pt>
                <c:pt idx="58">
                  <c:v>11.871999999999998</c:v>
                </c:pt>
                <c:pt idx="59">
                  <c:v>11.988</c:v>
                </c:pt>
                <c:pt idx="60">
                  <c:v>12.219999999999999</c:v>
                </c:pt>
                <c:pt idx="61">
                  <c:v>12.172000000000001</c:v>
                </c:pt>
                <c:pt idx="62">
                  <c:v>12.092000000000001</c:v>
                </c:pt>
                <c:pt idx="63">
                  <c:v>12.263999999999999</c:v>
                </c:pt>
                <c:pt idx="64">
                  <c:v>11.5</c:v>
                </c:pt>
                <c:pt idx="65">
                  <c:v>13.8</c:v>
                </c:pt>
                <c:pt idx="66">
                  <c:v>14.8</c:v>
                </c:pt>
                <c:pt idx="67">
                  <c:v>13.116000000000003</c:v>
                </c:pt>
                <c:pt idx="68">
                  <c:v>13.528000000000002</c:v>
                </c:pt>
                <c:pt idx="69">
                  <c:v>12.902000000000001</c:v>
                </c:pt>
                <c:pt idx="70">
                  <c:v>13.992000000000001</c:v>
                </c:pt>
                <c:pt idx="71">
                  <c:v>13.868</c:v>
                </c:pt>
                <c:pt idx="72">
                  <c:v>13.469999999999999</c:v>
                </c:pt>
                <c:pt idx="73">
                  <c:v>13.766000000000002</c:v>
                </c:pt>
                <c:pt idx="74">
                  <c:v>14.413999999999998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A-4916-9BDE-578724D7D880}"/>
            </c:ext>
          </c:extLst>
        </c:ser>
        <c:ser>
          <c:idx val="2"/>
          <c:order val="2"/>
          <c:tx>
            <c:strRef>
              <c:f>'Feed consumption '!$B$23</c:f>
              <c:strCache>
                <c:ptCount val="1"/>
                <c:pt idx="0">
                  <c:v>TN3-Ctr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'Feed consumption '!$C$23:$BY$23</c:f>
              <c:numCache>
                <c:formatCode>General</c:formatCode>
                <c:ptCount val="75"/>
                <c:pt idx="0">
                  <c:v>1.8</c:v>
                </c:pt>
                <c:pt idx="1">
                  <c:v>2.1</c:v>
                </c:pt>
                <c:pt idx="2">
                  <c:v>2.4</c:v>
                </c:pt>
                <c:pt idx="3">
                  <c:v>3.7399999999999998</c:v>
                </c:pt>
                <c:pt idx="4">
                  <c:v>2.6</c:v>
                </c:pt>
                <c:pt idx="5">
                  <c:v>3.4</c:v>
                </c:pt>
                <c:pt idx="6">
                  <c:v>3.5</c:v>
                </c:pt>
                <c:pt idx="7">
                  <c:v>3.4</c:v>
                </c:pt>
                <c:pt idx="8">
                  <c:v>3.8</c:v>
                </c:pt>
                <c:pt idx="9">
                  <c:v>3.9</c:v>
                </c:pt>
                <c:pt idx="10">
                  <c:v>3.4</c:v>
                </c:pt>
                <c:pt idx="11">
                  <c:v>4.24</c:v>
                </c:pt>
                <c:pt idx="12">
                  <c:v>4.63</c:v>
                </c:pt>
                <c:pt idx="13">
                  <c:v>4.78</c:v>
                </c:pt>
                <c:pt idx="14">
                  <c:v>4.7200000000000006</c:v>
                </c:pt>
                <c:pt idx="15">
                  <c:v>5.32</c:v>
                </c:pt>
                <c:pt idx="16">
                  <c:v>5.0999999999999996</c:v>
                </c:pt>
                <c:pt idx="17">
                  <c:v>5.1099999999999994</c:v>
                </c:pt>
                <c:pt idx="18">
                  <c:v>5.7499999999999991</c:v>
                </c:pt>
                <c:pt idx="19">
                  <c:v>6.2200000000000006</c:v>
                </c:pt>
                <c:pt idx="20">
                  <c:v>6.39</c:v>
                </c:pt>
                <c:pt idx="21">
                  <c:v>6.18</c:v>
                </c:pt>
                <c:pt idx="22">
                  <c:v>5.95</c:v>
                </c:pt>
                <c:pt idx="23">
                  <c:v>5.6599999999999993</c:v>
                </c:pt>
                <c:pt idx="24">
                  <c:v>6.04</c:v>
                </c:pt>
                <c:pt idx="25">
                  <c:v>6.38</c:v>
                </c:pt>
                <c:pt idx="26">
                  <c:v>5.88</c:v>
                </c:pt>
                <c:pt idx="27">
                  <c:v>6.14</c:v>
                </c:pt>
                <c:pt idx="28">
                  <c:v>5.71</c:v>
                </c:pt>
                <c:pt idx="29">
                  <c:v>6.2</c:v>
                </c:pt>
                <c:pt idx="30">
                  <c:v>6</c:v>
                </c:pt>
                <c:pt idx="31">
                  <c:v>7.8519999999999994</c:v>
                </c:pt>
                <c:pt idx="32">
                  <c:v>7.1280000000000001</c:v>
                </c:pt>
                <c:pt idx="33">
                  <c:v>6.7099999999999991</c:v>
                </c:pt>
                <c:pt idx="34">
                  <c:v>7.016</c:v>
                </c:pt>
                <c:pt idx="35">
                  <c:v>3.34</c:v>
                </c:pt>
                <c:pt idx="36">
                  <c:v>6.7799999999999994</c:v>
                </c:pt>
                <c:pt idx="37">
                  <c:v>6.1</c:v>
                </c:pt>
                <c:pt idx="38">
                  <c:v>7.65</c:v>
                </c:pt>
                <c:pt idx="39">
                  <c:v>7.9799999999999995</c:v>
                </c:pt>
                <c:pt idx="40">
                  <c:v>7.8600000000000012</c:v>
                </c:pt>
                <c:pt idx="41">
                  <c:v>8.89</c:v>
                </c:pt>
                <c:pt idx="42">
                  <c:v>8.6800000000000015</c:v>
                </c:pt>
                <c:pt idx="43">
                  <c:v>8.1340000000000003</c:v>
                </c:pt>
                <c:pt idx="44">
                  <c:v>9.2600000000000016</c:v>
                </c:pt>
                <c:pt idx="45">
                  <c:v>9.25</c:v>
                </c:pt>
                <c:pt idx="46">
                  <c:v>9.66</c:v>
                </c:pt>
                <c:pt idx="47">
                  <c:v>10.059999999999999</c:v>
                </c:pt>
                <c:pt idx="48">
                  <c:v>10.180000000000001</c:v>
                </c:pt>
                <c:pt idx="49">
                  <c:v>9.9499999999999993</c:v>
                </c:pt>
                <c:pt idx="50">
                  <c:v>9.42</c:v>
                </c:pt>
                <c:pt idx="51">
                  <c:v>9.98</c:v>
                </c:pt>
                <c:pt idx="52">
                  <c:v>11.1</c:v>
                </c:pt>
                <c:pt idx="53">
                  <c:v>11.1</c:v>
                </c:pt>
                <c:pt idx="54">
                  <c:v>11.004</c:v>
                </c:pt>
                <c:pt idx="55">
                  <c:v>11.651999999999997</c:v>
                </c:pt>
                <c:pt idx="56">
                  <c:v>11.443999999999999</c:v>
                </c:pt>
                <c:pt idx="57">
                  <c:v>11.827999999999999</c:v>
                </c:pt>
                <c:pt idx="58">
                  <c:v>11.687999999999999</c:v>
                </c:pt>
                <c:pt idx="59">
                  <c:v>10.64</c:v>
                </c:pt>
                <c:pt idx="60">
                  <c:v>10.868</c:v>
                </c:pt>
                <c:pt idx="61">
                  <c:v>11.323999999999998</c:v>
                </c:pt>
                <c:pt idx="62">
                  <c:v>11.943999999999999</c:v>
                </c:pt>
                <c:pt idx="63">
                  <c:v>12.26</c:v>
                </c:pt>
                <c:pt idx="64">
                  <c:v>11.5</c:v>
                </c:pt>
                <c:pt idx="65">
                  <c:v>13.540000000000001</c:v>
                </c:pt>
                <c:pt idx="66">
                  <c:v>14.4</c:v>
                </c:pt>
                <c:pt idx="67">
                  <c:v>12.957999999999998</c:v>
                </c:pt>
                <c:pt idx="68">
                  <c:v>14.24</c:v>
                </c:pt>
                <c:pt idx="69">
                  <c:v>12.440000000000001</c:v>
                </c:pt>
                <c:pt idx="70">
                  <c:v>12.913999999999998</c:v>
                </c:pt>
                <c:pt idx="71">
                  <c:v>13.848000000000003</c:v>
                </c:pt>
                <c:pt idx="72">
                  <c:v>14.419999999999998</c:v>
                </c:pt>
                <c:pt idx="73">
                  <c:v>13.857999999999999</c:v>
                </c:pt>
                <c:pt idx="74">
                  <c:v>14.59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A-4916-9BDE-578724D7D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636191"/>
        <c:axId val="1618245855"/>
      </c:lineChart>
      <c:catAx>
        <c:axId val="1613636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45855"/>
        <c:crosses val="autoZero"/>
        <c:auto val="1"/>
        <c:lblAlgn val="ctr"/>
        <c:lblOffset val="100"/>
        <c:noMultiLvlLbl val="0"/>
      </c:catAx>
      <c:valAx>
        <c:axId val="16182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63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438728</xdr:colOff>
      <xdr:row>29</xdr:row>
      <xdr:rowOff>140276</xdr:rowOff>
    </xdr:from>
    <xdr:to>
      <xdr:col>42</xdr:col>
      <xdr:colOff>324428</xdr:colOff>
      <xdr:row>43</xdr:row>
      <xdr:rowOff>15873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187AC6-BF58-41B5-9B08-96726A939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93FC-22A7-4789-BAAB-C0857F35B8D0}">
  <dimension ref="A1:K22"/>
  <sheetViews>
    <sheetView workbookViewId="0">
      <selection activeCell="F6" sqref="F6"/>
    </sheetView>
  </sheetViews>
  <sheetFormatPr defaultRowHeight="14.5" x14ac:dyDescent="0.35"/>
  <cols>
    <col min="1" max="1" width="18" customWidth="1"/>
    <col min="2" max="2" width="10.08984375" customWidth="1"/>
    <col min="3" max="3" width="10.453125" bestFit="1" customWidth="1"/>
    <col min="4" max="4" width="12.26953125" customWidth="1"/>
    <col min="6" max="6" width="11.81640625" customWidth="1"/>
    <col min="9" max="9" width="10.453125" bestFit="1" customWidth="1"/>
  </cols>
  <sheetData>
    <row r="1" spans="1:11" x14ac:dyDescent="0.35">
      <c r="A1" s="28" t="s">
        <v>143</v>
      </c>
      <c r="B1" s="19"/>
      <c r="C1" s="20"/>
    </row>
    <row r="2" spans="1:11" x14ac:dyDescent="0.35">
      <c r="A2" s="21" t="s">
        <v>6</v>
      </c>
      <c r="B2" s="7" t="s">
        <v>7</v>
      </c>
      <c r="C2" s="22"/>
      <c r="D2" s="4"/>
    </row>
    <row r="3" spans="1:11" x14ac:dyDescent="0.35">
      <c r="A3" s="21" t="s">
        <v>137</v>
      </c>
      <c r="B3" s="7" t="s">
        <v>139</v>
      </c>
      <c r="C3" s="22"/>
      <c r="F3" s="4"/>
    </row>
    <row r="4" spans="1:11" x14ac:dyDescent="0.35">
      <c r="A4" s="21" t="s">
        <v>138</v>
      </c>
      <c r="B4" s="53">
        <v>44199</v>
      </c>
      <c r="C4" s="22"/>
      <c r="E4" s="1"/>
    </row>
    <row r="5" spans="1:11" x14ac:dyDescent="0.35">
      <c r="A5" s="21" t="s">
        <v>221</v>
      </c>
      <c r="B5" s="53">
        <v>44259</v>
      </c>
      <c r="C5" s="22"/>
      <c r="E5" s="1"/>
    </row>
    <row r="6" spans="1:11" x14ac:dyDescent="0.35">
      <c r="A6" s="23" t="s">
        <v>222</v>
      </c>
      <c r="B6" s="54" t="s">
        <v>223</v>
      </c>
      <c r="C6" s="25"/>
      <c r="E6" s="1"/>
    </row>
    <row r="7" spans="1:11" x14ac:dyDescent="0.35">
      <c r="F7" s="4"/>
      <c r="K7" s="5"/>
    </row>
    <row r="8" spans="1:11" x14ac:dyDescent="0.35">
      <c r="A8" s="18" t="s">
        <v>11</v>
      </c>
      <c r="B8" s="19" t="s">
        <v>144</v>
      </c>
      <c r="C8" s="19"/>
      <c r="D8" s="19"/>
      <c r="E8" s="20"/>
    </row>
    <row r="9" spans="1:11" x14ac:dyDescent="0.35">
      <c r="A9" s="21" t="s">
        <v>9</v>
      </c>
      <c r="B9" s="6" t="s">
        <v>10</v>
      </c>
      <c r="C9" s="6"/>
      <c r="D9" s="6"/>
      <c r="E9" s="22"/>
    </row>
    <row r="10" spans="1:11" x14ac:dyDescent="0.35">
      <c r="A10" s="23" t="s">
        <v>5</v>
      </c>
      <c r="B10" s="24" t="s">
        <v>8</v>
      </c>
      <c r="C10" s="24"/>
      <c r="D10" s="24"/>
      <c r="E10" s="25"/>
    </row>
    <row r="12" spans="1:11" x14ac:dyDescent="0.35">
      <c r="A12" s="26"/>
      <c r="B12" s="27" t="s">
        <v>59</v>
      </c>
      <c r="C12" s="27" t="s">
        <v>131</v>
      </c>
      <c r="D12" s="27" t="s">
        <v>132</v>
      </c>
      <c r="E12" s="27" t="s">
        <v>166</v>
      </c>
      <c r="F12" s="27" t="s">
        <v>210</v>
      </c>
      <c r="G12" s="27" t="s">
        <v>142</v>
      </c>
    </row>
    <row r="13" spans="1:11" x14ac:dyDescent="0.35">
      <c r="A13" s="26" t="s">
        <v>140</v>
      </c>
      <c r="B13" s="11">
        <v>30</v>
      </c>
      <c r="C13" s="11">
        <v>30</v>
      </c>
      <c r="D13" s="11">
        <v>30</v>
      </c>
      <c r="E13" s="11">
        <v>30</v>
      </c>
      <c r="F13" s="11">
        <v>30</v>
      </c>
      <c r="G13" s="11">
        <f>SUM(B13:F13)</f>
        <v>150</v>
      </c>
    </row>
    <row r="14" spans="1:11" x14ac:dyDescent="0.35">
      <c r="A14" s="26" t="s">
        <v>141</v>
      </c>
      <c r="B14" s="11">
        <v>15</v>
      </c>
      <c r="C14" s="11">
        <v>15</v>
      </c>
      <c r="D14" s="11">
        <v>15</v>
      </c>
      <c r="E14" s="11">
        <v>15</v>
      </c>
      <c r="F14" s="11">
        <v>15</v>
      </c>
      <c r="G14" s="11">
        <f t="shared" ref="G14:G15" si="0">SUM(B14:F14)</f>
        <v>75</v>
      </c>
    </row>
    <row r="15" spans="1:11" x14ac:dyDescent="0.35">
      <c r="A15" s="26" t="s">
        <v>142</v>
      </c>
      <c r="B15" s="27">
        <f>B13+B14</f>
        <v>45</v>
      </c>
      <c r="C15" s="27">
        <f t="shared" ref="C15:D15" si="1">C13+C14</f>
        <v>45</v>
      </c>
      <c r="D15" s="27">
        <f t="shared" si="1"/>
        <v>45</v>
      </c>
      <c r="E15" s="27">
        <f t="shared" ref="E15:F15" si="2">E13+E14</f>
        <v>45</v>
      </c>
      <c r="F15" s="27">
        <f t="shared" si="2"/>
        <v>45</v>
      </c>
      <c r="G15" s="27">
        <f t="shared" si="0"/>
        <v>225</v>
      </c>
    </row>
    <row r="16" spans="1:11" x14ac:dyDescent="0.35">
      <c r="A16" s="3"/>
    </row>
    <row r="18" spans="1:4" x14ac:dyDescent="0.35">
      <c r="A18" s="2" t="s">
        <v>60</v>
      </c>
    </row>
    <row r="19" spans="1:4" x14ac:dyDescent="0.35">
      <c r="A19" s="30" t="s">
        <v>61</v>
      </c>
      <c r="B19" s="30" t="s">
        <v>62</v>
      </c>
      <c r="C19" s="39" t="s">
        <v>58</v>
      </c>
      <c r="D19" s="39"/>
    </row>
    <row r="20" spans="1:4" x14ac:dyDescent="0.35">
      <c r="A20" s="29" t="s">
        <v>63</v>
      </c>
      <c r="B20" s="37">
        <v>5</v>
      </c>
      <c r="C20" s="38" t="s">
        <v>64</v>
      </c>
      <c r="D20" s="38"/>
    </row>
    <row r="21" spans="1:4" x14ac:dyDescent="0.35">
      <c r="A21" s="29" t="s">
        <v>216</v>
      </c>
      <c r="B21" s="35">
        <v>15</v>
      </c>
      <c r="C21" s="38" t="s">
        <v>65</v>
      </c>
      <c r="D21" s="38"/>
    </row>
    <row r="22" spans="1:4" x14ac:dyDescent="0.35">
      <c r="A22" s="29" t="s">
        <v>217</v>
      </c>
      <c r="B22" s="35">
        <v>15</v>
      </c>
      <c r="C22" s="38" t="s">
        <v>65</v>
      </c>
      <c r="D22" s="38"/>
    </row>
  </sheetData>
  <mergeCells count="4">
    <mergeCell ref="C20:D20"/>
    <mergeCell ref="C21:D21"/>
    <mergeCell ref="C22:D22"/>
    <mergeCell ref="C19:D1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FDDE-05D8-49B4-8147-7A97DAEC9E99}">
  <dimension ref="A1:L451"/>
  <sheetViews>
    <sheetView topLeftCell="A19" zoomScale="115" zoomScaleNormal="115" workbookViewId="0">
      <pane xSplit="2" topLeftCell="C1" activePane="topRight" state="frozen"/>
      <selection pane="topRight" activeCell="J8" sqref="J8"/>
    </sheetView>
  </sheetViews>
  <sheetFormatPr defaultColWidth="8.7265625" defaultRowHeight="14.5" x14ac:dyDescent="0.35"/>
  <cols>
    <col min="1" max="1" width="4" style="50" bestFit="1" customWidth="1"/>
    <col min="2" max="2" width="4.90625" style="51" bestFit="1" customWidth="1"/>
    <col min="3" max="3" width="6.90625" style="52" bestFit="1" customWidth="1"/>
    <col min="4" max="4" width="8.7265625" style="1" customWidth="1"/>
    <col min="5" max="5" width="6.90625" style="50" bestFit="1" customWidth="1"/>
    <col min="6" max="6" width="5.6328125" style="1" bestFit="1" customWidth="1"/>
    <col min="7" max="7" width="12" style="1" bestFit="1" customWidth="1"/>
    <col min="8" max="8" width="6.81640625" style="1" bestFit="1" customWidth="1"/>
    <col min="9" max="9" width="7" style="50" bestFit="1" customWidth="1"/>
    <col min="10" max="10" width="10.54296875" style="1" bestFit="1" customWidth="1"/>
    <col min="11" max="11" width="12.36328125" style="1" bestFit="1" customWidth="1"/>
    <col min="12" max="12" width="11.26953125" style="1" bestFit="1" customWidth="1"/>
    <col min="13" max="16384" width="8.7265625" style="1"/>
  </cols>
  <sheetData>
    <row r="1" spans="1:12" x14ac:dyDescent="0.35">
      <c r="A1" s="46" t="s">
        <v>226</v>
      </c>
      <c r="B1" s="47" t="s">
        <v>211</v>
      </c>
      <c r="C1" s="27" t="s">
        <v>212</v>
      </c>
      <c r="D1" s="8" t="s">
        <v>2</v>
      </c>
      <c r="E1" s="47" t="s">
        <v>136</v>
      </c>
      <c r="F1" s="8" t="s">
        <v>0</v>
      </c>
      <c r="G1" s="8" t="s">
        <v>12</v>
      </c>
      <c r="H1" s="8" t="s">
        <v>1</v>
      </c>
      <c r="I1" s="47" t="s">
        <v>134</v>
      </c>
      <c r="J1" s="8" t="s">
        <v>220</v>
      </c>
      <c r="K1" s="8" t="s">
        <v>224</v>
      </c>
      <c r="L1" s="8" t="s">
        <v>225</v>
      </c>
    </row>
    <row r="2" spans="1:12" s="15" customFormat="1" x14ac:dyDescent="0.35">
      <c r="A2" s="46">
        <v>1</v>
      </c>
      <c r="B2" s="46">
        <v>1</v>
      </c>
      <c r="C2" s="48">
        <v>1</v>
      </c>
      <c r="D2" s="41" t="s">
        <v>213</v>
      </c>
      <c r="E2" s="46">
        <v>1.1000000000000001</v>
      </c>
      <c r="F2" s="41">
        <v>1501</v>
      </c>
      <c r="G2" s="43" t="s">
        <v>13</v>
      </c>
      <c r="H2" s="41" t="s">
        <v>219</v>
      </c>
      <c r="I2" s="46" t="s">
        <v>59</v>
      </c>
      <c r="J2" s="41">
        <v>12</v>
      </c>
      <c r="K2" s="40">
        <f>6.85*10^6</f>
        <v>6850000</v>
      </c>
      <c r="L2" s="44">
        <f>LOG10(K2)</f>
        <v>6.8356905714924254</v>
      </c>
    </row>
    <row r="3" spans="1:12" s="15" customFormat="1" x14ac:dyDescent="0.35">
      <c r="A3" s="46">
        <v>2</v>
      </c>
      <c r="B3" s="46">
        <v>2</v>
      </c>
      <c r="C3" s="49"/>
      <c r="D3" s="41" t="s">
        <v>213</v>
      </c>
      <c r="E3" s="46">
        <v>1.2</v>
      </c>
      <c r="F3" s="41">
        <v>1502</v>
      </c>
      <c r="G3" s="41"/>
      <c r="H3" s="41" t="s">
        <v>218</v>
      </c>
      <c r="I3" s="46" t="s">
        <v>59</v>
      </c>
      <c r="J3" s="41">
        <v>11</v>
      </c>
      <c r="K3" s="41"/>
      <c r="L3" s="41"/>
    </row>
    <row r="4" spans="1:12" s="15" customFormat="1" x14ac:dyDescent="0.35">
      <c r="A4" s="46">
        <v>3</v>
      </c>
      <c r="B4" s="46">
        <v>3</v>
      </c>
      <c r="C4" s="49"/>
      <c r="D4" s="41" t="s">
        <v>213</v>
      </c>
      <c r="E4" s="46">
        <v>1.3</v>
      </c>
      <c r="F4" s="41">
        <v>1503</v>
      </c>
      <c r="G4" s="41"/>
      <c r="H4" s="41" t="s">
        <v>219</v>
      </c>
      <c r="I4" s="46" t="s">
        <v>59</v>
      </c>
      <c r="J4" s="41">
        <v>11.7</v>
      </c>
      <c r="K4" s="41"/>
      <c r="L4" s="41"/>
    </row>
    <row r="5" spans="1:12" s="15" customFormat="1" x14ac:dyDescent="0.35">
      <c r="A5" s="46">
        <v>4</v>
      </c>
      <c r="B5" s="46">
        <v>4</v>
      </c>
      <c r="C5" s="49"/>
      <c r="D5" s="41" t="s">
        <v>213</v>
      </c>
      <c r="E5" s="46">
        <v>1.4</v>
      </c>
      <c r="F5" s="41">
        <v>1504</v>
      </c>
      <c r="G5" s="41"/>
      <c r="H5" s="41" t="s">
        <v>218</v>
      </c>
      <c r="I5" s="46" t="s">
        <v>59</v>
      </c>
      <c r="J5" s="41">
        <v>11.5</v>
      </c>
      <c r="K5" s="41"/>
      <c r="L5" s="41"/>
    </row>
    <row r="6" spans="1:12" s="15" customFormat="1" x14ac:dyDescent="0.35">
      <c r="A6" s="46">
        <v>5</v>
      </c>
      <c r="B6" s="46">
        <v>5</v>
      </c>
      <c r="C6" s="49"/>
      <c r="D6" s="41" t="s">
        <v>213</v>
      </c>
      <c r="E6" s="46">
        <v>1.5</v>
      </c>
      <c r="F6" s="41">
        <v>1505</v>
      </c>
      <c r="G6" s="41"/>
      <c r="H6" s="41" t="s">
        <v>218</v>
      </c>
      <c r="I6" s="46" t="s">
        <v>59</v>
      </c>
      <c r="J6" s="41">
        <v>11.2</v>
      </c>
      <c r="K6" s="41"/>
      <c r="L6" s="41"/>
    </row>
    <row r="7" spans="1:12" s="15" customFormat="1" x14ac:dyDescent="0.35">
      <c r="A7" s="46">
        <v>6</v>
      </c>
      <c r="B7" s="46">
        <v>6</v>
      </c>
      <c r="C7" s="48">
        <v>2</v>
      </c>
      <c r="D7" s="41" t="s">
        <v>213</v>
      </c>
      <c r="E7" s="46">
        <v>1.6</v>
      </c>
      <c r="F7" s="41">
        <v>1506</v>
      </c>
      <c r="G7" s="43" t="s">
        <v>18</v>
      </c>
      <c r="H7" s="41" t="s">
        <v>219</v>
      </c>
      <c r="I7" s="46" t="s">
        <v>59</v>
      </c>
      <c r="J7" s="41">
        <v>11.3</v>
      </c>
      <c r="K7" s="40">
        <f>5.1*10^7</f>
        <v>51000000</v>
      </c>
      <c r="L7" s="44">
        <f>LOG10(K7)</f>
        <v>7.7075701760979367</v>
      </c>
    </row>
    <row r="8" spans="1:12" s="16" customFormat="1" x14ac:dyDescent="0.35">
      <c r="A8" s="46">
        <v>7</v>
      </c>
      <c r="B8" s="46">
        <v>7</v>
      </c>
      <c r="C8" s="49"/>
      <c r="D8" s="41" t="s">
        <v>213</v>
      </c>
      <c r="E8" s="46">
        <v>2.1</v>
      </c>
      <c r="F8" s="41">
        <v>1507</v>
      </c>
      <c r="G8" s="41"/>
      <c r="H8" s="41" t="s">
        <v>218</v>
      </c>
      <c r="I8" s="46" t="s">
        <v>59</v>
      </c>
      <c r="J8" s="41">
        <v>11.8</v>
      </c>
      <c r="K8" s="41"/>
      <c r="L8" s="41"/>
    </row>
    <row r="9" spans="1:12" s="15" customFormat="1" x14ac:dyDescent="0.35">
      <c r="A9" s="46">
        <v>8</v>
      </c>
      <c r="B9" s="46">
        <v>8</v>
      </c>
      <c r="C9" s="48">
        <v>3</v>
      </c>
      <c r="D9" s="41" t="s">
        <v>213</v>
      </c>
      <c r="E9" s="46">
        <v>2.2000000000000002</v>
      </c>
      <c r="F9" s="41">
        <v>1508</v>
      </c>
      <c r="G9" s="43" t="s">
        <v>14</v>
      </c>
      <c r="H9" s="41" t="s">
        <v>218</v>
      </c>
      <c r="I9" s="46" t="s">
        <v>59</v>
      </c>
      <c r="J9" s="41">
        <v>11</v>
      </c>
      <c r="K9" s="40">
        <f>4.25*10^5</f>
        <v>425000</v>
      </c>
      <c r="L9" s="44">
        <f>LOG10(K9)</f>
        <v>5.6283889300503116</v>
      </c>
    </row>
    <row r="10" spans="1:12" s="15" customFormat="1" x14ac:dyDescent="0.35">
      <c r="A10" s="46">
        <v>9</v>
      </c>
      <c r="B10" s="46">
        <v>9</v>
      </c>
      <c r="C10" s="48">
        <v>4</v>
      </c>
      <c r="D10" s="41" t="s">
        <v>213</v>
      </c>
      <c r="E10" s="46">
        <v>2.2999999999999998</v>
      </c>
      <c r="F10" s="41">
        <v>1509</v>
      </c>
      <c r="G10" s="43" t="s">
        <v>15</v>
      </c>
      <c r="H10" s="41" t="s">
        <v>219</v>
      </c>
      <c r="I10" s="46" t="s">
        <v>59</v>
      </c>
      <c r="J10" s="41">
        <v>12</v>
      </c>
      <c r="K10" s="40">
        <f>3.5*10^5</f>
        <v>350000</v>
      </c>
      <c r="L10" s="44">
        <f>LOG10(K10)</f>
        <v>5.5440680443502757</v>
      </c>
    </row>
    <row r="11" spans="1:12" s="15" customFormat="1" x14ac:dyDescent="0.35">
      <c r="A11" s="46">
        <v>10</v>
      </c>
      <c r="B11" s="46">
        <v>10</v>
      </c>
      <c r="C11" s="49"/>
      <c r="D11" s="41" t="s">
        <v>213</v>
      </c>
      <c r="E11" s="46">
        <v>2.4</v>
      </c>
      <c r="F11" s="41">
        <v>1510</v>
      </c>
      <c r="G11" s="41"/>
      <c r="H11" s="41" t="s">
        <v>219</v>
      </c>
      <c r="I11" s="46" t="s">
        <v>59</v>
      </c>
      <c r="J11" s="41">
        <v>11.5</v>
      </c>
      <c r="K11" s="41"/>
      <c r="L11" s="41"/>
    </row>
    <row r="12" spans="1:12" s="15" customFormat="1" x14ac:dyDescent="0.35">
      <c r="A12" s="46">
        <v>11</v>
      </c>
      <c r="B12" s="46">
        <v>11</v>
      </c>
      <c r="C12" s="49"/>
      <c r="D12" s="41" t="s">
        <v>213</v>
      </c>
      <c r="E12" s="46">
        <v>2.5</v>
      </c>
      <c r="F12" s="41">
        <v>1511</v>
      </c>
      <c r="G12" s="41"/>
      <c r="H12" s="41" t="s">
        <v>219</v>
      </c>
      <c r="I12" s="46" t="s">
        <v>59</v>
      </c>
      <c r="J12" s="41">
        <v>11.6</v>
      </c>
      <c r="K12" s="41"/>
      <c r="L12" s="41"/>
    </row>
    <row r="13" spans="1:12" s="15" customFormat="1" x14ac:dyDescent="0.35">
      <c r="A13" s="46">
        <v>12</v>
      </c>
      <c r="B13" s="46">
        <v>12</v>
      </c>
      <c r="C13" s="49"/>
      <c r="D13" s="41" t="s">
        <v>213</v>
      </c>
      <c r="E13" s="46">
        <v>2.6</v>
      </c>
      <c r="F13" s="41">
        <v>1512</v>
      </c>
      <c r="G13" s="41"/>
      <c r="H13" s="41" t="s">
        <v>218</v>
      </c>
      <c r="I13" s="46" t="s">
        <v>59</v>
      </c>
      <c r="J13" s="41">
        <v>11.7</v>
      </c>
      <c r="K13" s="41"/>
      <c r="L13" s="41"/>
    </row>
    <row r="14" spans="1:12" s="15" customFormat="1" x14ac:dyDescent="0.35">
      <c r="A14" s="46">
        <v>13</v>
      </c>
      <c r="B14" s="46">
        <v>13</v>
      </c>
      <c r="C14" s="49"/>
      <c r="D14" s="41" t="s">
        <v>213</v>
      </c>
      <c r="E14" s="46">
        <v>3.1</v>
      </c>
      <c r="F14" s="41">
        <v>1513</v>
      </c>
      <c r="G14" s="41"/>
      <c r="H14" s="41" t="s">
        <v>218</v>
      </c>
      <c r="I14" s="46" t="s">
        <v>59</v>
      </c>
      <c r="J14" s="41">
        <v>12</v>
      </c>
      <c r="K14" s="41"/>
      <c r="L14" s="41"/>
    </row>
    <row r="15" spans="1:12" s="15" customFormat="1" x14ac:dyDescent="0.35">
      <c r="A15" s="46">
        <v>14</v>
      </c>
      <c r="B15" s="46">
        <v>14</v>
      </c>
      <c r="C15" s="49"/>
      <c r="D15" s="41" t="s">
        <v>213</v>
      </c>
      <c r="E15" s="46">
        <v>3.2</v>
      </c>
      <c r="F15" s="41">
        <v>1514</v>
      </c>
      <c r="G15" s="41"/>
      <c r="H15" s="41" t="s">
        <v>219</v>
      </c>
      <c r="I15" s="46" t="s">
        <v>59</v>
      </c>
      <c r="J15" s="41">
        <v>11.2</v>
      </c>
      <c r="K15" s="41"/>
      <c r="L15" s="41"/>
    </row>
    <row r="16" spans="1:12" s="15" customFormat="1" x14ac:dyDescent="0.35">
      <c r="A16" s="46">
        <v>15</v>
      </c>
      <c r="B16" s="46">
        <v>15</v>
      </c>
      <c r="C16" s="48">
        <v>5</v>
      </c>
      <c r="D16" s="41" t="s">
        <v>213</v>
      </c>
      <c r="E16" s="46">
        <v>3.3</v>
      </c>
      <c r="F16" s="41">
        <v>1515</v>
      </c>
      <c r="G16" s="43" t="s">
        <v>16</v>
      </c>
      <c r="H16" s="41" t="s">
        <v>219</v>
      </c>
      <c r="I16" s="46" t="s">
        <v>59</v>
      </c>
      <c r="J16" s="41">
        <v>11</v>
      </c>
      <c r="K16" s="40">
        <f>2.64*10^7</f>
        <v>26400000</v>
      </c>
      <c r="L16" s="44">
        <f>LOG10(K16)</f>
        <v>7.4216039268698308</v>
      </c>
    </row>
    <row r="17" spans="1:12" s="15" customFormat="1" x14ac:dyDescent="0.35">
      <c r="A17" s="46">
        <v>16</v>
      </c>
      <c r="B17" s="46">
        <v>16</v>
      </c>
      <c r="C17" s="48">
        <f>C16+1</f>
        <v>6</v>
      </c>
      <c r="D17" s="41" t="s">
        <v>213</v>
      </c>
      <c r="E17" s="46">
        <v>3.4</v>
      </c>
      <c r="F17" s="41">
        <v>1517</v>
      </c>
      <c r="G17" s="43" t="s">
        <v>20</v>
      </c>
      <c r="H17" s="41" t="s">
        <v>219</v>
      </c>
      <c r="I17" s="46" t="s">
        <v>59</v>
      </c>
      <c r="J17" s="41">
        <v>11.4</v>
      </c>
      <c r="K17" s="40">
        <f>1.5*10^5</f>
        <v>150000</v>
      </c>
      <c r="L17" s="44">
        <f>LOG10(K17)</f>
        <v>5.1760912590556813</v>
      </c>
    </row>
    <row r="18" spans="1:12" s="15" customFormat="1" x14ac:dyDescent="0.35">
      <c r="A18" s="46">
        <v>17</v>
      </c>
      <c r="B18" s="46">
        <v>17</v>
      </c>
      <c r="C18" s="49"/>
      <c r="D18" s="41" t="s">
        <v>213</v>
      </c>
      <c r="E18" s="46">
        <v>3.5</v>
      </c>
      <c r="F18" s="41">
        <v>1518</v>
      </c>
      <c r="G18" s="41"/>
      <c r="H18" s="41" t="s">
        <v>218</v>
      </c>
      <c r="I18" s="46" t="s">
        <v>59</v>
      </c>
      <c r="J18" s="41">
        <v>11</v>
      </c>
      <c r="K18" s="41"/>
      <c r="L18" s="41"/>
    </row>
    <row r="19" spans="1:12" s="15" customFormat="1" x14ac:dyDescent="0.35">
      <c r="A19" s="46">
        <v>18</v>
      </c>
      <c r="B19" s="46">
        <v>18</v>
      </c>
      <c r="C19" s="49"/>
      <c r="D19" s="41" t="s">
        <v>213</v>
      </c>
      <c r="E19" s="46">
        <v>3.6</v>
      </c>
      <c r="F19" s="41">
        <v>1686</v>
      </c>
      <c r="G19" s="41"/>
      <c r="H19" s="41" t="s">
        <v>219</v>
      </c>
      <c r="I19" s="46" t="s">
        <v>59</v>
      </c>
      <c r="J19" s="41">
        <v>11.7</v>
      </c>
      <c r="K19" s="41"/>
      <c r="L19" s="41"/>
    </row>
    <row r="20" spans="1:12" s="15" customFormat="1" x14ac:dyDescent="0.35">
      <c r="A20" s="46">
        <v>19</v>
      </c>
      <c r="B20" s="46">
        <v>19</v>
      </c>
      <c r="C20" s="49"/>
      <c r="D20" s="41" t="s">
        <v>213</v>
      </c>
      <c r="E20" s="46">
        <v>4.0999999999999996</v>
      </c>
      <c r="F20" s="41">
        <v>1519</v>
      </c>
      <c r="G20" s="41"/>
      <c r="H20" s="41" t="s">
        <v>219</v>
      </c>
      <c r="I20" s="46" t="s">
        <v>59</v>
      </c>
      <c r="J20" s="41">
        <v>12</v>
      </c>
      <c r="K20" s="41"/>
      <c r="L20" s="41"/>
    </row>
    <row r="21" spans="1:12" s="15" customFormat="1" x14ac:dyDescent="0.35">
      <c r="A21" s="46">
        <v>20</v>
      </c>
      <c r="B21" s="46">
        <v>20</v>
      </c>
      <c r="C21" s="49"/>
      <c r="D21" s="41" t="s">
        <v>213</v>
      </c>
      <c r="E21" s="46">
        <v>4.2</v>
      </c>
      <c r="F21" s="41">
        <v>1520</v>
      </c>
      <c r="G21" s="41"/>
      <c r="H21" s="41" t="s">
        <v>218</v>
      </c>
      <c r="I21" s="46" t="s">
        <v>59</v>
      </c>
      <c r="J21" s="41">
        <v>11</v>
      </c>
      <c r="K21" s="41"/>
      <c r="L21" s="41"/>
    </row>
    <row r="22" spans="1:12" s="15" customFormat="1" x14ac:dyDescent="0.35">
      <c r="A22" s="46">
        <v>21</v>
      </c>
      <c r="B22" s="46">
        <v>21</v>
      </c>
      <c r="C22" s="48">
        <v>7</v>
      </c>
      <c r="D22" s="41" t="s">
        <v>213</v>
      </c>
      <c r="E22" s="46">
        <v>4.3</v>
      </c>
      <c r="F22" s="41">
        <v>1521</v>
      </c>
      <c r="G22" s="43" t="s">
        <v>17</v>
      </c>
      <c r="H22" s="41" t="s">
        <v>219</v>
      </c>
      <c r="I22" s="46" t="s">
        <v>59</v>
      </c>
      <c r="J22" s="41">
        <v>12</v>
      </c>
      <c r="K22" s="40">
        <f>7.83*10^6</f>
        <v>7830000</v>
      </c>
      <c r="L22" s="44">
        <f>LOG10(K22)</f>
        <v>6.8937617620579434</v>
      </c>
    </row>
    <row r="23" spans="1:12" s="15" customFormat="1" x14ac:dyDescent="0.35">
      <c r="A23" s="46">
        <v>22</v>
      </c>
      <c r="B23" s="46">
        <v>22</v>
      </c>
      <c r="C23" s="48">
        <v>8</v>
      </c>
      <c r="D23" s="41" t="s">
        <v>213</v>
      </c>
      <c r="E23" s="46">
        <v>4.4000000000000004</v>
      </c>
      <c r="F23" s="41">
        <v>1522</v>
      </c>
      <c r="G23" s="43" t="s">
        <v>21</v>
      </c>
      <c r="H23" s="41" t="s">
        <v>218</v>
      </c>
      <c r="I23" s="46" t="s">
        <v>59</v>
      </c>
      <c r="J23" s="41">
        <v>11.3</v>
      </c>
      <c r="K23" s="40">
        <f>1.77*10^7</f>
        <v>17700000</v>
      </c>
      <c r="L23" s="44">
        <f>LOG10(K23)</f>
        <v>7.2479732663618064</v>
      </c>
    </row>
    <row r="24" spans="1:12" s="15" customFormat="1" x14ac:dyDescent="0.35">
      <c r="A24" s="46">
        <v>23</v>
      </c>
      <c r="B24" s="46">
        <v>23</v>
      </c>
      <c r="C24" s="49"/>
      <c r="D24" s="41" t="s">
        <v>213</v>
      </c>
      <c r="E24" s="46">
        <v>4.5</v>
      </c>
      <c r="F24" s="41">
        <v>1523</v>
      </c>
      <c r="G24" s="41"/>
      <c r="H24" s="41" t="s">
        <v>218</v>
      </c>
      <c r="I24" s="46" t="s">
        <v>59</v>
      </c>
      <c r="J24" s="41">
        <v>11</v>
      </c>
      <c r="K24" s="41"/>
      <c r="L24" s="41"/>
    </row>
    <row r="25" spans="1:12" s="15" customFormat="1" x14ac:dyDescent="0.35">
      <c r="A25" s="46">
        <v>24</v>
      </c>
      <c r="B25" s="46">
        <v>24</v>
      </c>
      <c r="C25" s="49"/>
      <c r="D25" s="41" t="s">
        <v>213</v>
      </c>
      <c r="E25" s="46">
        <v>4.5999999999999996</v>
      </c>
      <c r="F25" s="41">
        <v>1524</v>
      </c>
      <c r="G25" s="41"/>
      <c r="H25" s="41" t="s">
        <v>219</v>
      </c>
      <c r="I25" s="46" t="s">
        <v>59</v>
      </c>
      <c r="J25" s="41">
        <v>12</v>
      </c>
      <c r="K25" s="41"/>
      <c r="L25" s="41"/>
    </row>
    <row r="26" spans="1:12" s="15" customFormat="1" x14ac:dyDescent="0.35">
      <c r="A26" s="46">
        <v>25</v>
      </c>
      <c r="B26" s="46">
        <v>25</v>
      </c>
      <c r="C26" s="49"/>
      <c r="D26" s="41" t="s">
        <v>213</v>
      </c>
      <c r="E26" s="46">
        <v>5.0999999999999996</v>
      </c>
      <c r="F26" s="41">
        <v>1525</v>
      </c>
      <c r="G26" s="41"/>
      <c r="H26" s="41" t="s">
        <v>219</v>
      </c>
      <c r="I26" s="46" t="s">
        <v>59</v>
      </c>
      <c r="J26" s="41">
        <v>11</v>
      </c>
      <c r="K26" s="41"/>
      <c r="L26" s="41"/>
    </row>
    <row r="27" spans="1:12" s="15" customFormat="1" x14ac:dyDescent="0.35">
      <c r="A27" s="46">
        <v>26</v>
      </c>
      <c r="B27" s="46">
        <v>26</v>
      </c>
      <c r="C27" s="49"/>
      <c r="D27" s="41" t="s">
        <v>213</v>
      </c>
      <c r="E27" s="46">
        <v>5.2</v>
      </c>
      <c r="F27" s="41">
        <v>1526</v>
      </c>
      <c r="G27" s="41"/>
      <c r="H27" s="41" t="s">
        <v>218</v>
      </c>
      <c r="I27" s="46" t="s">
        <v>59</v>
      </c>
      <c r="J27" s="41">
        <v>11.4</v>
      </c>
      <c r="K27" s="41"/>
      <c r="L27" s="41"/>
    </row>
    <row r="28" spans="1:12" s="15" customFormat="1" x14ac:dyDescent="0.35">
      <c r="A28" s="46">
        <v>27</v>
      </c>
      <c r="B28" s="46">
        <v>27</v>
      </c>
      <c r="C28" s="49"/>
      <c r="D28" s="41" t="s">
        <v>213</v>
      </c>
      <c r="E28" s="46">
        <v>5.3</v>
      </c>
      <c r="F28" s="41">
        <v>1527</v>
      </c>
      <c r="G28" s="41"/>
      <c r="H28" s="41" t="s">
        <v>218</v>
      </c>
      <c r="I28" s="46" t="s">
        <v>59</v>
      </c>
      <c r="J28" s="41">
        <v>12</v>
      </c>
      <c r="K28" s="41"/>
      <c r="L28" s="41"/>
    </row>
    <row r="29" spans="1:12" s="15" customFormat="1" x14ac:dyDescent="0.35">
      <c r="A29" s="46">
        <v>28</v>
      </c>
      <c r="B29" s="46">
        <v>28</v>
      </c>
      <c r="C29" s="48">
        <v>9</v>
      </c>
      <c r="D29" s="41" t="s">
        <v>213</v>
      </c>
      <c r="E29" s="46">
        <v>5.4</v>
      </c>
      <c r="F29" s="41">
        <v>1528</v>
      </c>
      <c r="G29" s="43" t="s">
        <v>23</v>
      </c>
      <c r="H29" s="41" t="s">
        <v>218</v>
      </c>
      <c r="I29" s="46" t="s">
        <v>59</v>
      </c>
      <c r="J29" s="41">
        <v>11.3</v>
      </c>
      <c r="K29" s="40">
        <f>4.4*10^7</f>
        <v>44000000</v>
      </c>
      <c r="L29" s="44">
        <f>LOG10(K29)</f>
        <v>7.6434526764861879</v>
      </c>
    </row>
    <row r="30" spans="1:12" s="15" customFormat="1" x14ac:dyDescent="0.35">
      <c r="A30" s="46">
        <v>29</v>
      </c>
      <c r="B30" s="46">
        <v>29</v>
      </c>
      <c r="C30" s="48">
        <v>10</v>
      </c>
      <c r="D30" s="41" t="s">
        <v>213</v>
      </c>
      <c r="E30" s="46">
        <v>5.5</v>
      </c>
      <c r="F30" s="41">
        <v>1529</v>
      </c>
      <c r="G30" s="43" t="s">
        <v>26</v>
      </c>
      <c r="H30" s="41" t="s">
        <v>218</v>
      </c>
      <c r="I30" s="46" t="s">
        <v>59</v>
      </c>
      <c r="J30" s="41">
        <v>11.8</v>
      </c>
      <c r="K30" s="40">
        <f>2.72*10^6</f>
        <v>2720000</v>
      </c>
      <c r="L30" s="44">
        <f>LOG10(K30)</f>
        <v>6.4345689040341991</v>
      </c>
    </row>
    <row r="31" spans="1:12" s="15" customFormat="1" x14ac:dyDescent="0.35">
      <c r="A31" s="46">
        <v>30</v>
      </c>
      <c r="B31" s="46">
        <v>30</v>
      </c>
      <c r="C31" s="49"/>
      <c r="D31" s="41" t="s">
        <v>213</v>
      </c>
      <c r="E31" s="46">
        <v>5.6</v>
      </c>
      <c r="F31" s="41">
        <v>1531</v>
      </c>
      <c r="G31" s="41"/>
      <c r="H31" s="41" t="s">
        <v>218</v>
      </c>
      <c r="I31" s="46" t="s">
        <v>59</v>
      </c>
      <c r="J31" s="41">
        <v>12</v>
      </c>
      <c r="K31" s="41"/>
      <c r="L31" s="41"/>
    </row>
    <row r="32" spans="1:12" s="17" customFormat="1" x14ac:dyDescent="0.35">
      <c r="A32" s="46">
        <v>31</v>
      </c>
      <c r="B32" s="46">
        <v>31</v>
      </c>
      <c r="C32" s="48">
        <v>11</v>
      </c>
      <c r="D32" s="41" t="s">
        <v>214</v>
      </c>
      <c r="E32" s="46">
        <v>1.1000000000000001</v>
      </c>
      <c r="F32" s="41">
        <v>1530</v>
      </c>
      <c r="G32" s="43" t="s">
        <v>25</v>
      </c>
      <c r="H32" s="41" t="s">
        <v>218</v>
      </c>
      <c r="I32" s="46" t="s">
        <v>59</v>
      </c>
      <c r="J32" s="41">
        <v>11</v>
      </c>
      <c r="K32" s="40">
        <f>1.69*10^7</f>
        <v>16900000</v>
      </c>
      <c r="L32" s="44">
        <f>LOG10(K32)</f>
        <v>7.2278867046136739</v>
      </c>
    </row>
    <row r="33" spans="1:12" s="17" customFormat="1" x14ac:dyDescent="0.35">
      <c r="A33" s="46">
        <v>32</v>
      </c>
      <c r="B33" s="46">
        <v>32</v>
      </c>
      <c r="C33" s="49"/>
      <c r="D33" s="41" t="s">
        <v>214</v>
      </c>
      <c r="E33" s="46">
        <v>1.2</v>
      </c>
      <c r="F33" s="41">
        <v>1532</v>
      </c>
      <c r="G33" s="41"/>
      <c r="H33" s="41" t="s">
        <v>218</v>
      </c>
      <c r="I33" s="46" t="s">
        <v>59</v>
      </c>
      <c r="J33" s="41">
        <v>11.4</v>
      </c>
      <c r="K33" s="41"/>
      <c r="L33" s="41"/>
    </row>
    <row r="34" spans="1:12" s="17" customFormat="1" x14ac:dyDescent="0.35">
      <c r="A34" s="46">
        <v>33</v>
      </c>
      <c r="B34" s="46">
        <v>33</v>
      </c>
      <c r="C34" s="48">
        <v>12</v>
      </c>
      <c r="D34" s="41" t="s">
        <v>214</v>
      </c>
      <c r="E34" s="46">
        <v>1.3</v>
      </c>
      <c r="F34" s="41">
        <v>1533</v>
      </c>
      <c r="G34" s="43" t="s">
        <v>27</v>
      </c>
      <c r="H34" s="41" t="s">
        <v>219</v>
      </c>
      <c r="I34" s="46" t="s">
        <v>59</v>
      </c>
      <c r="J34" s="41">
        <v>12</v>
      </c>
      <c r="K34" s="40">
        <f>5.75*10^5</f>
        <v>575000</v>
      </c>
      <c r="L34" s="44">
        <f>LOG10(K34)</f>
        <v>5.7596678446896306</v>
      </c>
    </row>
    <row r="35" spans="1:12" s="17" customFormat="1" x14ac:dyDescent="0.35">
      <c r="A35" s="46">
        <v>34</v>
      </c>
      <c r="B35" s="46">
        <v>34</v>
      </c>
      <c r="C35" s="49"/>
      <c r="D35" s="41" t="s">
        <v>214</v>
      </c>
      <c r="E35" s="46">
        <v>1.4</v>
      </c>
      <c r="F35" s="41">
        <v>1534</v>
      </c>
      <c r="G35" s="41"/>
      <c r="H35" s="41" t="s">
        <v>218</v>
      </c>
      <c r="I35" s="46" t="s">
        <v>59</v>
      </c>
      <c r="J35" s="41">
        <v>12</v>
      </c>
      <c r="K35" s="41"/>
      <c r="L35" s="41"/>
    </row>
    <row r="36" spans="1:12" s="17" customFormat="1" x14ac:dyDescent="0.35">
      <c r="A36" s="46">
        <v>35</v>
      </c>
      <c r="B36" s="46">
        <v>35</v>
      </c>
      <c r="C36" s="49"/>
      <c r="D36" s="41" t="s">
        <v>214</v>
      </c>
      <c r="E36" s="46">
        <v>1.5</v>
      </c>
      <c r="F36" s="41">
        <v>1535</v>
      </c>
      <c r="G36" s="41"/>
      <c r="H36" s="41" t="s">
        <v>219</v>
      </c>
      <c r="I36" s="46" t="s">
        <v>59</v>
      </c>
      <c r="J36" s="41">
        <v>11.3</v>
      </c>
      <c r="K36" s="41"/>
      <c r="L36" s="41"/>
    </row>
    <row r="37" spans="1:12" s="17" customFormat="1" x14ac:dyDescent="0.35">
      <c r="A37" s="46">
        <v>36</v>
      </c>
      <c r="B37" s="46">
        <v>36</v>
      </c>
      <c r="C37" s="49"/>
      <c r="D37" s="41" t="s">
        <v>214</v>
      </c>
      <c r="E37" s="46">
        <v>1.6</v>
      </c>
      <c r="F37" s="41">
        <v>1536</v>
      </c>
      <c r="G37" s="41"/>
      <c r="H37" s="41" t="s">
        <v>218</v>
      </c>
      <c r="I37" s="46" t="s">
        <v>59</v>
      </c>
      <c r="J37" s="41">
        <v>12</v>
      </c>
      <c r="K37" s="41"/>
      <c r="L37" s="41"/>
    </row>
    <row r="38" spans="1:12" s="17" customFormat="1" x14ac:dyDescent="0.35">
      <c r="A38" s="46">
        <v>37</v>
      </c>
      <c r="B38" s="46">
        <v>37</v>
      </c>
      <c r="C38" s="49"/>
      <c r="D38" s="41" t="s">
        <v>214</v>
      </c>
      <c r="E38" s="46">
        <v>2.1</v>
      </c>
      <c r="F38" s="41">
        <v>1537</v>
      </c>
      <c r="G38" s="41"/>
      <c r="H38" s="41" t="s">
        <v>219</v>
      </c>
      <c r="I38" s="46" t="s">
        <v>59</v>
      </c>
      <c r="J38" s="41">
        <v>12</v>
      </c>
      <c r="K38" s="41"/>
      <c r="L38" s="41"/>
    </row>
    <row r="39" spans="1:12" s="17" customFormat="1" x14ac:dyDescent="0.35">
      <c r="A39" s="46">
        <v>38</v>
      </c>
      <c r="B39" s="46">
        <v>38</v>
      </c>
      <c r="C39" s="49"/>
      <c r="D39" s="41" t="s">
        <v>214</v>
      </c>
      <c r="E39" s="46">
        <v>2.2000000000000002</v>
      </c>
      <c r="F39" s="41">
        <v>1538</v>
      </c>
      <c r="G39" s="41"/>
      <c r="H39" s="41" t="s">
        <v>219</v>
      </c>
      <c r="I39" s="46" t="s">
        <v>59</v>
      </c>
      <c r="J39" s="41">
        <v>12</v>
      </c>
      <c r="K39" s="41"/>
      <c r="L39" s="41"/>
    </row>
    <row r="40" spans="1:12" s="17" customFormat="1" x14ac:dyDescent="0.35">
      <c r="A40" s="46">
        <v>39</v>
      </c>
      <c r="B40" s="46">
        <v>39</v>
      </c>
      <c r="C40" s="48">
        <v>13</v>
      </c>
      <c r="D40" s="41" t="s">
        <v>214</v>
      </c>
      <c r="E40" s="46">
        <v>2.2999999999999998</v>
      </c>
      <c r="F40" s="41">
        <v>1539</v>
      </c>
      <c r="G40" s="43" t="s">
        <v>28</v>
      </c>
      <c r="H40" s="41" t="s">
        <v>218</v>
      </c>
      <c r="I40" s="46" t="s">
        <v>59</v>
      </c>
      <c r="J40" s="41">
        <v>11.3</v>
      </c>
      <c r="K40" s="40">
        <f>9.7*10^6</f>
        <v>9700000</v>
      </c>
      <c r="L40" s="44">
        <f>LOG10(K40)</f>
        <v>6.9867717342662452</v>
      </c>
    </row>
    <row r="41" spans="1:12" s="17" customFormat="1" x14ac:dyDescent="0.35">
      <c r="A41" s="46">
        <v>40</v>
      </c>
      <c r="B41" s="46">
        <v>40</v>
      </c>
      <c r="C41" s="48">
        <v>14</v>
      </c>
      <c r="D41" s="41" t="s">
        <v>214</v>
      </c>
      <c r="E41" s="46">
        <v>2.4</v>
      </c>
      <c r="F41" s="41">
        <v>1540</v>
      </c>
      <c r="G41" s="43" t="s">
        <v>19</v>
      </c>
      <c r="H41" s="41" t="s">
        <v>219</v>
      </c>
      <c r="I41" s="46" t="s">
        <v>59</v>
      </c>
      <c r="J41" s="41">
        <v>11.6</v>
      </c>
      <c r="K41" s="40">
        <f>3.43*10^7</f>
        <v>34300000</v>
      </c>
      <c r="L41" s="44">
        <f>LOG10(K41)</f>
        <v>7.5352941200427708</v>
      </c>
    </row>
    <row r="42" spans="1:12" s="17" customFormat="1" x14ac:dyDescent="0.35">
      <c r="A42" s="46">
        <v>41</v>
      </c>
      <c r="B42" s="46">
        <v>41</v>
      </c>
      <c r="C42" s="49"/>
      <c r="D42" s="41" t="s">
        <v>214</v>
      </c>
      <c r="E42" s="46">
        <v>2.5</v>
      </c>
      <c r="F42" s="41">
        <v>1541</v>
      </c>
      <c r="G42" s="41"/>
      <c r="H42" s="41" t="s">
        <v>219</v>
      </c>
      <c r="I42" s="46" t="s">
        <v>59</v>
      </c>
      <c r="J42" s="41">
        <v>11.8</v>
      </c>
      <c r="K42" s="41"/>
      <c r="L42" s="41"/>
    </row>
    <row r="43" spans="1:12" s="17" customFormat="1" x14ac:dyDescent="0.35">
      <c r="A43" s="46">
        <v>42</v>
      </c>
      <c r="B43" s="46">
        <v>42</v>
      </c>
      <c r="C43" s="49"/>
      <c r="D43" s="41" t="s">
        <v>214</v>
      </c>
      <c r="E43" s="46">
        <v>2.6</v>
      </c>
      <c r="F43" s="41">
        <v>1542</v>
      </c>
      <c r="G43" s="41"/>
      <c r="H43" s="41" t="s">
        <v>219</v>
      </c>
      <c r="I43" s="46" t="s">
        <v>59</v>
      </c>
      <c r="J43" s="41">
        <v>12</v>
      </c>
      <c r="K43" s="41"/>
      <c r="L43" s="41"/>
    </row>
    <row r="44" spans="1:12" s="17" customFormat="1" x14ac:dyDescent="0.35">
      <c r="A44" s="46">
        <v>43</v>
      </c>
      <c r="B44" s="46">
        <v>43</v>
      </c>
      <c r="C44" s="48">
        <v>15</v>
      </c>
      <c r="D44" s="41" t="s">
        <v>214</v>
      </c>
      <c r="E44" s="46">
        <v>3.1</v>
      </c>
      <c r="F44" s="41">
        <v>1543</v>
      </c>
      <c r="G44" s="43" t="s">
        <v>29</v>
      </c>
      <c r="H44" s="41" t="s">
        <v>218</v>
      </c>
      <c r="I44" s="46" t="s">
        <v>59</v>
      </c>
      <c r="J44" s="41">
        <v>12</v>
      </c>
      <c r="K44" s="40">
        <f>7.23*10^6</f>
        <v>7230000</v>
      </c>
      <c r="L44" s="44">
        <f>LOG10(K44)</f>
        <v>6.859138297294531</v>
      </c>
    </row>
    <row r="45" spans="1:12" s="17" customFormat="1" x14ac:dyDescent="0.35">
      <c r="A45" s="46">
        <v>44</v>
      </c>
      <c r="B45" s="46">
        <v>44</v>
      </c>
      <c r="C45" s="49"/>
      <c r="D45" s="41" t="s">
        <v>214</v>
      </c>
      <c r="E45" s="46">
        <v>3.2</v>
      </c>
      <c r="F45" s="41">
        <v>1544</v>
      </c>
      <c r="G45" s="41"/>
      <c r="H45" s="41" t="s">
        <v>219</v>
      </c>
      <c r="I45" s="46" t="s">
        <v>59</v>
      </c>
      <c r="J45" s="41">
        <v>11.4</v>
      </c>
      <c r="K45" s="41"/>
      <c r="L45" s="41"/>
    </row>
    <row r="46" spans="1:12" s="17" customFormat="1" x14ac:dyDescent="0.35">
      <c r="A46" s="46">
        <v>45</v>
      </c>
      <c r="B46" s="46">
        <v>45</v>
      </c>
      <c r="C46" s="49"/>
      <c r="D46" s="41" t="s">
        <v>214</v>
      </c>
      <c r="E46" s="46">
        <v>3.3</v>
      </c>
      <c r="F46" s="41">
        <v>1545</v>
      </c>
      <c r="G46" s="41"/>
      <c r="H46" s="41" t="s">
        <v>218</v>
      </c>
      <c r="I46" s="46" t="s">
        <v>59</v>
      </c>
      <c r="J46" s="41">
        <v>11</v>
      </c>
      <c r="K46" s="41"/>
      <c r="L46" s="41"/>
    </row>
    <row r="47" spans="1:12" s="17" customFormat="1" x14ac:dyDescent="0.35">
      <c r="A47" s="46">
        <v>46</v>
      </c>
      <c r="B47" s="46">
        <v>46</v>
      </c>
      <c r="C47" s="48">
        <v>16</v>
      </c>
      <c r="D47" s="41" t="s">
        <v>214</v>
      </c>
      <c r="E47" s="46">
        <v>3.4</v>
      </c>
      <c r="F47" s="41">
        <v>1546</v>
      </c>
      <c r="G47" s="43" t="s">
        <v>30</v>
      </c>
      <c r="H47" s="41" t="s">
        <v>218</v>
      </c>
      <c r="I47" s="46" t="s">
        <v>59</v>
      </c>
      <c r="J47" s="41">
        <v>11.7</v>
      </c>
      <c r="K47" s="40">
        <f>1.52*10^7</f>
        <v>15200000</v>
      </c>
      <c r="L47" s="44">
        <f>LOG10(K47)</f>
        <v>7.1818435879447726</v>
      </c>
    </row>
    <row r="48" spans="1:12" s="17" customFormat="1" x14ac:dyDescent="0.35">
      <c r="A48" s="46">
        <v>47</v>
      </c>
      <c r="B48" s="46">
        <v>47</v>
      </c>
      <c r="C48" s="49"/>
      <c r="D48" s="41" t="s">
        <v>214</v>
      </c>
      <c r="E48" s="46">
        <v>3.5</v>
      </c>
      <c r="F48" s="41">
        <v>1547</v>
      </c>
      <c r="G48" s="41"/>
      <c r="H48" s="41" t="s">
        <v>218</v>
      </c>
      <c r="I48" s="46" t="s">
        <v>59</v>
      </c>
      <c r="J48" s="41">
        <v>11.5</v>
      </c>
      <c r="K48" s="41"/>
      <c r="L48" s="41"/>
    </row>
    <row r="49" spans="1:12" s="17" customFormat="1" x14ac:dyDescent="0.35">
      <c r="A49" s="46">
        <v>48</v>
      </c>
      <c r="B49" s="46">
        <v>48</v>
      </c>
      <c r="C49" s="49"/>
      <c r="D49" s="41" t="s">
        <v>214</v>
      </c>
      <c r="E49" s="46">
        <v>3.6</v>
      </c>
      <c r="F49" s="41">
        <v>1548</v>
      </c>
      <c r="G49" s="41"/>
      <c r="H49" s="41" t="s">
        <v>219</v>
      </c>
      <c r="I49" s="46" t="s">
        <v>59</v>
      </c>
      <c r="J49" s="41">
        <v>12</v>
      </c>
      <c r="K49" s="41"/>
      <c r="L49" s="41"/>
    </row>
    <row r="50" spans="1:12" s="17" customFormat="1" x14ac:dyDescent="0.35">
      <c r="A50" s="46">
        <v>49</v>
      </c>
      <c r="B50" s="46">
        <v>49</v>
      </c>
      <c r="C50" s="49"/>
      <c r="D50" s="41" t="s">
        <v>214</v>
      </c>
      <c r="E50" s="46">
        <v>4.0999999999999996</v>
      </c>
      <c r="F50" s="41">
        <v>1549</v>
      </c>
      <c r="G50" s="41"/>
      <c r="H50" s="41" t="s">
        <v>219</v>
      </c>
      <c r="I50" s="46" t="s">
        <v>59</v>
      </c>
      <c r="J50" s="41">
        <v>12</v>
      </c>
      <c r="K50" s="41"/>
      <c r="L50" s="41"/>
    </row>
    <row r="51" spans="1:12" s="17" customFormat="1" x14ac:dyDescent="0.35">
      <c r="A51" s="46">
        <v>50</v>
      </c>
      <c r="B51" s="46">
        <v>50</v>
      </c>
      <c r="C51" s="48">
        <v>17</v>
      </c>
      <c r="D51" s="41" t="s">
        <v>214</v>
      </c>
      <c r="E51" s="46">
        <v>4.2</v>
      </c>
      <c r="F51" s="41">
        <v>1550</v>
      </c>
      <c r="G51" s="43" t="s">
        <v>31</v>
      </c>
      <c r="H51" s="41" t="s">
        <v>218</v>
      </c>
      <c r="I51" s="46" t="s">
        <v>59</v>
      </c>
      <c r="J51" s="41">
        <v>11.6</v>
      </c>
      <c r="K51" s="40">
        <f>10^7</f>
        <v>10000000</v>
      </c>
      <c r="L51" s="44">
        <f>LOG10(K51)</f>
        <v>7</v>
      </c>
    </row>
    <row r="52" spans="1:12" s="17" customFormat="1" x14ac:dyDescent="0.35">
      <c r="A52" s="46">
        <v>51</v>
      </c>
      <c r="B52" s="46">
        <v>51</v>
      </c>
      <c r="C52" s="49"/>
      <c r="D52" s="41" t="s">
        <v>214</v>
      </c>
      <c r="E52" s="46">
        <v>4.3</v>
      </c>
      <c r="F52" s="41">
        <v>1551</v>
      </c>
      <c r="G52" s="41"/>
      <c r="H52" s="41" t="s">
        <v>219</v>
      </c>
      <c r="I52" s="46" t="s">
        <v>59</v>
      </c>
      <c r="J52" s="41">
        <v>11.7</v>
      </c>
      <c r="K52" s="41"/>
      <c r="L52" s="41"/>
    </row>
    <row r="53" spans="1:12" s="17" customFormat="1" x14ac:dyDescent="0.35">
      <c r="A53" s="46">
        <v>52</v>
      </c>
      <c r="B53" s="46">
        <v>52</v>
      </c>
      <c r="C53" s="49"/>
      <c r="D53" s="41" t="s">
        <v>214</v>
      </c>
      <c r="E53" s="46">
        <v>4.4000000000000004</v>
      </c>
      <c r="F53" s="41">
        <v>1552</v>
      </c>
      <c r="G53" s="41"/>
      <c r="H53" s="41" t="s">
        <v>218</v>
      </c>
      <c r="I53" s="46" t="s">
        <v>59</v>
      </c>
      <c r="J53" s="41">
        <v>11.4</v>
      </c>
      <c r="K53" s="41"/>
      <c r="L53" s="41"/>
    </row>
    <row r="54" spans="1:12" s="17" customFormat="1" x14ac:dyDescent="0.35">
      <c r="A54" s="46">
        <v>53</v>
      </c>
      <c r="B54" s="46">
        <v>53</v>
      </c>
      <c r="C54" s="49"/>
      <c r="D54" s="41" t="s">
        <v>214</v>
      </c>
      <c r="E54" s="46">
        <v>4.5</v>
      </c>
      <c r="F54" s="41">
        <v>1553</v>
      </c>
      <c r="G54" s="41"/>
      <c r="H54" s="41" t="s">
        <v>219</v>
      </c>
      <c r="I54" s="46" t="s">
        <v>59</v>
      </c>
      <c r="J54" s="41">
        <v>11.5</v>
      </c>
      <c r="K54" s="41"/>
      <c r="L54" s="41"/>
    </row>
    <row r="55" spans="1:12" s="17" customFormat="1" x14ac:dyDescent="0.35">
      <c r="A55" s="46">
        <v>54</v>
      </c>
      <c r="B55" s="46">
        <v>54</v>
      </c>
      <c r="C55" s="48">
        <v>18</v>
      </c>
      <c r="D55" s="41" t="s">
        <v>214</v>
      </c>
      <c r="E55" s="46">
        <v>4.5999999999999996</v>
      </c>
      <c r="F55" s="41">
        <v>1554</v>
      </c>
      <c r="G55" s="43" t="s">
        <v>22</v>
      </c>
      <c r="H55" s="41" t="s">
        <v>218</v>
      </c>
      <c r="I55" s="46" t="s">
        <v>59</v>
      </c>
      <c r="J55" s="41">
        <v>12</v>
      </c>
      <c r="K55" s="40">
        <f>1.49*10^8</f>
        <v>149000000</v>
      </c>
      <c r="L55" s="44">
        <f>LOG10(K55)</f>
        <v>8.1731862684122749</v>
      </c>
    </row>
    <row r="56" spans="1:12" s="17" customFormat="1" x14ac:dyDescent="0.35">
      <c r="A56" s="46">
        <v>55</v>
      </c>
      <c r="B56" s="46">
        <v>55</v>
      </c>
      <c r="C56" s="49"/>
      <c r="D56" s="41" t="s">
        <v>214</v>
      </c>
      <c r="E56" s="46">
        <v>5.0999999999999996</v>
      </c>
      <c r="F56" s="41">
        <v>1555</v>
      </c>
      <c r="G56" s="41"/>
      <c r="H56" s="41" t="s">
        <v>219</v>
      </c>
      <c r="I56" s="46" t="s">
        <v>59</v>
      </c>
      <c r="J56" s="41">
        <v>11.4</v>
      </c>
      <c r="K56" s="41"/>
      <c r="L56" s="41"/>
    </row>
    <row r="57" spans="1:12" s="17" customFormat="1" x14ac:dyDescent="0.35">
      <c r="A57" s="46">
        <v>56</v>
      </c>
      <c r="B57" s="46">
        <v>56</v>
      </c>
      <c r="C57" s="48">
        <v>19</v>
      </c>
      <c r="D57" s="41" t="s">
        <v>214</v>
      </c>
      <c r="E57" s="46">
        <v>5.2</v>
      </c>
      <c r="F57" s="41">
        <v>1556</v>
      </c>
      <c r="G57" s="43" t="s">
        <v>34</v>
      </c>
      <c r="H57" s="41" t="s">
        <v>218</v>
      </c>
      <c r="I57" s="46" t="s">
        <v>59</v>
      </c>
      <c r="J57" s="41">
        <v>12</v>
      </c>
      <c r="K57" s="40">
        <f>2.75*10^6</f>
        <v>2750000</v>
      </c>
      <c r="L57" s="44">
        <f>LOG10(K57)</f>
        <v>6.4393326938302629</v>
      </c>
    </row>
    <row r="58" spans="1:12" s="17" customFormat="1" x14ac:dyDescent="0.35">
      <c r="A58" s="46">
        <v>57</v>
      </c>
      <c r="B58" s="46">
        <v>57</v>
      </c>
      <c r="C58" s="49"/>
      <c r="D58" s="41" t="s">
        <v>214</v>
      </c>
      <c r="E58" s="46">
        <v>5.3</v>
      </c>
      <c r="F58" s="41">
        <v>1557</v>
      </c>
      <c r="G58" s="41"/>
      <c r="H58" s="41" t="s">
        <v>219</v>
      </c>
      <c r="I58" s="46" t="s">
        <v>59</v>
      </c>
      <c r="J58" s="41">
        <v>12</v>
      </c>
      <c r="K58" s="41"/>
      <c r="L58" s="41"/>
    </row>
    <row r="59" spans="1:12" s="17" customFormat="1" x14ac:dyDescent="0.35">
      <c r="A59" s="46">
        <v>58</v>
      </c>
      <c r="B59" s="46">
        <v>58</v>
      </c>
      <c r="C59" s="49"/>
      <c r="D59" s="41" t="s">
        <v>214</v>
      </c>
      <c r="E59" s="46">
        <v>5.4</v>
      </c>
      <c r="F59" s="41">
        <v>1558</v>
      </c>
      <c r="G59" s="41"/>
      <c r="H59" s="41" t="s">
        <v>219</v>
      </c>
      <c r="I59" s="46" t="s">
        <v>59</v>
      </c>
      <c r="J59" s="41">
        <v>11.3</v>
      </c>
      <c r="K59" s="41"/>
      <c r="L59" s="41"/>
    </row>
    <row r="60" spans="1:12" s="17" customFormat="1" x14ac:dyDescent="0.35">
      <c r="A60" s="46">
        <v>59</v>
      </c>
      <c r="B60" s="46">
        <v>59</v>
      </c>
      <c r="C60" s="48">
        <v>20</v>
      </c>
      <c r="D60" s="41" t="s">
        <v>214</v>
      </c>
      <c r="E60" s="46">
        <v>5.5</v>
      </c>
      <c r="F60" s="41">
        <v>1559</v>
      </c>
      <c r="G60" s="43" t="s">
        <v>24</v>
      </c>
      <c r="H60" s="41" t="s">
        <v>218</v>
      </c>
      <c r="I60" s="46" t="s">
        <v>59</v>
      </c>
      <c r="J60" s="41">
        <v>11.5</v>
      </c>
      <c r="K60" s="40">
        <f>10^8</f>
        <v>100000000</v>
      </c>
      <c r="L60" s="44">
        <f>LOG10(K60)</f>
        <v>8</v>
      </c>
    </row>
    <row r="61" spans="1:12" s="17" customFormat="1" x14ac:dyDescent="0.35">
      <c r="A61" s="46">
        <v>60</v>
      </c>
      <c r="B61" s="46">
        <v>60</v>
      </c>
      <c r="C61" s="49"/>
      <c r="D61" s="41" t="s">
        <v>214</v>
      </c>
      <c r="E61" s="46">
        <v>5.6</v>
      </c>
      <c r="F61" s="41">
        <v>1560</v>
      </c>
      <c r="G61" s="41"/>
      <c r="H61" s="41" t="s">
        <v>218</v>
      </c>
      <c r="I61" s="46" t="s">
        <v>59</v>
      </c>
      <c r="J61" s="41">
        <v>11.3</v>
      </c>
      <c r="K61" s="41"/>
      <c r="L61" s="41"/>
    </row>
    <row r="62" spans="1:12" x14ac:dyDescent="0.35">
      <c r="A62" s="46">
        <v>61</v>
      </c>
      <c r="B62" s="46">
        <v>61</v>
      </c>
      <c r="C62" s="48">
        <v>21</v>
      </c>
      <c r="D62" s="41" t="s">
        <v>215</v>
      </c>
      <c r="E62" s="46">
        <v>1.1000000000000001</v>
      </c>
      <c r="F62" s="41">
        <v>1561</v>
      </c>
      <c r="G62" s="43" t="s">
        <v>35</v>
      </c>
      <c r="H62" s="41" t="s">
        <v>218</v>
      </c>
      <c r="I62" s="46" t="s">
        <v>59</v>
      </c>
      <c r="J62" s="41">
        <v>12</v>
      </c>
      <c r="K62" s="40">
        <f>3.6*10^6</f>
        <v>3600000</v>
      </c>
      <c r="L62" s="44">
        <f>LOG10(K62)</f>
        <v>6.5563025007672868</v>
      </c>
    </row>
    <row r="63" spans="1:12" x14ac:dyDescent="0.35">
      <c r="A63" s="46">
        <v>62</v>
      </c>
      <c r="B63" s="46">
        <v>62</v>
      </c>
      <c r="C63" s="49"/>
      <c r="D63" s="41" t="s">
        <v>215</v>
      </c>
      <c r="E63" s="46">
        <v>1.2</v>
      </c>
      <c r="F63" s="41">
        <v>1562</v>
      </c>
      <c r="G63" s="41"/>
      <c r="H63" s="41" t="s">
        <v>219</v>
      </c>
      <c r="I63" s="46" t="s">
        <v>59</v>
      </c>
      <c r="J63" s="41">
        <v>11.3</v>
      </c>
      <c r="K63" s="41"/>
      <c r="L63" s="41"/>
    </row>
    <row r="64" spans="1:12" x14ac:dyDescent="0.35">
      <c r="A64" s="46">
        <v>63</v>
      </c>
      <c r="B64" s="46">
        <v>63</v>
      </c>
      <c r="C64" s="48">
        <v>22</v>
      </c>
      <c r="D64" s="41" t="s">
        <v>215</v>
      </c>
      <c r="E64" s="46">
        <v>1.3</v>
      </c>
      <c r="F64" s="41">
        <v>1563</v>
      </c>
      <c r="G64" s="43" t="s">
        <v>36</v>
      </c>
      <c r="H64" s="41" t="s">
        <v>218</v>
      </c>
      <c r="I64" s="46" t="s">
        <v>59</v>
      </c>
      <c r="J64" s="41">
        <v>11.6</v>
      </c>
      <c r="K64" s="40">
        <f>1.05*10^6</f>
        <v>1050000</v>
      </c>
      <c r="L64" s="44">
        <f>LOG10(K64)</f>
        <v>6.0211892990699383</v>
      </c>
    </row>
    <row r="65" spans="1:12" x14ac:dyDescent="0.35">
      <c r="A65" s="46">
        <v>64</v>
      </c>
      <c r="B65" s="46">
        <v>64</v>
      </c>
      <c r="C65" s="49"/>
      <c r="D65" s="41" t="s">
        <v>215</v>
      </c>
      <c r="E65" s="46">
        <v>1.4</v>
      </c>
      <c r="F65" s="41">
        <v>1564</v>
      </c>
      <c r="G65" s="41"/>
      <c r="H65" s="41" t="s">
        <v>219</v>
      </c>
      <c r="I65" s="46" t="s">
        <v>59</v>
      </c>
      <c r="J65" s="41">
        <v>11.3</v>
      </c>
      <c r="K65" s="41"/>
      <c r="L65" s="41"/>
    </row>
    <row r="66" spans="1:12" x14ac:dyDescent="0.35">
      <c r="A66" s="46">
        <v>65</v>
      </c>
      <c r="B66" s="46">
        <v>65</v>
      </c>
      <c r="C66" s="49"/>
      <c r="D66" s="41" t="s">
        <v>215</v>
      </c>
      <c r="E66" s="46">
        <v>1.5</v>
      </c>
      <c r="F66" s="41">
        <v>1565</v>
      </c>
      <c r="G66" s="41"/>
      <c r="H66" s="41" t="s">
        <v>219</v>
      </c>
      <c r="I66" s="46" t="s">
        <v>59</v>
      </c>
      <c r="J66" s="41">
        <v>12</v>
      </c>
      <c r="K66" s="41"/>
      <c r="L66" s="41"/>
    </row>
    <row r="67" spans="1:12" x14ac:dyDescent="0.35">
      <c r="A67" s="46">
        <v>66</v>
      </c>
      <c r="B67" s="46">
        <v>66</v>
      </c>
      <c r="C67" s="49"/>
      <c r="D67" s="41" t="s">
        <v>215</v>
      </c>
      <c r="E67" s="46">
        <v>1.6</v>
      </c>
      <c r="F67" s="41">
        <v>1566</v>
      </c>
      <c r="G67" s="41"/>
      <c r="H67" s="41" t="s">
        <v>219</v>
      </c>
      <c r="I67" s="46" t="s">
        <v>59</v>
      </c>
      <c r="J67" s="41">
        <v>11</v>
      </c>
      <c r="K67" s="41"/>
      <c r="L67" s="41"/>
    </row>
    <row r="68" spans="1:12" x14ac:dyDescent="0.35">
      <c r="A68" s="46">
        <v>67</v>
      </c>
      <c r="B68" s="46">
        <v>67</v>
      </c>
      <c r="C68" s="49"/>
      <c r="D68" s="41" t="s">
        <v>215</v>
      </c>
      <c r="E68" s="46">
        <v>2.1</v>
      </c>
      <c r="F68" s="41">
        <v>1567</v>
      </c>
      <c r="G68" s="41"/>
      <c r="H68" s="41" t="s">
        <v>218</v>
      </c>
      <c r="I68" s="46" t="s">
        <v>59</v>
      </c>
      <c r="J68" s="41">
        <v>11.3</v>
      </c>
      <c r="K68" s="41"/>
      <c r="L68" s="41"/>
    </row>
    <row r="69" spans="1:12" x14ac:dyDescent="0.35">
      <c r="A69" s="46">
        <v>68</v>
      </c>
      <c r="B69" s="46">
        <v>68</v>
      </c>
      <c r="C69" s="49"/>
      <c r="D69" s="41" t="s">
        <v>215</v>
      </c>
      <c r="E69" s="46">
        <v>2.2000000000000002</v>
      </c>
      <c r="F69" s="41">
        <v>1568</v>
      </c>
      <c r="G69" s="41"/>
      <c r="H69" s="41" t="s">
        <v>219</v>
      </c>
      <c r="I69" s="46" t="s">
        <v>59</v>
      </c>
      <c r="J69" s="41">
        <v>11</v>
      </c>
      <c r="K69" s="41"/>
      <c r="L69" s="41"/>
    </row>
    <row r="70" spans="1:12" x14ac:dyDescent="0.35">
      <c r="A70" s="46">
        <v>69</v>
      </c>
      <c r="B70" s="46">
        <v>69</v>
      </c>
      <c r="C70" s="48">
        <v>23</v>
      </c>
      <c r="D70" s="41" t="s">
        <v>215</v>
      </c>
      <c r="E70" s="46">
        <v>2.2999999999999998</v>
      </c>
      <c r="F70" s="41">
        <v>1569</v>
      </c>
      <c r="G70" s="43" t="s">
        <v>37</v>
      </c>
      <c r="H70" s="41" t="s">
        <v>219</v>
      </c>
      <c r="I70" s="46" t="s">
        <v>59</v>
      </c>
      <c r="J70" s="41">
        <v>11.4</v>
      </c>
      <c r="K70" s="40">
        <f>7.75*10^5</f>
        <v>775000</v>
      </c>
      <c r="L70" s="44">
        <f>LOG10(K70)</f>
        <v>5.8893017025063106</v>
      </c>
    </row>
    <row r="71" spans="1:12" x14ac:dyDescent="0.35">
      <c r="A71" s="46">
        <v>70</v>
      </c>
      <c r="B71" s="46">
        <v>70</v>
      </c>
      <c r="C71" s="49"/>
      <c r="D71" s="41" t="s">
        <v>215</v>
      </c>
      <c r="E71" s="46">
        <v>2.4</v>
      </c>
      <c r="F71" s="41">
        <v>1570</v>
      </c>
      <c r="G71" s="41"/>
      <c r="H71" s="41" t="s">
        <v>218</v>
      </c>
      <c r="I71" s="46" t="s">
        <v>59</v>
      </c>
      <c r="J71" s="41">
        <v>11</v>
      </c>
      <c r="K71" s="41"/>
      <c r="L71" s="41"/>
    </row>
    <row r="72" spans="1:12" x14ac:dyDescent="0.35">
      <c r="A72" s="46">
        <v>71</v>
      </c>
      <c r="B72" s="46">
        <v>71</v>
      </c>
      <c r="C72" s="48">
        <v>24</v>
      </c>
      <c r="D72" s="41" t="s">
        <v>215</v>
      </c>
      <c r="E72" s="46">
        <v>2.5</v>
      </c>
      <c r="F72" s="41">
        <v>1571</v>
      </c>
      <c r="G72" s="43" t="s">
        <v>39</v>
      </c>
      <c r="H72" s="41" t="s">
        <v>218</v>
      </c>
      <c r="I72" s="46" t="s">
        <v>59</v>
      </c>
      <c r="J72" s="41">
        <v>12</v>
      </c>
      <c r="K72" s="40">
        <f>4.68*10^6</f>
        <v>4680000</v>
      </c>
      <c r="L72" s="44">
        <f>LOG10(K72)</f>
        <v>6.6702458530741238</v>
      </c>
    </row>
    <row r="73" spans="1:12" x14ac:dyDescent="0.35">
      <c r="A73" s="46">
        <v>72</v>
      </c>
      <c r="B73" s="46">
        <v>72</v>
      </c>
      <c r="C73" s="49"/>
      <c r="D73" s="41" t="s">
        <v>215</v>
      </c>
      <c r="E73" s="46">
        <v>2.6</v>
      </c>
      <c r="F73" s="41">
        <v>1572</v>
      </c>
      <c r="G73" s="41"/>
      <c r="H73" s="41" t="s">
        <v>219</v>
      </c>
      <c r="I73" s="46" t="s">
        <v>59</v>
      </c>
      <c r="J73" s="41">
        <v>12</v>
      </c>
      <c r="K73" s="41"/>
      <c r="L73" s="41"/>
    </row>
    <row r="74" spans="1:12" x14ac:dyDescent="0.35">
      <c r="A74" s="46">
        <v>73</v>
      </c>
      <c r="B74" s="46">
        <v>73</v>
      </c>
      <c r="C74" s="49"/>
      <c r="D74" s="41" t="s">
        <v>215</v>
      </c>
      <c r="E74" s="46">
        <v>3.1</v>
      </c>
      <c r="F74" s="41">
        <v>1573</v>
      </c>
      <c r="G74" s="41"/>
      <c r="H74" s="41" t="s">
        <v>218</v>
      </c>
      <c r="I74" s="46" t="s">
        <v>59</v>
      </c>
      <c r="J74" s="41">
        <v>12</v>
      </c>
      <c r="K74" s="41"/>
      <c r="L74" s="41"/>
    </row>
    <row r="75" spans="1:12" x14ac:dyDescent="0.35">
      <c r="A75" s="46">
        <v>74</v>
      </c>
      <c r="B75" s="46">
        <v>74</v>
      </c>
      <c r="C75" s="46"/>
      <c r="D75" s="41" t="s">
        <v>215</v>
      </c>
      <c r="E75" s="46">
        <v>3.2</v>
      </c>
      <c r="F75" s="41">
        <v>1574</v>
      </c>
      <c r="G75" s="41"/>
      <c r="H75" s="41" t="s">
        <v>219</v>
      </c>
      <c r="I75" s="46" t="s">
        <v>59</v>
      </c>
      <c r="J75" s="41">
        <v>11.4</v>
      </c>
      <c r="K75" s="41"/>
      <c r="L75" s="41"/>
    </row>
    <row r="76" spans="1:12" x14ac:dyDescent="0.35">
      <c r="A76" s="46">
        <v>75</v>
      </c>
      <c r="B76" s="46">
        <v>75</v>
      </c>
      <c r="C76" s="49"/>
      <c r="D76" s="41" t="s">
        <v>215</v>
      </c>
      <c r="E76" s="46">
        <v>3.3</v>
      </c>
      <c r="F76" s="41">
        <v>1575</v>
      </c>
      <c r="G76" s="41"/>
      <c r="H76" s="41" t="s">
        <v>219</v>
      </c>
      <c r="I76" s="46" t="s">
        <v>59</v>
      </c>
      <c r="J76" s="41">
        <v>11.3</v>
      </c>
      <c r="K76" s="41"/>
      <c r="L76" s="41"/>
    </row>
    <row r="77" spans="1:12" x14ac:dyDescent="0.35">
      <c r="A77" s="46">
        <v>76</v>
      </c>
      <c r="B77" s="46">
        <v>76</v>
      </c>
      <c r="C77" s="48">
        <v>25</v>
      </c>
      <c r="D77" s="41" t="s">
        <v>215</v>
      </c>
      <c r="E77" s="46">
        <v>3.4</v>
      </c>
      <c r="F77" s="41">
        <v>1576</v>
      </c>
      <c r="G77" s="43" t="s">
        <v>40</v>
      </c>
      <c r="H77" s="41" t="s">
        <v>219</v>
      </c>
      <c r="I77" s="46" t="s">
        <v>59</v>
      </c>
      <c r="J77" s="41">
        <v>12</v>
      </c>
      <c r="K77" s="40">
        <f>1.48*10^7</f>
        <v>14800000</v>
      </c>
      <c r="L77" s="44">
        <f>LOG10(K77)</f>
        <v>7.1702617153949575</v>
      </c>
    </row>
    <row r="78" spans="1:12" x14ac:dyDescent="0.35">
      <c r="A78" s="46">
        <v>77</v>
      </c>
      <c r="B78" s="46">
        <v>77</v>
      </c>
      <c r="C78" s="49"/>
      <c r="D78" s="41" t="s">
        <v>215</v>
      </c>
      <c r="E78" s="46">
        <v>3.5</v>
      </c>
      <c r="F78" s="41">
        <v>1577</v>
      </c>
      <c r="G78" s="41"/>
      <c r="H78" s="41" t="s">
        <v>219</v>
      </c>
      <c r="I78" s="46" t="s">
        <v>59</v>
      </c>
      <c r="J78" s="41">
        <v>11.3</v>
      </c>
      <c r="K78" s="41"/>
      <c r="L78" s="41"/>
    </row>
    <row r="79" spans="1:12" x14ac:dyDescent="0.35">
      <c r="A79" s="46">
        <v>78</v>
      </c>
      <c r="B79" s="46">
        <v>78</v>
      </c>
      <c r="C79" s="48">
        <v>26</v>
      </c>
      <c r="D79" s="41" t="s">
        <v>215</v>
      </c>
      <c r="E79" s="46">
        <v>3.6</v>
      </c>
      <c r="F79" s="41">
        <v>1578</v>
      </c>
      <c r="G79" s="43" t="s">
        <v>41</v>
      </c>
      <c r="H79" s="41" t="s">
        <v>218</v>
      </c>
      <c r="I79" s="46" t="s">
        <v>59</v>
      </c>
      <c r="J79" s="41">
        <v>11.6</v>
      </c>
      <c r="K79" s="40">
        <f>2.2*10^7</f>
        <v>22000000</v>
      </c>
      <c r="L79" s="44">
        <f>LOG10(K79)</f>
        <v>7.3424226808222066</v>
      </c>
    </row>
    <row r="80" spans="1:12" x14ac:dyDescent="0.35">
      <c r="A80" s="46">
        <v>79</v>
      </c>
      <c r="B80" s="46">
        <v>79</v>
      </c>
      <c r="C80" s="49"/>
      <c r="D80" s="41" t="s">
        <v>215</v>
      </c>
      <c r="E80" s="46">
        <v>4.0999999999999996</v>
      </c>
      <c r="F80" s="41">
        <v>1579</v>
      </c>
      <c r="G80" s="41"/>
      <c r="H80" s="41" t="s">
        <v>218</v>
      </c>
      <c r="I80" s="46" t="s">
        <v>59</v>
      </c>
      <c r="J80" s="41">
        <v>12</v>
      </c>
      <c r="K80" s="41"/>
      <c r="L80" s="41"/>
    </row>
    <row r="81" spans="1:12" x14ac:dyDescent="0.35">
      <c r="A81" s="46">
        <v>80</v>
      </c>
      <c r="B81" s="46">
        <v>80</v>
      </c>
      <c r="C81" s="48">
        <v>27</v>
      </c>
      <c r="D81" s="41" t="s">
        <v>215</v>
      </c>
      <c r="E81" s="46">
        <v>4.2</v>
      </c>
      <c r="F81" s="41">
        <v>1580</v>
      </c>
      <c r="G81" s="43" t="s">
        <v>32</v>
      </c>
      <c r="H81" s="41" t="s">
        <v>219</v>
      </c>
      <c r="I81" s="46" t="s">
        <v>59</v>
      </c>
      <c r="J81" s="41">
        <v>12</v>
      </c>
      <c r="K81" s="40">
        <f>2.37*10^7</f>
        <v>23700000</v>
      </c>
      <c r="L81" s="44">
        <f>LOG10(K81)</f>
        <v>7.3747483460101035</v>
      </c>
    </row>
    <row r="82" spans="1:12" x14ac:dyDescent="0.35">
      <c r="A82" s="46">
        <v>81</v>
      </c>
      <c r="B82" s="46">
        <v>81</v>
      </c>
      <c r="C82" s="48">
        <v>28</v>
      </c>
      <c r="D82" s="41" t="s">
        <v>215</v>
      </c>
      <c r="E82" s="46">
        <v>4.3</v>
      </c>
      <c r="F82" s="41">
        <v>1581</v>
      </c>
      <c r="G82" s="43" t="s">
        <v>38</v>
      </c>
      <c r="H82" s="41" t="s">
        <v>219</v>
      </c>
      <c r="I82" s="46" t="s">
        <v>59</v>
      </c>
      <c r="J82" s="41">
        <v>11.3</v>
      </c>
      <c r="K82" s="40">
        <f>1.86*10^7</f>
        <v>18600000</v>
      </c>
      <c r="L82" s="44">
        <f>LOG10(K82)</f>
        <v>7.2695129442179161</v>
      </c>
    </row>
    <row r="83" spans="1:12" x14ac:dyDescent="0.35">
      <c r="A83" s="46">
        <v>82</v>
      </c>
      <c r="B83" s="46">
        <v>82</v>
      </c>
      <c r="C83" s="49"/>
      <c r="D83" s="41" t="s">
        <v>215</v>
      </c>
      <c r="E83" s="46">
        <v>4.4000000000000004</v>
      </c>
      <c r="F83" s="41">
        <v>1582</v>
      </c>
      <c r="G83" s="41"/>
      <c r="H83" s="41" t="s">
        <v>218</v>
      </c>
      <c r="I83" s="46" t="s">
        <v>59</v>
      </c>
      <c r="J83" s="41">
        <v>12</v>
      </c>
      <c r="K83" s="41"/>
      <c r="L83" s="41"/>
    </row>
    <row r="84" spans="1:12" x14ac:dyDescent="0.35">
      <c r="A84" s="46">
        <v>83</v>
      </c>
      <c r="B84" s="46">
        <v>83</v>
      </c>
      <c r="C84" s="49"/>
      <c r="D84" s="41" t="s">
        <v>215</v>
      </c>
      <c r="E84" s="46">
        <v>4.5</v>
      </c>
      <c r="F84" s="41">
        <v>1583</v>
      </c>
      <c r="G84" s="41"/>
      <c r="H84" s="41" t="s">
        <v>218</v>
      </c>
      <c r="I84" s="46" t="s">
        <v>59</v>
      </c>
      <c r="J84" s="41">
        <v>11.3</v>
      </c>
      <c r="K84" s="41"/>
      <c r="L84" s="41"/>
    </row>
    <row r="85" spans="1:12" x14ac:dyDescent="0.35">
      <c r="A85" s="46">
        <v>84</v>
      </c>
      <c r="B85" s="46">
        <v>84</v>
      </c>
      <c r="C85" s="49"/>
      <c r="D85" s="41" t="s">
        <v>215</v>
      </c>
      <c r="E85" s="46">
        <v>4.5999999999999996</v>
      </c>
      <c r="F85" s="41">
        <v>1584</v>
      </c>
      <c r="G85" s="41"/>
      <c r="H85" s="41" t="s">
        <v>219</v>
      </c>
      <c r="I85" s="46" t="s">
        <v>59</v>
      </c>
      <c r="J85" s="41">
        <v>11.4</v>
      </c>
      <c r="K85" s="41"/>
      <c r="L85" s="41"/>
    </row>
    <row r="86" spans="1:12" x14ac:dyDescent="0.35">
      <c r="A86" s="46">
        <v>85</v>
      </c>
      <c r="B86" s="46">
        <v>85</v>
      </c>
      <c r="C86" s="49"/>
      <c r="D86" s="41" t="s">
        <v>215</v>
      </c>
      <c r="E86" s="46">
        <v>5.0999999999999996</v>
      </c>
      <c r="F86" s="41">
        <v>1585</v>
      </c>
      <c r="G86" s="41"/>
      <c r="H86" s="41" t="s">
        <v>218</v>
      </c>
      <c r="I86" s="46" t="s">
        <v>59</v>
      </c>
      <c r="J86" s="41">
        <v>11.3</v>
      </c>
      <c r="K86" s="41"/>
      <c r="L86" s="41"/>
    </row>
    <row r="87" spans="1:12" x14ac:dyDescent="0.35">
      <c r="A87" s="46">
        <v>86</v>
      </c>
      <c r="B87" s="46">
        <v>86</v>
      </c>
      <c r="C87" s="48">
        <v>29</v>
      </c>
      <c r="D87" s="41" t="s">
        <v>215</v>
      </c>
      <c r="E87" s="46">
        <v>5.2</v>
      </c>
      <c r="F87" s="41">
        <v>1586</v>
      </c>
      <c r="G87" s="43" t="s">
        <v>33</v>
      </c>
      <c r="H87" s="41" t="s">
        <v>219</v>
      </c>
      <c r="I87" s="46" t="s">
        <v>59</v>
      </c>
      <c r="J87" s="41">
        <v>11.3</v>
      </c>
      <c r="K87" s="40">
        <f>2*10^5</f>
        <v>200000</v>
      </c>
      <c r="L87" s="44">
        <f>LOG10(K87)</f>
        <v>5.3010299956639813</v>
      </c>
    </row>
    <row r="88" spans="1:12" x14ac:dyDescent="0.35">
      <c r="A88" s="46">
        <v>87</v>
      </c>
      <c r="B88" s="46">
        <v>87</v>
      </c>
      <c r="C88" s="48">
        <v>30</v>
      </c>
      <c r="D88" s="41" t="s">
        <v>215</v>
      </c>
      <c r="E88" s="46">
        <v>5.3</v>
      </c>
      <c r="F88" s="41">
        <v>1587</v>
      </c>
      <c r="G88" s="43" t="s">
        <v>42</v>
      </c>
      <c r="H88" s="41" t="s">
        <v>218</v>
      </c>
      <c r="I88" s="46" t="s">
        <v>59</v>
      </c>
      <c r="J88" s="41">
        <v>11.3</v>
      </c>
      <c r="K88" s="40">
        <f>1.97*10^7</f>
        <v>19700000</v>
      </c>
      <c r="L88" s="44">
        <f>LOG10(K88)</f>
        <v>7.2944662261615933</v>
      </c>
    </row>
    <row r="89" spans="1:12" x14ac:dyDescent="0.35">
      <c r="A89" s="46">
        <v>88</v>
      </c>
      <c r="B89" s="46">
        <v>88</v>
      </c>
      <c r="C89" s="49"/>
      <c r="D89" s="41" t="s">
        <v>215</v>
      </c>
      <c r="E89" s="46">
        <v>5.4</v>
      </c>
      <c r="F89" s="41">
        <v>1588</v>
      </c>
      <c r="G89" s="41"/>
      <c r="H89" s="41" t="s">
        <v>218</v>
      </c>
      <c r="I89" s="46" t="s">
        <v>59</v>
      </c>
      <c r="J89" s="41">
        <v>11.4</v>
      </c>
      <c r="K89" s="41"/>
      <c r="L89" s="41"/>
    </row>
    <row r="90" spans="1:12" x14ac:dyDescent="0.35">
      <c r="A90" s="46">
        <v>89</v>
      </c>
      <c r="B90" s="46">
        <v>89</v>
      </c>
      <c r="C90" s="49"/>
      <c r="D90" s="41" t="s">
        <v>215</v>
      </c>
      <c r="E90" s="46">
        <v>5.5</v>
      </c>
      <c r="F90" s="41">
        <v>1589</v>
      </c>
      <c r="G90" s="41"/>
      <c r="H90" s="41" t="s">
        <v>218</v>
      </c>
      <c r="I90" s="46" t="s">
        <v>59</v>
      </c>
      <c r="J90" s="41">
        <v>12</v>
      </c>
      <c r="K90" s="41"/>
      <c r="L90" s="41"/>
    </row>
    <row r="91" spans="1:12" x14ac:dyDescent="0.35">
      <c r="A91" s="46">
        <v>90</v>
      </c>
      <c r="B91" s="46">
        <v>90</v>
      </c>
      <c r="C91" s="49"/>
      <c r="D91" s="41" t="s">
        <v>215</v>
      </c>
      <c r="E91" s="46">
        <v>5.6</v>
      </c>
      <c r="F91" s="41">
        <v>1590</v>
      </c>
      <c r="G91" s="41"/>
      <c r="H91" s="41" t="s">
        <v>218</v>
      </c>
      <c r="I91" s="46" t="s">
        <v>59</v>
      </c>
      <c r="J91" s="41">
        <v>12</v>
      </c>
      <c r="K91" s="41"/>
      <c r="L91" s="41"/>
    </row>
    <row r="92" spans="1:12" ht="14.5" customHeight="1" x14ac:dyDescent="0.35">
      <c r="A92" s="46">
        <v>91</v>
      </c>
      <c r="B92" s="46">
        <v>91</v>
      </c>
      <c r="C92" s="48">
        <v>31</v>
      </c>
      <c r="D92" s="41" t="s">
        <v>213</v>
      </c>
      <c r="E92" s="46">
        <v>1.1000000000000001</v>
      </c>
      <c r="F92" s="41">
        <v>1501</v>
      </c>
      <c r="G92" s="43" t="s">
        <v>13</v>
      </c>
      <c r="H92" s="41" t="s">
        <v>219</v>
      </c>
      <c r="I92" s="46" t="s">
        <v>131</v>
      </c>
      <c r="J92" s="41">
        <v>29</v>
      </c>
      <c r="K92" s="43">
        <v>1</v>
      </c>
      <c r="L92" s="44">
        <f>LOG10(K92)</f>
        <v>0</v>
      </c>
    </row>
    <row r="93" spans="1:12" x14ac:dyDescent="0.35">
      <c r="A93" s="46">
        <v>92</v>
      </c>
      <c r="B93" s="46">
        <v>92</v>
      </c>
      <c r="C93" s="49"/>
      <c r="D93" s="41" t="s">
        <v>213</v>
      </c>
      <c r="E93" s="46">
        <v>1.2</v>
      </c>
      <c r="F93" s="41">
        <v>1502</v>
      </c>
      <c r="G93" s="41"/>
      <c r="H93" s="41" t="s">
        <v>218</v>
      </c>
      <c r="I93" s="46" t="s">
        <v>131</v>
      </c>
      <c r="J93" s="41">
        <v>24</v>
      </c>
      <c r="K93" s="41"/>
      <c r="L93" s="41"/>
    </row>
    <row r="94" spans="1:12" x14ac:dyDescent="0.35">
      <c r="A94" s="46">
        <v>93</v>
      </c>
      <c r="B94" s="46">
        <v>93</v>
      </c>
      <c r="C94" s="49"/>
      <c r="D94" s="41" t="s">
        <v>213</v>
      </c>
      <c r="E94" s="46">
        <v>1.3</v>
      </c>
      <c r="F94" s="41">
        <v>1503</v>
      </c>
      <c r="G94" s="41"/>
      <c r="H94" s="41" t="s">
        <v>219</v>
      </c>
      <c r="I94" s="46" t="s">
        <v>131</v>
      </c>
      <c r="J94" s="41">
        <v>26</v>
      </c>
      <c r="K94" s="41"/>
      <c r="L94" s="41"/>
    </row>
    <row r="95" spans="1:12" x14ac:dyDescent="0.35">
      <c r="A95" s="46">
        <v>94</v>
      </c>
      <c r="B95" s="46">
        <v>94</v>
      </c>
      <c r="C95" s="49"/>
      <c r="D95" s="41" t="s">
        <v>213</v>
      </c>
      <c r="E95" s="46">
        <v>1.4</v>
      </c>
      <c r="F95" s="41">
        <v>1504</v>
      </c>
      <c r="G95" s="41"/>
      <c r="H95" s="41" t="s">
        <v>218</v>
      </c>
      <c r="I95" s="46" t="s">
        <v>131</v>
      </c>
      <c r="J95" s="41">
        <v>29.5</v>
      </c>
      <c r="K95" s="41"/>
      <c r="L95" s="41"/>
    </row>
    <row r="96" spans="1:12" x14ac:dyDescent="0.35">
      <c r="A96" s="46">
        <v>95</v>
      </c>
      <c r="B96" s="46">
        <v>95</v>
      </c>
      <c r="C96" s="49"/>
      <c r="D96" s="41" t="s">
        <v>213</v>
      </c>
      <c r="E96" s="46">
        <v>1.5</v>
      </c>
      <c r="F96" s="41">
        <v>1505</v>
      </c>
      <c r="G96" s="41"/>
      <c r="H96" s="41" t="s">
        <v>218</v>
      </c>
      <c r="I96" s="46" t="s">
        <v>131</v>
      </c>
      <c r="J96" s="41">
        <v>29</v>
      </c>
      <c r="K96" s="41"/>
      <c r="L96" s="41"/>
    </row>
    <row r="97" spans="1:12" x14ac:dyDescent="0.35">
      <c r="A97" s="46">
        <v>96</v>
      </c>
      <c r="B97" s="46">
        <v>96</v>
      </c>
      <c r="C97" s="48">
        <v>32</v>
      </c>
      <c r="D97" s="41" t="s">
        <v>213</v>
      </c>
      <c r="E97" s="46">
        <v>1.6</v>
      </c>
      <c r="F97" s="41">
        <v>1506</v>
      </c>
      <c r="G97" s="43" t="s">
        <v>18</v>
      </c>
      <c r="H97" s="41" t="s">
        <v>219</v>
      </c>
      <c r="I97" s="46" t="s">
        <v>131</v>
      </c>
      <c r="J97" s="41">
        <v>26</v>
      </c>
      <c r="K97" s="43">
        <v>1</v>
      </c>
      <c r="L97" s="44">
        <f>LOG10(K97)</f>
        <v>0</v>
      </c>
    </row>
    <row r="98" spans="1:12" x14ac:dyDescent="0.35">
      <c r="A98" s="46">
        <v>97</v>
      </c>
      <c r="B98" s="46">
        <v>97</v>
      </c>
      <c r="C98" s="49"/>
      <c r="D98" s="41" t="s">
        <v>213</v>
      </c>
      <c r="E98" s="46">
        <v>2.1</v>
      </c>
      <c r="F98" s="41">
        <v>1507</v>
      </c>
      <c r="G98" s="41"/>
      <c r="H98" s="41" t="s">
        <v>218</v>
      </c>
      <c r="I98" s="46" t="s">
        <v>131</v>
      </c>
      <c r="J98" s="41">
        <v>29</v>
      </c>
      <c r="K98" s="41"/>
      <c r="L98" s="41"/>
    </row>
    <row r="99" spans="1:12" x14ac:dyDescent="0.35">
      <c r="A99" s="46">
        <v>98</v>
      </c>
      <c r="B99" s="46">
        <v>98</v>
      </c>
      <c r="C99" s="48">
        <v>33</v>
      </c>
      <c r="D99" s="41" t="s">
        <v>213</v>
      </c>
      <c r="E99" s="46">
        <v>2.2000000000000002</v>
      </c>
      <c r="F99" s="41">
        <v>1508</v>
      </c>
      <c r="G99" s="43" t="s">
        <v>14</v>
      </c>
      <c r="H99" s="41" t="s">
        <v>218</v>
      </c>
      <c r="I99" s="46" t="s">
        <v>131</v>
      </c>
      <c r="J99" s="41">
        <v>29</v>
      </c>
      <c r="K99" s="40">
        <f>0.5*10^5</f>
        <v>50000</v>
      </c>
      <c r="L99" s="44">
        <f>LOG10(K99)</f>
        <v>4.6989700043360187</v>
      </c>
    </row>
    <row r="100" spans="1:12" x14ac:dyDescent="0.35">
      <c r="A100" s="46">
        <v>99</v>
      </c>
      <c r="B100" s="46">
        <v>99</v>
      </c>
      <c r="C100" s="48">
        <v>34</v>
      </c>
      <c r="D100" s="41" t="s">
        <v>213</v>
      </c>
      <c r="E100" s="46">
        <v>2.2999999999999998</v>
      </c>
      <c r="F100" s="41">
        <v>1509</v>
      </c>
      <c r="G100" s="43" t="s">
        <v>15</v>
      </c>
      <c r="H100" s="41" t="s">
        <v>219</v>
      </c>
      <c r="I100" s="46" t="s">
        <v>131</v>
      </c>
      <c r="J100" s="41">
        <v>27.5</v>
      </c>
      <c r="K100" s="40">
        <f>10^5</f>
        <v>100000</v>
      </c>
      <c r="L100" s="44">
        <f>LOG10(K100)</f>
        <v>5</v>
      </c>
    </row>
    <row r="101" spans="1:12" x14ac:dyDescent="0.35">
      <c r="A101" s="46">
        <v>100</v>
      </c>
      <c r="B101" s="46">
        <v>100</v>
      </c>
      <c r="C101" s="49"/>
      <c r="D101" s="41" t="s">
        <v>213</v>
      </c>
      <c r="E101" s="46">
        <v>2.4</v>
      </c>
      <c r="F101" s="41">
        <v>1510</v>
      </c>
      <c r="G101" s="41"/>
      <c r="H101" s="41" t="s">
        <v>219</v>
      </c>
      <c r="I101" s="46" t="s">
        <v>131</v>
      </c>
      <c r="J101" s="41">
        <v>28</v>
      </c>
      <c r="K101" s="41"/>
      <c r="L101" s="41"/>
    </row>
    <row r="102" spans="1:12" x14ac:dyDescent="0.35">
      <c r="A102" s="46">
        <v>101</v>
      </c>
      <c r="B102" s="46">
        <v>101</v>
      </c>
      <c r="C102" s="49"/>
      <c r="D102" s="41" t="s">
        <v>213</v>
      </c>
      <c r="E102" s="46">
        <v>2.5</v>
      </c>
      <c r="F102" s="41">
        <v>1511</v>
      </c>
      <c r="G102" s="41"/>
      <c r="H102" s="41" t="s">
        <v>219</v>
      </c>
      <c r="I102" s="46" t="s">
        <v>131</v>
      </c>
      <c r="J102" s="41">
        <v>24</v>
      </c>
      <c r="K102" s="41"/>
      <c r="L102" s="41"/>
    </row>
    <row r="103" spans="1:12" x14ac:dyDescent="0.35">
      <c r="A103" s="46">
        <v>102</v>
      </c>
      <c r="B103" s="46">
        <v>102</v>
      </c>
      <c r="C103" s="49"/>
      <c r="D103" s="41" t="s">
        <v>213</v>
      </c>
      <c r="E103" s="46">
        <v>2.6</v>
      </c>
      <c r="F103" s="41">
        <v>1512</v>
      </c>
      <c r="G103" s="41"/>
      <c r="H103" s="41" t="s">
        <v>218</v>
      </c>
      <c r="I103" s="46" t="s">
        <v>131</v>
      </c>
      <c r="J103" s="41">
        <v>29</v>
      </c>
      <c r="K103" s="41"/>
      <c r="L103" s="41"/>
    </row>
    <row r="104" spans="1:12" x14ac:dyDescent="0.35">
      <c r="A104" s="46">
        <v>103</v>
      </c>
      <c r="B104" s="46">
        <v>103</v>
      </c>
      <c r="C104" s="49"/>
      <c r="D104" s="41" t="s">
        <v>213</v>
      </c>
      <c r="E104" s="46">
        <v>3.1</v>
      </c>
      <c r="F104" s="41">
        <v>1513</v>
      </c>
      <c r="G104" s="41"/>
      <c r="H104" s="41" t="s">
        <v>218</v>
      </c>
      <c r="I104" s="46" t="s">
        <v>131</v>
      </c>
      <c r="J104" s="41">
        <v>29.5</v>
      </c>
      <c r="K104" s="41"/>
      <c r="L104" s="41"/>
    </row>
    <row r="105" spans="1:12" x14ac:dyDescent="0.35">
      <c r="A105" s="46">
        <v>104</v>
      </c>
      <c r="B105" s="46">
        <v>104</v>
      </c>
      <c r="C105" s="49"/>
      <c r="D105" s="41" t="s">
        <v>213</v>
      </c>
      <c r="E105" s="46">
        <v>3.2</v>
      </c>
      <c r="F105" s="41">
        <v>1514</v>
      </c>
      <c r="G105" s="41"/>
      <c r="H105" s="41" t="s">
        <v>219</v>
      </c>
      <c r="I105" s="46" t="s">
        <v>131</v>
      </c>
      <c r="J105" s="41">
        <v>28</v>
      </c>
      <c r="K105" s="41"/>
      <c r="L105" s="41"/>
    </row>
    <row r="106" spans="1:12" x14ac:dyDescent="0.35">
      <c r="A106" s="46">
        <v>105</v>
      </c>
      <c r="B106" s="46">
        <v>105</v>
      </c>
      <c r="C106" s="48">
        <v>35</v>
      </c>
      <c r="D106" s="41" t="s">
        <v>213</v>
      </c>
      <c r="E106" s="46">
        <v>3.3</v>
      </c>
      <c r="F106" s="41">
        <v>1515</v>
      </c>
      <c r="G106" s="43" t="s">
        <v>16</v>
      </c>
      <c r="H106" s="41" t="s">
        <v>219</v>
      </c>
      <c r="I106" s="46" t="s">
        <v>131</v>
      </c>
      <c r="J106" s="41">
        <v>24</v>
      </c>
      <c r="K106" s="40">
        <f>4.45*10^4</f>
        <v>44500</v>
      </c>
      <c r="L106" s="44">
        <f>LOG10(K106)</f>
        <v>4.648360010980932</v>
      </c>
    </row>
    <row r="107" spans="1:12" x14ac:dyDescent="0.35">
      <c r="A107" s="46">
        <v>106</v>
      </c>
      <c r="B107" s="46">
        <v>106</v>
      </c>
      <c r="C107" s="48">
        <v>36</v>
      </c>
      <c r="D107" s="41" t="s">
        <v>213</v>
      </c>
      <c r="E107" s="46">
        <v>3.4</v>
      </c>
      <c r="F107" s="41">
        <v>1517</v>
      </c>
      <c r="G107" s="43" t="s">
        <v>20</v>
      </c>
      <c r="H107" s="41" t="s">
        <v>219</v>
      </c>
      <c r="I107" s="46" t="s">
        <v>131</v>
      </c>
      <c r="J107" s="41">
        <v>28</v>
      </c>
      <c r="K107" s="43">
        <v>1</v>
      </c>
      <c r="L107" s="44">
        <f>LOG10(K107)</f>
        <v>0</v>
      </c>
    </row>
    <row r="108" spans="1:12" x14ac:dyDescent="0.35">
      <c r="A108" s="46">
        <v>107</v>
      </c>
      <c r="B108" s="46">
        <v>107</v>
      </c>
      <c r="C108" s="49"/>
      <c r="D108" s="41" t="s">
        <v>213</v>
      </c>
      <c r="E108" s="46">
        <v>3.5</v>
      </c>
      <c r="F108" s="41">
        <v>1518</v>
      </c>
      <c r="G108" s="41"/>
      <c r="H108" s="41" t="s">
        <v>218</v>
      </c>
      <c r="I108" s="46" t="s">
        <v>131</v>
      </c>
      <c r="J108" s="41">
        <v>29</v>
      </c>
      <c r="K108" s="41"/>
      <c r="L108" s="41"/>
    </row>
    <row r="109" spans="1:12" x14ac:dyDescent="0.35">
      <c r="A109" s="46">
        <v>108</v>
      </c>
      <c r="B109" s="46">
        <v>108</v>
      </c>
      <c r="C109" s="49"/>
      <c r="D109" s="41" t="s">
        <v>213</v>
      </c>
      <c r="E109" s="46">
        <v>3.6</v>
      </c>
      <c r="F109" s="41">
        <v>1686</v>
      </c>
      <c r="G109" s="41"/>
      <c r="H109" s="41" t="s">
        <v>219</v>
      </c>
      <c r="I109" s="46" t="s">
        <v>131</v>
      </c>
      <c r="J109" s="41">
        <v>24</v>
      </c>
      <c r="K109" s="41"/>
      <c r="L109" s="41"/>
    </row>
    <row r="110" spans="1:12" x14ac:dyDescent="0.35">
      <c r="A110" s="46">
        <v>109</v>
      </c>
      <c r="B110" s="46">
        <v>109</v>
      </c>
      <c r="C110" s="49"/>
      <c r="D110" s="41" t="s">
        <v>213</v>
      </c>
      <c r="E110" s="46">
        <v>4.0999999999999996</v>
      </c>
      <c r="F110" s="41">
        <v>1519</v>
      </c>
      <c r="G110" s="41"/>
      <c r="H110" s="41" t="s">
        <v>219</v>
      </c>
      <c r="I110" s="46" t="s">
        <v>131</v>
      </c>
      <c r="J110" s="41">
        <v>23</v>
      </c>
      <c r="K110" s="41"/>
      <c r="L110" s="41"/>
    </row>
    <row r="111" spans="1:12" x14ac:dyDescent="0.35">
      <c r="A111" s="46">
        <v>110</v>
      </c>
      <c r="B111" s="46">
        <v>110</v>
      </c>
      <c r="C111" s="49"/>
      <c r="D111" s="41" t="s">
        <v>213</v>
      </c>
      <c r="E111" s="46">
        <v>4.2</v>
      </c>
      <c r="F111" s="41">
        <v>1520</v>
      </c>
      <c r="G111" s="41"/>
      <c r="H111" s="41" t="s">
        <v>218</v>
      </c>
      <c r="I111" s="46" t="s">
        <v>131</v>
      </c>
      <c r="J111" s="41">
        <v>27</v>
      </c>
      <c r="K111" s="41"/>
      <c r="L111" s="41"/>
    </row>
    <row r="112" spans="1:12" x14ac:dyDescent="0.35">
      <c r="A112" s="46">
        <v>111</v>
      </c>
      <c r="B112" s="46">
        <v>111</v>
      </c>
      <c r="C112" s="48">
        <v>37</v>
      </c>
      <c r="D112" s="41" t="s">
        <v>213</v>
      </c>
      <c r="E112" s="46">
        <v>4.3</v>
      </c>
      <c r="F112" s="41">
        <v>1521</v>
      </c>
      <c r="G112" s="43" t="s">
        <v>17</v>
      </c>
      <c r="H112" s="41" t="s">
        <v>219</v>
      </c>
      <c r="I112" s="46" t="s">
        <v>131</v>
      </c>
      <c r="J112" s="41">
        <v>28</v>
      </c>
      <c r="K112" s="40">
        <f>0.5*10^5</f>
        <v>50000</v>
      </c>
      <c r="L112" s="44">
        <f>LOG10(K112)</f>
        <v>4.6989700043360187</v>
      </c>
    </row>
    <row r="113" spans="1:12" x14ac:dyDescent="0.35">
      <c r="A113" s="46">
        <v>112</v>
      </c>
      <c r="B113" s="46">
        <v>112</v>
      </c>
      <c r="C113" s="48">
        <v>38</v>
      </c>
      <c r="D113" s="41" t="s">
        <v>213</v>
      </c>
      <c r="E113" s="46">
        <v>4.4000000000000004</v>
      </c>
      <c r="F113" s="41">
        <v>1522</v>
      </c>
      <c r="G113" s="43" t="s">
        <v>21</v>
      </c>
      <c r="H113" s="41" t="s">
        <v>218</v>
      </c>
      <c r="I113" s="46" t="s">
        <v>131</v>
      </c>
      <c r="J113" s="41">
        <v>28</v>
      </c>
      <c r="K113" s="40">
        <f>30*10^5</f>
        <v>3000000</v>
      </c>
      <c r="L113" s="44">
        <f>LOG10(K113)</f>
        <v>6.4771212547196626</v>
      </c>
    </row>
    <row r="114" spans="1:12" x14ac:dyDescent="0.35">
      <c r="A114" s="46">
        <v>113</v>
      </c>
      <c r="B114" s="46">
        <v>113</v>
      </c>
      <c r="C114" s="49"/>
      <c r="D114" s="41" t="s">
        <v>213</v>
      </c>
      <c r="E114" s="46">
        <v>4.5</v>
      </c>
      <c r="F114" s="41">
        <v>1523</v>
      </c>
      <c r="G114" s="41"/>
      <c r="H114" s="41" t="s">
        <v>218</v>
      </c>
      <c r="I114" s="46" t="s">
        <v>131</v>
      </c>
      <c r="J114" s="41">
        <v>24</v>
      </c>
      <c r="K114" s="41"/>
      <c r="L114" s="41"/>
    </row>
    <row r="115" spans="1:12" x14ac:dyDescent="0.35">
      <c r="A115" s="46">
        <v>114</v>
      </c>
      <c r="B115" s="46">
        <v>114</v>
      </c>
      <c r="C115" s="49"/>
      <c r="D115" s="41" t="s">
        <v>213</v>
      </c>
      <c r="E115" s="46">
        <v>4.5999999999999996</v>
      </c>
      <c r="F115" s="41">
        <v>1524</v>
      </c>
      <c r="G115" s="41"/>
      <c r="H115" s="41" t="s">
        <v>219</v>
      </c>
      <c r="I115" s="46" t="s">
        <v>131</v>
      </c>
      <c r="J115" s="41">
        <v>24</v>
      </c>
      <c r="K115" s="41"/>
      <c r="L115" s="41"/>
    </row>
    <row r="116" spans="1:12" x14ac:dyDescent="0.35">
      <c r="A116" s="46">
        <v>115</v>
      </c>
      <c r="B116" s="46">
        <v>115</v>
      </c>
      <c r="C116" s="49"/>
      <c r="D116" s="41" t="s">
        <v>213</v>
      </c>
      <c r="E116" s="46">
        <v>5.0999999999999996</v>
      </c>
      <c r="F116" s="41">
        <v>1525</v>
      </c>
      <c r="G116" s="41"/>
      <c r="H116" s="41" t="s">
        <v>219</v>
      </c>
      <c r="I116" s="46" t="s">
        <v>131</v>
      </c>
      <c r="J116" s="41">
        <v>25</v>
      </c>
      <c r="K116" s="41"/>
      <c r="L116" s="41"/>
    </row>
    <row r="117" spans="1:12" x14ac:dyDescent="0.35">
      <c r="A117" s="46">
        <v>116</v>
      </c>
      <c r="B117" s="46">
        <v>116</v>
      </c>
      <c r="C117" s="49"/>
      <c r="D117" s="41" t="s">
        <v>213</v>
      </c>
      <c r="E117" s="46">
        <v>5.2</v>
      </c>
      <c r="F117" s="41">
        <v>1526</v>
      </c>
      <c r="G117" s="41"/>
      <c r="H117" s="41" t="s">
        <v>218</v>
      </c>
      <c r="I117" s="46" t="s">
        <v>131</v>
      </c>
      <c r="J117" s="41">
        <v>29.5</v>
      </c>
      <c r="K117" s="41"/>
      <c r="L117" s="41"/>
    </row>
    <row r="118" spans="1:12" x14ac:dyDescent="0.35">
      <c r="A118" s="46">
        <v>117</v>
      </c>
      <c r="B118" s="46">
        <v>117</v>
      </c>
      <c r="C118" s="49"/>
      <c r="D118" s="41" t="s">
        <v>213</v>
      </c>
      <c r="E118" s="46">
        <v>5.3</v>
      </c>
      <c r="F118" s="41">
        <v>1527</v>
      </c>
      <c r="G118" s="41"/>
      <c r="H118" s="41" t="s">
        <v>218</v>
      </c>
      <c r="I118" s="46" t="s">
        <v>131</v>
      </c>
      <c r="J118" s="41">
        <v>29</v>
      </c>
      <c r="K118" s="41"/>
      <c r="L118" s="41"/>
    </row>
    <row r="119" spans="1:12" x14ac:dyDescent="0.35">
      <c r="A119" s="46">
        <v>118</v>
      </c>
      <c r="B119" s="46">
        <v>118</v>
      </c>
      <c r="C119" s="48">
        <v>39</v>
      </c>
      <c r="D119" s="41" t="s">
        <v>213</v>
      </c>
      <c r="E119" s="46">
        <v>5.4</v>
      </c>
      <c r="F119" s="41">
        <v>1528</v>
      </c>
      <c r="G119" s="43" t="s">
        <v>23</v>
      </c>
      <c r="H119" s="41" t="s">
        <v>218</v>
      </c>
      <c r="I119" s="46" t="s">
        <v>131</v>
      </c>
      <c r="J119" s="41">
        <v>28.8</v>
      </c>
      <c r="K119" s="40">
        <f>0.5*10^5</f>
        <v>50000</v>
      </c>
      <c r="L119" s="44">
        <f>LOG10(K119)</f>
        <v>4.6989700043360187</v>
      </c>
    </row>
    <row r="120" spans="1:12" x14ac:dyDescent="0.35">
      <c r="A120" s="46">
        <v>119</v>
      </c>
      <c r="B120" s="46">
        <v>119</v>
      </c>
      <c r="C120" s="48">
        <v>40</v>
      </c>
      <c r="D120" s="41" t="s">
        <v>213</v>
      </c>
      <c r="E120" s="46">
        <v>5.5</v>
      </c>
      <c r="F120" s="41">
        <v>1529</v>
      </c>
      <c r="G120" s="43" t="s">
        <v>26</v>
      </c>
      <c r="H120" s="41" t="s">
        <v>218</v>
      </c>
      <c r="I120" s="46" t="s">
        <v>131</v>
      </c>
      <c r="J120" s="41">
        <v>28.7</v>
      </c>
      <c r="K120" s="40">
        <f>3.25*10^5</f>
        <v>325000</v>
      </c>
      <c r="L120" s="44">
        <f>LOG10(K120)</f>
        <v>5.5118833609788744</v>
      </c>
    </row>
    <row r="121" spans="1:12" x14ac:dyDescent="0.35">
      <c r="A121" s="46">
        <v>120</v>
      </c>
      <c r="B121" s="46">
        <v>120</v>
      </c>
      <c r="C121" s="49"/>
      <c r="D121" s="41" t="s">
        <v>213</v>
      </c>
      <c r="E121" s="46">
        <v>5.6</v>
      </c>
      <c r="F121" s="41">
        <v>1531</v>
      </c>
      <c r="G121" s="41"/>
      <c r="H121" s="41" t="s">
        <v>218</v>
      </c>
      <c r="I121" s="46" t="s">
        <v>131</v>
      </c>
      <c r="J121" s="41">
        <v>24</v>
      </c>
      <c r="K121" s="41"/>
      <c r="L121" s="41"/>
    </row>
    <row r="122" spans="1:12" x14ac:dyDescent="0.35">
      <c r="A122" s="46">
        <v>121</v>
      </c>
      <c r="B122" s="46">
        <v>121</v>
      </c>
      <c r="C122" s="48">
        <v>41</v>
      </c>
      <c r="D122" s="41" t="s">
        <v>214</v>
      </c>
      <c r="E122" s="46">
        <v>1.1000000000000001</v>
      </c>
      <c r="F122" s="41">
        <v>1530</v>
      </c>
      <c r="G122" s="43" t="s">
        <v>25</v>
      </c>
      <c r="H122" s="41" t="s">
        <v>218</v>
      </c>
      <c r="I122" s="46" t="s">
        <v>131</v>
      </c>
      <c r="J122" s="41">
        <v>24</v>
      </c>
      <c r="K122" s="40">
        <f>3.5*10^5</f>
        <v>350000</v>
      </c>
      <c r="L122" s="44">
        <f>LOG10(K122)</f>
        <v>5.5440680443502757</v>
      </c>
    </row>
    <row r="123" spans="1:12" x14ac:dyDescent="0.35">
      <c r="A123" s="46">
        <v>122</v>
      </c>
      <c r="B123" s="46">
        <v>122</v>
      </c>
      <c r="C123" s="49"/>
      <c r="D123" s="41" t="s">
        <v>214</v>
      </c>
      <c r="E123" s="46">
        <v>1.2</v>
      </c>
      <c r="F123" s="41">
        <v>1532</v>
      </c>
      <c r="G123" s="41"/>
      <c r="H123" s="41" t="s">
        <v>218</v>
      </c>
      <c r="I123" s="46" t="s">
        <v>131</v>
      </c>
      <c r="J123" s="41">
        <v>24.3</v>
      </c>
      <c r="K123" s="41"/>
      <c r="L123" s="41"/>
    </row>
    <row r="124" spans="1:12" x14ac:dyDescent="0.35">
      <c r="A124" s="46">
        <v>123</v>
      </c>
      <c r="B124" s="46">
        <v>123</v>
      </c>
      <c r="C124" s="48">
        <v>42</v>
      </c>
      <c r="D124" s="41" t="s">
        <v>214</v>
      </c>
      <c r="E124" s="46">
        <v>1.3</v>
      </c>
      <c r="F124" s="41">
        <v>1533</v>
      </c>
      <c r="G124" s="43" t="s">
        <v>27</v>
      </c>
      <c r="H124" s="41" t="s">
        <v>219</v>
      </c>
      <c r="I124" s="46" t="s">
        <v>131</v>
      </c>
      <c r="J124" s="41">
        <v>27</v>
      </c>
      <c r="K124" s="40">
        <f>0.5*10^5</f>
        <v>50000</v>
      </c>
      <c r="L124" s="44">
        <f>LOG10(K124)</f>
        <v>4.6989700043360187</v>
      </c>
    </row>
    <row r="125" spans="1:12" x14ac:dyDescent="0.35">
      <c r="A125" s="46">
        <v>124</v>
      </c>
      <c r="B125" s="46">
        <v>124</v>
      </c>
      <c r="C125" s="49"/>
      <c r="D125" s="41" t="s">
        <v>214</v>
      </c>
      <c r="E125" s="46">
        <v>1.4</v>
      </c>
      <c r="F125" s="41">
        <v>1534</v>
      </c>
      <c r="G125" s="41"/>
      <c r="H125" s="41" t="s">
        <v>218</v>
      </c>
      <c r="I125" s="46" t="s">
        <v>131</v>
      </c>
      <c r="J125" s="41">
        <v>27</v>
      </c>
      <c r="K125" s="41"/>
      <c r="L125" s="41"/>
    </row>
    <row r="126" spans="1:12" x14ac:dyDescent="0.35">
      <c r="A126" s="46">
        <v>125</v>
      </c>
      <c r="B126" s="46">
        <v>125</v>
      </c>
      <c r="C126" s="49"/>
      <c r="D126" s="41" t="s">
        <v>214</v>
      </c>
      <c r="E126" s="46">
        <v>1.5</v>
      </c>
      <c r="F126" s="41">
        <v>1535</v>
      </c>
      <c r="G126" s="41"/>
      <c r="H126" s="41" t="s">
        <v>219</v>
      </c>
      <c r="I126" s="46" t="s">
        <v>131</v>
      </c>
      <c r="J126" s="41">
        <v>29.5</v>
      </c>
      <c r="K126" s="41"/>
      <c r="L126" s="41"/>
    </row>
    <row r="127" spans="1:12" x14ac:dyDescent="0.35">
      <c r="A127" s="46">
        <v>126</v>
      </c>
      <c r="B127" s="46">
        <v>126</v>
      </c>
      <c r="C127" s="49"/>
      <c r="D127" s="41" t="s">
        <v>214</v>
      </c>
      <c r="E127" s="46">
        <v>1.6</v>
      </c>
      <c r="F127" s="41">
        <v>1536</v>
      </c>
      <c r="G127" s="41"/>
      <c r="H127" s="41" t="s">
        <v>218</v>
      </c>
      <c r="I127" s="46" t="s">
        <v>131</v>
      </c>
      <c r="J127" s="41">
        <v>24</v>
      </c>
      <c r="K127" s="41"/>
      <c r="L127" s="41"/>
    </row>
    <row r="128" spans="1:12" x14ac:dyDescent="0.35">
      <c r="A128" s="46">
        <v>127</v>
      </c>
      <c r="B128" s="46">
        <v>127</v>
      </c>
      <c r="C128" s="49"/>
      <c r="D128" s="41" t="s">
        <v>214</v>
      </c>
      <c r="E128" s="46">
        <v>2.1</v>
      </c>
      <c r="F128" s="41">
        <v>1537</v>
      </c>
      <c r="G128" s="41"/>
      <c r="H128" s="41" t="s">
        <v>219</v>
      </c>
      <c r="I128" s="46" t="s">
        <v>131</v>
      </c>
      <c r="J128" s="41">
        <v>29.8</v>
      </c>
      <c r="K128" s="41"/>
      <c r="L128" s="41"/>
    </row>
    <row r="129" spans="1:12" x14ac:dyDescent="0.35">
      <c r="A129" s="46">
        <v>128</v>
      </c>
      <c r="B129" s="46">
        <v>128</v>
      </c>
      <c r="C129" s="49"/>
      <c r="D129" s="41" t="s">
        <v>214</v>
      </c>
      <c r="E129" s="46">
        <v>2.2000000000000002</v>
      </c>
      <c r="F129" s="41">
        <v>1538</v>
      </c>
      <c r="G129" s="41"/>
      <c r="H129" s="41" t="s">
        <v>219</v>
      </c>
      <c r="I129" s="46" t="s">
        <v>131</v>
      </c>
      <c r="J129" s="41">
        <v>29.2</v>
      </c>
      <c r="K129" s="41"/>
      <c r="L129" s="41"/>
    </row>
    <row r="130" spans="1:12" x14ac:dyDescent="0.35">
      <c r="A130" s="46">
        <v>129</v>
      </c>
      <c r="B130" s="46">
        <v>129</v>
      </c>
      <c r="C130" s="48">
        <v>43</v>
      </c>
      <c r="D130" s="41" t="s">
        <v>214</v>
      </c>
      <c r="E130" s="46">
        <v>2.2999999999999998</v>
      </c>
      <c r="F130" s="41">
        <v>1539</v>
      </c>
      <c r="G130" s="43" t="s">
        <v>28</v>
      </c>
      <c r="H130" s="41" t="s">
        <v>218</v>
      </c>
      <c r="I130" s="46" t="s">
        <v>131</v>
      </c>
      <c r="J130" s="41">
        <v>25</v>
      </c>
      <c r="K130" s="40">
        <f>1.5*10^5</f>
        <v>150000</v>
      </c>
      <c r="L130" s="44">
        <f>LOG10(K130)</f>
        <v>5.1760912590556813</v>
      </c>
    </row>
    <row r="131" spans="1:12" x14ac:dyDescent="0.35">
      <c r="A131" s="46">
        <v>130</v>
      </c>
      <c r="B131" s="46">
        <v>130</v>
      </c>
      <c r="C131" s="48">
        <v>44</v>
      </c>
      <c r="D131" s="41" t="s">
        <v>214</v>
      </c>
      <c r="E131" s="46">
        <v>2.4</v>
      </c>
      <c r="F131" s="41">
        <v>1540</v>
      </c>
      <c r="G131" s="43" t="s">
        <v>19</v>
      </c>
      <c r="H131" s="41" t="s">
        <v>219</v>
      </c>
      <c r="I131" s="46" t="s">
        <v>131</v>
      </c>
      <c r="J131" s="41">
        <v>28.9</v>
      </c>
      <c r="K131" s="40">
        <f>0.6*10^5</f>
        <v>60000</v>
      </c>
      <c r="L131" s="44">
        <f>LOG10(K131)</f>
        <v>4.7781512503836439</v>
      </c>
    </row>
    <row r="132" spans="1:12" x14ac:dyDescent="0.35">
      <c r="A132" s="46">
        <v>131</v>
      </c>
      <c r="B132" s="46">
        <v>131</v>
      </c>
      <c r="C132" s="49"/>
      <c r="D132" s="41" t="s">
        <v>214</v>
      </c>
      <c r="E132" s="46">
        <v>2.5</v>
      </c>
      <c r="F132" s="41">
        <v>1541</v>
      </c>
      <c r="G132" s="41"/>
      <c r="H132" s="41" t="s">
        <v>219</v>
      </c>
      <c r="I132" s="46" t="s">
        <v>131</v>
      </c>
      <c r="J132" s="41">
        <v>29.5</v>
      </c>
      <c r="K132" s="41"/>
      <c r="L132" s="41"/>
    </row>
    <row r="133" spans="1:12" x14ac:dyDescent="0.35">
      <c r="A133" s="46">
        <v>132</v>
      </c>
      <c r="B133" s="46">
        <v>132</v>
      </c>
      <c r="C133" s="49"/>
      <c r="D133" s="41" t="s">
        <v>214</v>
      </c>
      <c r="E133" s="46">
        <v>2.6</v>
      </c>
      <c r="F133" s="41">
        <v>1542</v>
      </c>
      <c r="G133" s="41"/>
      <c r="H133" s="41" t="s">
        <v>219</v>
      </c>
      <c r="I133" s="46" t="s">
        <v>131</v>
      </c>
      <c r="J133" s="41">
        <v>29.6</v>
      </c>
      <c r="K133" s="41"/>
      <c r="L133" s="41"/>
    </row>
    <row r="134" spans="1:12" x14ac:dyDescent="0.35">
      <c r="A134" s="46">
        <v>133</v>
      </c>
      <c r="B134" s="46">
        <v>133</v>
      </c>
      <c r="C134" s="48">
        <v>45</v>
      </c>
      <c r="D134" s="41" t="s">
        <v>214</v>
      </c>
      <c r="E134" s="46">
        <v>3.1</v>
      </c>
      <c r="F134" s="41">
        <v>1543</v>
      </c>
      <c r="G134" s="43" t="s">
        <v>29</v>
      </c>
      <c r="H134" s="41" t="s">
        <v>218</v>
      </c>
      <c r="I134" s="46" t="s">
        <v>131</v>
      </c>
      <c r="J134" s="41">
        <v>25</v>
      </c>
      <c r="K134" s="43">
        <v>1</v>
      </c>
      <c r="L134" s="44">
        <f>LOG10(K134)</f>
        <v>0</v>
      </c>
    </row>
    <row r="135" spans="1:12" x14ac:dyDescent="0.35">
      <c r="A135" s="46">
        <v>134</v>
      </c>
      <c r="B135" s="46">
        <v>134</v>
      </c>
      <c r="C135" s="49"/>
      <c r="D135" s="41" t="s">
        <v>214</v>
      </c>
      <c r="E135" s="46">
        <v>3.2</v>
      </c>
      <c r="F135" s="41">
        <v>1544</v>
      </c>
      <c r="G135" s="41"/>
      <c r="H135" s="41" t="s">
        <v>219</v>
      </c>
      <c r="I135" s="46" t="s">
        <v>131</v>
      </c>
      <c r="J135" s="41">
        <v>29.8</v>
      </c>
      <c r="K135" s="41"/>
      <c r="L135" s="41"/>
    </row>
    <row r="136" spans="1:12" x14ac:dyDescent="0.35">
      <c r="A136" s="46">
        <v>135</v>
      </c>
      <c r="B136" s="46">
        <v>135</v>
      </c>
      <c r="C136" s="49"/>
      <c r="D136" s="41" t="s">
        <v>214</v>
      </c>
      <c r="E136" s="46">
        <v>3.3</v>
      </c>
      <c r="F136" s="41">
        <v>1545</v>
      </c>
      <c r="G136" s="41"/>
      <c r="H136" s="41" t="s">
        <v>218</v>
      </c>
      <c r="I136" s="46" t="s">
        <v>131</v>
      </c>
      <c r="J136" s="41">
        <v>24</v>
      </c>
      <c r="K136" s="41"/>
      <c r="L136" s="41"/>
    </row>
    <row r="137" spans="1:12" x14ac:dyDescent="0.35">
      <c r="A137" s="46">
        <v>136</v>
      </c>
      <c r="B137" s="46">
        <v>136</v>
      </c>
      <c r="C137" s="48">
        <v>46</v>
      </c>
      <c r="D137" s="41" t="s">
        <v>214</v>
      </c>
      <c r="E137" s="46">
        <v>3.4</v>
      </c>
      <c r="F137" s="41">
        <v>1546</v>
      </c>
      <c r="G137" s="43" t="s">
        <v>30</v>
      </c>
      <c r="H137" s="41" t="s">
        <v>218</v>
      </c>
      <c r="I137" s="46" t="s">
        <v>131</v>
      </c>
      <c r="J137" s="41">
        <v>26</v>
      </c>
      <c r="K137" s="40">
        <f>0.84*10^5</f>
        <v>84000</v>
      </c>
      <c r="L137" s="44">
        <f>LOG10(K137)</f>
        <v>4.924279286061882</v>
      </c>
    </row>
    <row r="138" spans="1:12" x14ac:dyDescent="0.35">
      <c r="A138" s="46">
        <v>137</v>
      </c>
      <c r="B138" s="46">
        <v>137</v>
      </c>
      <c r="C138" s="49"/>
      <c r="D138" s="41" t="s">
        <v>214</v>
      </c>
      <c r="E138" s="46">
        <v>3.5</v>
      </c>
      <c r="F138" s="41">
        <v>1547</v>
      </c>
      <c r="G138" s="41"/>
      <c r="H138" s="41" t="s">
        <v>218</v>
      </c>
      <c r="I138" s="46" t="s">
        <v>131</v>
      </c>
      <c r="J138" s="41">
        <v>27</v>
      </c>
      <c r="K138" s="41"/>
      <c r="L138" s="41"/>
    </row>
    <row r="139" spans="1:12" x14ac:dyDescent="0.35">
      <c r="A139" s="46">
        <v>138</v>
      </c>
      <c r="B139" s="46">
        <v>138</v>
      </c>
      <c r="C139" s="49"/>
      <c r="D139" s="41" t="s">
        <v>214</v>
      </c>
      <c r="E139" s="46">
        <v>3.6</v>
      </c>
      <c r="F139" s="41">
        <v>1548</v>
      </c>
      <c r="G139" s="41"/>
      <c r="H139" s="41" t="s">
        <v>219</v>
      </c>
      <c r="I139" s="46" t="s">
        <v>131</v>
      </c>
      <c r="J139" s="41">
        <v>29.9</v>
      </c>
      <c r="K139" s="41"/>
      <c r="L139" s="41"/>
    </row>
    <row r="140" spans="1:12" x14ac:dyDescent="0.35">
      <c r="A140" s="46">
        <v>139</v>
      </c>
      <c r="B140" s="46">
        <v>139</v>
      </c>
      <c r="C140" s="49"/>
      <c r="D140" s="41" t="s">
        <v>214</v>
      </c>
      <c r="E140" s="46">
        <v>4.0999999999999996</v>
      </c>
      <c r="F140" s="41">
        <v>1549</v>
      </c>
      <c r="G140" s="41"/>
      <c r="H140" s="41" t="s">
        <v>219</v>
      </c>
      <c r="I140" s="46" t="s">
        <v>131</v>
      </c>
      <c r="J140" s="41">
        <v>29.9</v>
      </c>
      <c r="K140" s="41"/>
      <c r="L140" s="41"/>
    </row>
    <row r="141" spans="1:12" x14ac:dyDescent="0.35">
      <c r="A141" s="46">
        <v>140</v>
      </c>
      <c r="B141" s="46">
        <v>140</v>
      </c>
      <c r="C141" s="48">
        <v>47</v>
      </c>
      <c r="D141" s="41" t="s">
        <v>214</v>
      </c>
      <c r="E141" s="46">
        <v>4.2</v>
      </c>
      <c r="F141" s="41">
        <v>1550</v>
      </c>
      <c r="G141" s="43" t="s">
        <v>31</v>
      </c>
      <c r="H141" s="41" t="s">
        <v>218</v>
      </c>
      <c r="I141" s="46" t="s">
        <v>131</v>
      </c>
      <c r="J141" s="41">
        <v>25</v>
      </c>
      <c r="K141" s="40">
        <f>1.67*10^5</f>
        <v>167000</v>
      </c>
      <c r="L141" s="44">
        <f>LOG10(K141)</f>
        <v>5.2227164711475833</v>
      </c>
    </row>
    <row r="142" spans="1:12" x14ac:dyDescent="0.35">
      <c r="A142" s="46">
        <v>141</v>
      </c>
      <c r="B142" s="46">
        <v>141</v>
      </c>
      <c r="C142" s="49"/>
      <c r="D142" s="41" t="s">
        <v>214</v>
      </c>
      <c r="E142" s="46">
        <v>4.3</v>
      </c>
      <c r="F142" s="41">
        <v>1551</v>
      </c>
      <c r="G142" s="41"/>
      <c r="H142" s="41" t="s">
        <v>219</v>
      </c>
      <c r="I142" s="46" t="s">
        <v>131</v>
      </c>
      <c r="J142" s="41">
        <v>24</v>
      </c>
      <c r="K142" s="41"/>
      <c r="L142" s="41"/>
    </row>
    <row r="143" spans="1:12" x14ac:dyDescent="0.35">
      <c r="A143" s="46">
        <v>142</v>
      </c>
      <c r="B143" s="46">
        <v>142</v>
      </c>
      <c r="C143" s="49"/>
      <c r="D143" s="41" t="s">
        <v>214</v>
      </c>
      <c r="E143" s="46">
        <v>4.4000000000000004</v>
      </c>
      <c r="F143" s="41">
        <v>1552</v>
      </c>
      <c r="G143" s="41"/>
      <c r="H143" s="41" t="s">
        <v>218</v>
      </c>
      <c r="I143" s="46" t="s">
        <v>131</v>
      </c>
      <c r="J143" s="41">
        <v>29</v>
      </c>
      <c r="K143" s="41"/>
      <c r="L143" s="41"/>
    </row>
    <row r="144" spans="1:12" x14ac:dyDescent="0.35">
      <c r="A144" s="46">
        <v>143</v>
      </c>
      <c r="B144" s="46">
        <v>143</v>
      </c>
      <c r="C144" s="49"/>
      <c r="D144" s="41" t="s">
        <v>214</v>
      </c>
      <c r="E144" s="46">
        <v>4.5</v>
      </c>
      <c r="F144" s="41">
        <v>1553</v>
      </c>
      <c r="G144" s="41"/>
      <c r="H144" s="41" t="s">
        <v>219</v>
      </c>
      <c r="I144" s="46" t="s">
        <v>131</v>
      </c>
      <c r="J144" s="41">
        <v>29.8</v>
      </c>
      <c r="K144" s="41"/>
      <c r="L144" s="41"/>
    </row>
    <row r="145" spans="1:12" x14ac:dyDescent="0.35">
      <c r="A145" s="46">
        <v>144</v>
      </c>
      <c r="B145" s="46">
        <v>144</v>
      </c>
      <c r="C145" s="48">
        <v>48</v>
      </c>
      <c r="D145" s="41" t="s">
        <v>214</v>
      </c>
      <c r="E145" s="46">
        <v>4.5999999999999996</v>
      </c>
      <c r="F145" s="41">
        <v>1554</v>
      </c>
      <c r="G145" s="43" t="s">
        <v>22</v>
      </c>
      <c r="H145" s="41" t="s">
        <v>218</v>
      </c>
      <c r="I145" s="46" t="s">
        <v>131</v>
      </c>
      <c r="J145" s="41">
        <v>24</v>
      </c>
      <c r="K145" s="40">
        <f>4.2*10^5</f>
        <v>420000</v>
      </c>
      <c r="L145" s="44">
        <f>LOG10(K145)</f>
        <v>5.6232492903979008</v>
      </c>
    </row>
    <row r="146" spans="1:12" x14ac:dyDescent="0.35">
      <c r="A146" s="46">
        <v>145</v>
      </c>
      <c r="B146" s="46">
        <v>145</v>
      </c>
      <c r="C146" s="49"/>
      <c r="D146" s="41" t="s">
        <v>214</v>
      </c>
      <c r="E146" s="46">
        <v>5.0999999999999996</v>
      </c>
      <c r="F146" s="41">
        <v>1555</v>
      </c>
      <c r="G146" s="41"/>
      <c r="H146" s="41" t="s">
        <v>219</v>
      </c>
      <c r="I146" s="46" t="s">
        <v>131</v>
      </c>
      <c r="J146" s="41">
        <v>29.7</v>
      </c>
      <c r="K146" s="41"/>
      <c r="L146" s="41"/>
    </row>
    <row r="147" spans="1:12" x14ac:dyDescent="0.35">
      <c r="A147" s="46">
        <v>146</v>
      </c>
      <c r="B147" s="46">
        <v>146</v>
      </c>
      <c r="C147" s="48">
        <v>49</v>
      </c>
      <c r="D147" s="41" t="s">
        <v>214</v>
      </c>
      <c r="E147" s="46">
        <v>5.2</v>
      </c>
      <c r="F147" s="41">
        <v>1556</v>
      </c>
      <c r="G147" s="43" t="s">
        <v>34</v>
      </c>
      <c r="H147" s="41" t="s">
        <v>218</v>
      </c>
      <c r="I147" s="46" t="s">
        <v>131</v>
      </c>
      <c r="J147" s="41">
        <v>24</v>
      </c>
      <c r="K147" s="40">
        <f>2*10^5</f>
        <v>200000</v>
      </c>
      <c r="L147" s="44">
        <f>LOG10(K147)</f>
        <v>5.3010299956639813</v>
      </c>
    </row>
    <row r="148" spans="1:12" x14ac:dyDescent="0.35">
      <c r="A148" s="46">
        <v>147</v>
      </c>
      <c r="B148" s="46">
        <v>147</v>
      </c>
      <c r="C148" s="49"/>
      <c r="D148" s="41" t="s">
        <v>214</v>
      </c>
      <c r="E148" s="46">
        <v>5.3</v>
      </c>
      <c r="F148" s="41">
        <v>1557</v>
      </c>
      <c r="G148" s="41"/>
      <c r="H148" s="41" t="s">
        <v>219</v>
      </c>
      <c r="I148" s="46" t="s">
        <v>131</v>
      </c>
      <c r="J148" s="41">
        <v>24</v>
      </c>
      <c r="K148" s="41"/>
      <c r="L148" s="41"/>
    </row>
    <row r="149" spans="1:12" x14ac:dyDescent="0.35">
      <c r="A149" s="46">
        <v>148</v>
      </c>
      <c r="B149" s="46">
        <v>148</v>
      </c>
      <c r="C149" s="49"/>
      <c r="D149" s="41" t="s">
        <v>214</v>
      </c>
      <c r="E149" s="46">
        <v>5.4</v>
      </c>
      <c r="F149" s="41">
        <v>1558</v>
      </c>
      <c r="G149" s="41"/>
      <c r="H149" s="41" t="s">
        <v>219</v>
      </c>
      <c r="I149" s="46" t="s">
        <v>131</v>
      </c>
      <c r="J149" s="41">
        <v>29</v>
      </c>
      <c r="K149" s="41"/>
      <c r="L149" s="41"/>
    </row>
    <row r="150" spans="1:12" x14ac:dyDescent="0.35">
      <c r="A150" s="46">
        <v>149</v>
      </c>
      <c r="B150" s="46">
        <v>149</v>
      </c>
      <c r="C150" s="48">
        <v>50</v>
      </c>
      <c r="D150" s="41" t="s">
        <v>214</v>
      </c>
      <c r="E150" s="46">
        <v>5.5</v>
      </c>
      <c r="F150" s="41">
        <v>1559</v>
      </c>
      <c r="G150" s="43" t="s">
        <v>24</v>
      </c>
      <c r="H150" s="41" t="s">
        <v>218</v>
      </c>
      <c r="I150" s="46" t="s">
        <v>131</v>
      </c>
      <c r="J150" s="41">
        <v>28</v>
      </c>
      <c r="K150" s="40">
        <f>1.5*10^5</f>
        <v>150000</v>
      </c>
      <c r="L150" s="44">
        <f>LOG10(K150)</f>
        <v>5.1760912590556813</v>
      </c>
    </row>
    <row r="151" spans="1:12" x14ac:dyDescent="0.35">
      <c r="A151" s="46">
        <v>150</v>
      </c>
      <c r="B151" s="46">
        <v>150</v>
      </c>
      <c r="C151" s="49"/>
      <c r="D151" s="41" t="s">
        <v>214</v>
      </c>
      <c r="E151" s="46">
        <v>5.6</v>
      </c>
      <c r="F151" s="41">
        <v>1560</v>
      </c>
      <c r="G151" s="41"/>
      <c r="H151" s="41" t="s">
        <v>218</v>
      </c>
      <c r="I151" s="46" t="s">
        <v>131</v>
      </c>
      <c r="J151" s="41">
        <v>29.9</v>
      </c>
      <c r="K151" s="41"/>
      <c r="L151" s="41"/>
    </row>
    <row r="152" spans="1:12" x14ac:dyDescent="0.35">
      <c r="A152" s="46">
        <v>151</v>
      </c>
      <c r="B152" s="46">
        <v>151</v>
      </c>
      <c r="C152" s="48">
        <v>51</v>
      </c>
      <c r="D152" s="41" t="s">
        <v>215</v>
      </c>
      <c r="E152" s="46">
        <v>1.1000000000000001</v>
      </c>
      <c r="F152" s="41">
        <v>1561</v>
      </c>
      <c r="G152" s="43" t="s">
        <v>35</v>
      </c>
      <c r="H152" s="41" t="s">
        <v>218</v>
      </c>
      <c r="I152" s="46" t="s">
        <v>131</v>
      </c>
      <c r="J152" s="41">
        <v>24</v>
      </c>
      <c r="K152" s="40">
        <f>15*10^6</f>
        <v>15000000</v>
      </c>
      <c r="L152" s="44">
        <f>LOG10(K152)</f>
        <v>7.1760912590556813</v>
      </c>
    </row>
    <row r="153" spans="1:12" x14ac:dyDescent="0.35">
      <c r="A153" s="46">
        <v>152</v>
      </c>
      <c r="B153" s="46">
        <v>152</v>
      </c>
      <c r="C153" s="49"/>
      <c r="D153" s="41" t="s">
        <v>215</v>
      </c>
      <c r="E153" s="46">
        <v>1.2</v>
      </c>
      <c r="F153" s="41">
        <v>1562</v>
      </c>
      <c r="G153" s="41"/>
      <c r="H153" s="41" t="s">
        <v>219</v>
      </c>
      <c r="I153" s="46" t="s">
        <v>131</v>
      </c>
      <c r="J153" s="41">
        <v>24</v>
      </c>
      <c r="K153" s="41"/>
      <c r="L153" s="41"/>
    </row>
    <row r="154" spans="1:12" x14ac:dyDescent="0.35">
      <c r="A154" s="46">
        <v>153</v>
      </c>
      <c r="B154" s="46">
        <v>153</v>
      </c>
      <c r="C154" s="48">
        <v>52</v>
      </c>
      <c r="D154" s="41" t="s">
        <v>215</v>
      </c>
      <c r="E154" s="46">
        <v>1.3</v>
      </c>
      <c r="F154" s="41">
        <v>1563</v>
      </c>
      <c r="G154" s="43" t="s">
        <v>36</v>
      </c>
      <c r="H154" s="41" t="s">
        <v>218</v>
      </c>
      <c r="I154" s="46" t="s">
        <v>131</v>
      </c>
      <c r="J154" s="41">
        <v>29.9</v>
      </c>
      <c r="K154" s="40">
        <f>9.5*10^6</f>
        <v>9500000</v>
      </c>
      <c r="L154" s="44">
        <f>LOG10(K154)</f>
        <v>6.9777236052888476</v>
      </c>
    </row>
    <row r="155" spans="1:12" x14ac:dyDescent="0.35">
      <c r="A155" s="46">
        <v>154</v>
      </c>
      <c r="B155" s="46">
        <v>154</v>
      </c>
      <c r="C155" s="49"/>
      <c r="D155" s="41" t="s">
        <v>215</v>
      </c>
      <c r="E155" s="46">
        <v>1.4</v>
      </c>
      <c r="F155" s="41">
        <v>1564</v>
      </c>
      <c r="G155" s="41"/>
      <c r="H155" s="41" t="s">
        <v>219</v>
      </c>
      <c r="I155" s="46" t="s">
        <v>131</v>
      </c>
      <c r="J155" s="41">
        <v>27</v>
      </c>
      <c r="K155" s="41"/>
      <c r="L155" s="41"/>
    </row>
    <row r="156" spans="1:12" x14ac:dyDescent="0.35">
      <c r="A156" s="46">
        <v>155</v>
      </c>
      <c r="B156" s="46">
        <v>155</v>
      </c>
      <c r="C156" s="49"/>
      <c r="D156" s="41" t="s">
        <v>215</v>
      </c>
      <c r="E156" s="46">
        <v>1.5</v>
      </c>
      <c r="F156" s="41">
        <v>1565</v>
      </c>
      <c r="G156" s="41"/>
      <c r="H156" s="41" t="s">
        <v>219</v>
      </c>
      <c r="I156" s="46" t="s">
        <v>131</v>
      </c>
      <c r="J156" s="41">
        <v>29</v>
      </c>
      <c r="K156" s="41"/>
      <c r="L156" s="41"/>
    </row>
    <row r="157" spans="1:12" x14ac:dyDescent="0.35">
      <c r="A157" s="46">
        <v>156</v>
      </c>
      <c r="B157" s="46">
        <v>156</v>
      </c>
      <c r="C157" s="49"/>
      <c r="D157" s="41" t="s">
        <v>215</v>
      </c>
      <c r="E157" s="46">
        <v>1.6</v>
      </c>
      <c r="F157" s="41">
        <v>1566</v>
      </c>
      <c r="G157" s="41"/>
      <c r="H157" s="41" t="s">
        <v>219</v>
      </c>
      <c r="I157" s="46" t="s">
        <v>131</v>
      </c>
      <c r="J157" s="41">
        <v>25</v>
      </c>
      <c r="K157" s="41"/>
      <c r="L157" s="41"/>
    </row>
    <row r="158" spans="1:12" x14ac:dyDescent="0.35">
      <c r="A158" s="46">
        <v>157</v>
      </c>
      <c r="B158" s="46">
        <v>157</v>
      </c>
      <c r="C158" s="49"/>
      <c r="D158" s="41" t="s">
        <v>215</v>
      </c>
      <c r="E158" s="46">
        <v>2.1</v>
      </c>
      <c r="F158" s="41">
        <v>1567</v>
      </c>
      <c r="G158" s="41"/>
      <c r="H158" s="41" t="s">
        <v>218</v>
      </c>
      <c r="I158" s="46" t="s">
        <v>131</v>
      </c>
      <c r="J158" s="41">
        <v>29.5</v>
      </c>
      <c r="K158" s="41"/>
      <c r="L158" s="41"/>
    </row>
    <row r="159" spans="1:12" x14ac:dyDescent="0.35">
      <c r="A159" s="46">
        <v>158</v>
      </c>
      <c r="B159" s="46">
        <v>158</v>
      </c>
      <c r="C159" s="49"/>
      <c r="D159" s="41" t="s">
        <v>215</v>
      </c>
      <c r="E159" s="46">
        <v>2.2000000000000002</v>
      </c>
      <c r="F159" s="41">
        <v>1568</v>
      </c>
      <c r="G159" s="41"/>
      <c r="H159" s="41" t="s">
        <v>219</v>
      </c>
      <c r="I159" s="46" t="s">
        <v>131</v>
      </c>
      <c r="J159" s="41">
        <v>24</v>
      </c>
      <c r="K159" s="41"/>
      <c r="L159" s="41"/>
    </row>
    <row r="160" spans="1:12" x14ac:dyDescent="0.35">
      <c r="A160" s="46">
        <v>159</v>
      </c>
      <c r="B160" s="46">
        <v>159</v>
      </c>
      <c r="C160" s="48">
        <v>53</v>
      </c>
      <c r="D160" s="41" t="s">
        <v>215</v>
      </c>
      <c r="E160" s="46">
        <v>2.2999999999999998</v>
      </c>
      <c r="F160" s="41">
        <v>1569</v>
      </c>
      <c r="G160" s="43" t="s">
        <v>37</v>
      </c>
      <c r="H160" s="41" t="s">
        <v>219</v>
      </c>
      <c r="I160" s="46" t="s">
        <v>131</v>
      </c>
      <c r="J160" s="41">
        <v>24</v>
      </c>
      <c r="K160" s="40">
        <f>10^5</f>
        <v>100000</v>
      </c>
      <c r="L160" s="44">
        <f>LOG10(K160)</f>
        <v>5</v>
      </c>
    </row>
    <row r="161" spans="1:12" x14ac:dyDescent="0.35">
      <c r="A161" s="46">
        <v>160</v>
      </c>
      <c r="B161" s="46">
        <v>160</v>
      </c>
      <c r="C161" s="49"/>
      <c r="D161" s="41" t="s">
        <v>215</v>
      </c>
      <c r="E161" s="46">
        <v>2.4</v>
      </c>
      <c r="F161" s="41">
        <v>1570</v>
      </c>
      <c r="G161" s="41"/>
      <c r="H161" s="41" t="s">
        <v>218</v>
      </c>
      <c r="I161" s="46" t="s">
        <v>131</v>
      </c>
      <c r="J161" s="41">
        <v>28</v>
      </c>
      <c r="K161" s="41"/>
      <c r="L161" s="41"/>
    </row>
    <row r="162" spans="1:12" x14ac:dyDescent="0.35">
      <c r="A162" s="46">
        <v>161</v>
      </c>
      <c r="B162" s="46">
        <v>161</v>
      </c>
      <c r="C162" s="48">
        <v>54</v>
      </c>
      <c r="D162" s="41" t="s">
        <v>215</v>
      </c>
      <c r="E162" s="46">
        <v>2.5</v>
      </c>
      <c r="F162" s="41">
        <v>1571</v>
      </c>
      <c r="G162" s="43" t="s">
        <v>39</v>
      </c>
      <c r="H162" s="41" t="s">
        <v>218</v>
      </c>
      <c r="I162" s="46" t="s">
        <v>131</v>
      </c>
      <c r="J162" s="41">
        <v>26</v>
      </c>
      <c r="K162" s="40">
        <f>8*10^6</f>
        <v>8000000</v>
      </c>
      <c r="L162" s="44">
        <f>LOG10(K162)</f>
        <v>6.9030899869919438</v>
      </c>
    </row>
    <row r="163" spans="1:12" x14ac:dyDescent="0.35">
      <c r="A163" s="46">
        <v>162</v>
      </c>
      <c r="B163" s="46">
        <v>162</v>
      </c>
      <c r="C163" s="49"/>
      <c r="D163" s="41" t="s">
        <v>215</v>
      </c>
      <c r="E163" s="46">
        <v>2.6</v>
      </c>
      <c r="F163" s="41">
        <v>1572</v>
      </c>
      <c r="G163" s="41"/>
      <c r="H163" s="41" t="s">
        <v>219</v>
      </c>
      <c r="I163" s="46" t="s">
        <v>131</v>
      </c>
      <c r="J163" s="41">
        <v>29.9</v>
      </c>
      <c r="K163" s="41"/>
      <c r="L163" s="41"/>
    </row>
    <row r="164" spans="1:12" x14ac:dyDescent="0.35">
      <c r="A164" s="46">
        <v>163</v>
      </c>
      <c r="B164" s="46">
        <v>163</v>
      </c>
      <c r="C164" s="49"/>
      <c r="D164" s="41" t="s">
        <v>215</v>
      </c>
      <c r="E164" s="46">
        <v>3.1</v>
      </c>
      <c r="F164" s="41">
        <v>1573</v>
      </c>
      <c r="G164" s="41"/>
      <c r="H164" s="41" t="s">
        <v>218</v>
      </c>
      <c r="I164" s="46" t="s">
        <v>131</v>
      </c>
      <c r="J164" s="41">
        <v>29</v>
      </c>
      <c r="K164" s="41"/>
      <c r="L164" s="41"/>
    </row>
    <row r="165" spans="1:12" x14ac:dyDescent="0.35">
      <c r="A165" s="46">
        <v>164</v>
      </c>
      <c r="B165" s="46">
        <v>164</v>
      </c>
      <c r="C165" s="49"/>
      <c r="D165" s="41" t="s">
        <v>215</v>
      </c>
      <c r="E165" s="46">
        <v>3.2</v>
      </c>
      <c r="F165" s="41">
        <v>1574</v>
      </c>
      <c r="G165" s="41"/>
      <c r="H165" s="41" t="s">
        <v>219</v>
      </c>
      <c r="I165" s="46" t="s">
        <v>131</v>
      </c>
      <c r="J165" s="41">
        <v>29.3</v>
      </c>
      <c r="K165" s="41"/>
      <c r="L165" s="41"/>
    </row>
    <row r="166" spans="1:12" x14ac:dyDescent="0.35">
      <c r="A166" s="46">
        <v>165</v>
      </c>
      <c r="B166" s="46">
        <v>165</v>
      </c>
      <c r="C166" s="49"/>
      <c r="D166" s="41" t="s">
        <v>215</v>
      </c>
      <c r="E166" s="46">
        <v>3.3</v>
      </c>
      <c r="F166" s="41">
        <v>1575</v>
      </c>
      <c r="G166" s="41"/>
      <c r="H166" s="41" t="s">
        <v>219</v>
      </c>
      <c r="I166" s="46" t="s">
        <v>131</v>
      </c>
      <c r="J166" s="41">
        <v>24</v>
      </c>
      <c r="K166" s="41"/>
      <c r="L166" s="41"/>
    </row>
    <row r="167" spans="1:12" x14ac:dyDescent="0.35">
      <c r="A167" s="46">
        <v>166</v>
      </c>
      <c r="B167" s="46">
        <v>166</v>
      </c>
      <c r="C167" s="48">
        <v>55</v>
      </c>
      <c r="D167" s="41" t="s">
        <v>215</v>
      </c>
      <c r="E167" s="46">
        <v>3.4</v>
      </c>
      <c r="F167" s="41">
        <v>1576</v>
      </c>
      <c r="G167" s="43" t="s">
        <v>40</v>
      </c>
      <c r="H167" s="41" t="s">
        <v>219</v>
      </c>
      <c r="I167" s="46" t="s">
        <v>131</v>
      </c>
      <c r="J167" s="41">
        <v>24</v>
      </c>
      <c r="K167" s="40">
        <f>20.25*10^5</f>
        <v>2025000</v>
      </c>
      <c r="L167" s="44">
        <f>LOG10(K167)</f>
        <v>6.306425027550687</v>
      </c>
    </row>
    <row r="168" spans="1:12" x14ac:dyDescent="0.35">
      <c r="A168" s="46">
        <v>167</v>
      </c>
      <c r="B168" s="46">
        <v>167</v>
      </c>
      <c r="C168" s="49"/>
      <c r="D168" s="41" t="s">
        <v>215</v>
      </c>
      <c r="E168" s="46">
        <v>3.5</v>
      </c>
      <c r="F168" s="41">
        <v>1577</v>
      </c>
      <c r="G168" s="41"/>
      <c r="H168" s="41" t="s">
        <v>219</v>
      </c>
      <c r="I168" s="46" t="s">
        <v>131</v>
      </c>
      <c r="J168" s="41">
        <v>25</v>
      </c>
      <c r="K168" s="41"/>
      <c r="L168" s="41"/>
    </row>
    <row r="169" spans="1:12" x14ac:dyDescent="0.35">
      <c r="A169" s="46">
        <v>168</v>
      </c>
      <c r="B169" s="46">
        <v>168</v>
      </c>
      <c r="C169" s="48">
        <v>56</v>
      </c>
      <c r="D169" s="41" t="s">
        <v>215</v>
      </c>
      <c r="E169" s="46">
        <v>3.6</v>
      </c>
      <c r="F169" s="41">
        <v>1578</v>
      </c>
      <c r="G169" s="43" t="s">
        <v>41</v>
      </c>
      <c r="H169" s="41" t="s">
        <v>218</v>
      </c>
      <c r="I169" s="46" t="s">
        <v>131</v>
      </c>
      <c r="J169" s="41">
        <v>29.1</v>
      </c>
      <c r="K169" s="40">
        <f>20*10^5</f>
        <v>2000000</v>
      </c>
      <c r="L169" s="44">
        <f>LOG10(K169)</f>
        <v>6.3010299956639813</v>
      </c>
    </row>
    <row r="170" spans="1:12" x14ac:dyDescent="0.35">
      <c r="A170" s="46">
        <v>169</v>
      </c>
      <c r="B170" s="46">
        <v>169</v>
      </c>
      <c r="C170" s="49"/>
      <c r="D170" s="41" t="s">
        <v>215</v>
      </c>
      <c r="E170" s="46">
        <v>4.0999999999999996</v>
      </c>
      <c r="F170" s="41">
        <v>1579</v>
      </c>
      <c r="G170" s="41"/>
      <c r="H170" s="41" t="s">
        <v>218</v>
      </c>
      <c r="I170" s="46" t="s">
        <v>131</v>
      </c>
      <c r="J170" s="41">
        <v>29.8</v>
      </c>
      <c r="K170" s="41"/>
      <c r="L170" s="41"/>
    </row>
    <row r="171" spans="1:12" x14ac:dyDescent="0.35">
      <c r="A171" s="46">
        <v>170</v>
      </c>
      <c r="B171" s="46">
        <v>170</v>
      </c>
      <c r="C171" s="48">
        <v>57</v>
      </c>
      <c r="D171" s="41" t="s">
        <v>215</v>
      </c>
      <c r="E171" s="46">
        <v>4.2</v>
      </c>
      <c r="F171" s="41">
        <v>1580</v>
      </c>
      <c r="G171" s="43" t="s">
        <v>32</v>
      </c>
      <c r="H171" s="41" t="s">
        <v>219</v>
      </c>
      <c r="I171" s="46" t="s">
        <v>131</v>
      </c>
      <c r="J171" s="41">
        <v>25</v>
      </c>
      <c r="K171" s="40">
        <f>5*10^5</f>
        <v>500000</v>
      </c>
      <c r="L171" s="44">
        <f>LOG10(K171)</f>
        <v>5.6989700043360187</v>
      </c>
    </row>
    <row r="172" spans="1:12" x14ac:dyDescent="0.35">
      <c r="A172" s="46">
        <v>171</v>
      </c>
      <c r="B172" s="46">
        <v>171</v>
      </c>
      <c r="C172" s="48">
        <v>58</v>
      </c>
      <c r="D172" s="41" t="s">
        <v>215</v>
      </c>
      <c r="E172" s="46">
        <v>4.3</v>
      </c>
      <c r="F172" s="41">
        <v>1581</v>
      </c>
      <c r="G172" s="43" t="s">
        <v>38</v>
      </c>
      <c r="H172" s="41" t="s">
        <v>219</v>
      </c>
      <c r="I172" s="46" t="s">
        <v>131</v>
      </c>
      <c r="J172" s="41">
        <v>27</v>
      </c>
      <c r="K172" s="40">
        <f>4.8*10^6</f>
        <v>4800000</v>
      </c>
      <c r="L172" s="44">
        <f>LOG10(K172)</f>
        <v>6.6812412373755876</v>
      </c>
    </row>
    <row r="173" spans="1:12" x14ac:dyDescent="0.35">
      <c r="A173" s="46">
        <v>172</v>
      </c>
      <c r="B173" s="46">
        <v>172</v>
      </c>
      <c r="C173" s="49"/>
      <c r="D173" s="41" t="s">
        <v>215</v>
      </c>
      <c r="E173" s="46">
        <v>4.4000000000000004</v>
      </c>
      <c r="F173" s="41">
        <v>1582</v>
      </c>
      <c r="G173" s="41"/>
      <c r="H173" s="41" t="s">
        <v>218</v>
      </c>
      <c r="I173" s="46" t="s">
        <v>131</v>
      </c>
      <c r="J173" s="41">
        <v>24</v>
      </c>
      <c r="K173" s="41"/>
      <c r="L173" s="41"/>
    </row>
    <row r="174" spans="1:12" x14ac:dyDescent="0.35">
      <c r="A174" s="46">
        <v>173</v>
      </c>
      <c r="B174" s="46">
        <v>173</v>
      </c>
      <c r="C174" s="49"/>
      <c r="D174" s="41" t="s">
        <v>215</v>
      </c>
      <c r="E174" s="46">
        <v>4.5</v>
      </c>
      <c r="F174" s="41">
        <v>1583</v>
      </c>
      <c r="G174" s="41"/>
      <c r="H174" s="41" t="s">
        <v>218</v>
      </c>
      <c r="I174" s="46" t="s">
        <v>131</v>
      </c>
      <c r="J174" s="41">
        <v>29.1</v>
      </c>
      <c r="K174" s="41"/>
      <c r="L174" s="41"/>
    </row>
    <row r="175" spans="1:12" x14ac:dyDescent="0.35">
      <c r="A175" s="46">
        <v>174</v>
      </c>
      <c r="B175" s="46">
        <v>174</v>
      </c>
      <c r="C175" s="49"/>
      <c r="D175" s="41" t="s">
        <v>215</v>
      </c>
      <c r="E175" s="46">
        <v>4.5999999999999996</v>
      </c>
      <c r="F175" s="41">
        <v>1584</v>
      </c>
      <c r="G175" s="41"/>
      <c r="H175" s="41" t="s">
        <v>219</v>
      </c>
      <c r="I175" s="46" t="s">
        <v>131</v>
      </c>
      <c r="J175" s="41">
        <v>29</v>
      </c>
      <c r="K175" s="41"/>
      <c r="L175" s="41"/>
    </row>
    <row r="176" spans="1:12" x14ac:dyDescent="0.35">
      <c r="A176" s="46">
        <v>175</v>
      </c>
      <c r="B176" s="46">
        <v>175</v>
      </c>
      <c r="C176" s="49"/>
      <c r="D176" s="41" t="s">
        <v>215</v>
      </c>
      <c r="E176" s="46">
        <v>5.0999999999999996</v>
      </c>
      <c r="F176" s="41">
        <v>1585</v>
      </c>
      <c r="G176" s="41"/>
      <c r="H176" s="41" t="s">
        <v>218</v>
      </c>
      <c r="I176" s="46" t="s">
        <v>131</v>
      </c>
      <c r="J176" s="41">
        <v>25</v>
      </c>
      <c r="K176" s="41"/>
      <c r="L176" s="41"/>
    </row>
    <row r="177" spans="1:12" x14ac:dyDescent="0.35">
      <c r="A177" s="46">
        <v>176</v>
      </c>
      <c r="B177" s="46">
        <v>176</v>
      </c>
      <c r="C177" s="48">
        <v>59</v>
      </c>
      <c r="D177" s="41" t="s">
        <v>215</v>
      </c>
      <c r="E177" s="46">
        <v>5.2</v>
      </c>
      <c r="F177" s="41">
        <v>1586</v>
      </c>
      <c r="G177" s="43" t="s">
        <v>33</v>
      </c>
      <c r="H177" s="41" t="s">
        <v>219</v>
      </c>
      <c r="I177" s="46" t="s">
        <v>131</v>
      </c>
      <c r="J177" s="41">
        <v>25</v>
      </c>
      <c r="K177" s="40">
        <f>5*10^5</f>
        <v>500000</v>
      </c>
      <c r="L177" s="44">
        <f>LOG10(K177)</f>
        <v>5.6989700043360187</v>
      </c>
    </row>
    <row r="178" spans="1:12" x14ac:dyDescent="0.35">
      <c r="A178" s="46">
        <v>177</v>
      </c>
      <c r="B178" s="46">
        <v>177</v>
      </c>
      <c r="C178" s="48">
        <v>60</v>
      </c>
      <c r="D178" s="41" t="s">
        <v>215</v>
      </c>
      <c r="E178" s="46">
        <v>5.3</v>
      </c>
      <c r="F178" s="41">
        <v>1587</v>
      </c>
      <c r="G178" s="43" t="s">
        <v>42</v>
      </c>
      <c r="H178" s="41" t="s">
        <v>218</v>
      </c>
      <c r="I178" s="46" t="s">
        <v>131</v>
      </c>
      <c r="J178" s="41">
        <v>29.9</v>
      </c>
      <c r="K178" s="40">
        <f>5.53*10^5</f>
        <v>553000</v>
      </c>
      <c r="L178" s="44">
        <f>LOG10(K178)</f>
        <v>5.7427251313046979</v>
      </c>
    </row>
    <row r="179" spans="1:12" x14ac:dyDescent="0.35">
      <c r="A179" s="46">
        <v>178</v>
      </c>
      <c r="B179" s="46">
        <v>178</v>
      </c>
      <c r="C179" s="49"/>
      <c r="D179" s="41" t="s">
        <v>215</v>
      </c>
      <c r="E179" s="46">
        <v>5.4</v>
      </c>
      <c r="F179" s="41">
        <v>1588</v>
      </c>
      <c r="G179" s="41"/>
      <c r="H179" s="41" t="s">
        <v>218</v>
      </c>
      <c r="I179" s="46" t="s">
        <v>131</v>
      </c>
      <c r="J179" s="41">
        <v>27</v>
      </c>
      <c r="K179" s="41"/>
      <c r="L179" s="41"/>
    </row>
    <row r="180" spans="1:12" x14ac:dyDescent="0.35">
      <c r="A180" s="46">
        <v>179</v>
      </c>
      <c r="B180" s="46">
        <v>179</v>
      </c>
      <c r="C180" s="49"/>
      <c r="D180" s="41" t="s">
        <v>215</v>
      </c>
      <c r="E180" s="46">
        <v>5.5</v>
      </c>
      <c r="F180" s="41">
        <v>1589</v>
      </c>
      <c r="G180" s="41"/>
      <c r="H180" s="41" t="s">
        <v>218</v>
      </c>
      <c r="I180" s="46" t="s">
        <v>131</v>
      </c>
      <c r="J180" s="41">
        <v>29.8</v>
      </c>
      <c r="K180" s="41"/>
      <c r="L180" s="41"/>
    </row>
    <row r="181" spans="1:12" x14ac:dyDescent="0.35">
      <c r="A181" s="46">
        <v>180</v>
      </c>
      <c r="B181" s="46">
        <v>180</v>
      </c>
      <c r="C181" s="49"/>
      <c r="D181" s="41" t="s">
        <v>215</v>
      </c>
      <c r="E181" s="46">
        <v>5.6</v>
      </c>
      <c r="F181" s="41">
        <v>1590</v>
      </c>
      <c r="G181" s="41"/>
      <c r="H181" s="41" t="s">
        <v>218</v>
      </c>
      <c r="I181" s="46" t="s">
        <v>131</v>
      </c>
      <c r="J181" s="41">
        <v>29.1</v>
      </c>
      <c r="K181" s="41"/>
      <c r="L181" s="41"/>
    </row>
    <row r="182" spans="1:12" x14ac:dyDescent="0.35">
      <c r="A182" s="46">
        <v>181</v>
      </c>
      <c r="B182" s="46">
        <v>181</v>
      </c>
      <c r="C182" s="48">
        <v>61</v>
      </c>
      <c r="D182" s="41" t="s">
        <v>213</v>
      </c>
      <c r="E182" s="46">
        <v>1.1000000000000001</v>
      </c>
      <c r="F182" s="41">
        <v>1501</v>
      </c>
      <c r="G182" s="43" t="s">
        <v>13</v>
      </c>
      <c r="H182" s="41" t="s">
        <v>219</v>
      </c>
      <c r="I182" s="46" t="s">
        <v>132</v>
      </c>
      <c r="J182" s="41">
        <v>58</v>
      </c>
      <c r="K182" s="40">
        <f>30*10^6</f>
        <v>30000000</v>
      </c>
      <c r="L182" s="44">
        <f>LOG10(K182)</f>
        <v>7.4771212547196626</v>
      </c>
    </row>
    <row r="183" spans="1:12" x14ac:dyDescent="0.35">
      <c r="A183" s="46">
        <v>182</v>
      </c>
      <c r="B183" s="46">
        <v>182</v>
      </c>
      <c r="C183" s="49"/>
      <c r="D183" s="41" t="s">
        <v>213</v>
      </c>
      <c r="E183" s="46">
        <v>1.2</v>
      </c>
      <c r="F183" s="41">
        <v>1502</v>
      </c>
      <c r="G183" s="41"/>
      <c r="H183" s="41" t="s">
        <v>218</v>
      </c>
      <c r="I183" s="46" t="s">
        <v>132</v>
      </c>
      <c r="J183" s="41">
        <v>50</v>
      </c>
      <c r="K183" s="41"/>
      <c r="L183" s="41"/>
    </row>
    <row r="184" spans="1:12" x14ac:dyDescent="0.35">
      <c r="A184" s="46">
        <v>183</v>
      </c>
      <c r="B184" s="46">
        <v>183</v>
      </c>
      <c r="C184" s="49"/>
      <c r="D184" s="41" t="s">
        <v>213</v>
      </c>
      <c r="E184" s="46">
        <v>1.3</v>
      </c>
      <c r="F184" s="41">
        <v>1503</v>
      </c>
      <c r="G184" s="41"/>
      <c r="H184" s="41" t="s">
        <v>219</v>
      </c>
      <c r="I184" s="46" t="s">
        <v>132</v>
      </c>
      <c r="J184" s="41">
        <v>55</v>
      </c>
      <c r="K184" s="41"/>
      <c r="L184" s="41"/>
    </row>
    <row r="185" spans="1:12" x14ac:dyDescent="0.35">
      <c r="A185" s="46">
        <v>184</v>
      </c>
      <c r="B185" s="46">
        <v>184</v>
      </c>
      <c r="C185" s="49"/>
      <c r="D185" s="41" t="s">
        <v>213</v>
      </c>
      <c r="E185" s="46">
        <v>1.4</v>
      </c>
      <c r="F185" s="41">
        <v>1504</v>
      </c>
      <c r="G185" s="41"/>
      <c r="H185" s="41" t="s">
        <v>218</v>
      </c>
      <c r="I185" s="46" t="s">
        <v>132</v>
      </c>
      <c r="J185" s="41">
        <v>59.5</v>
      </c>
      <c r="K185" s="41"/>
      <c r="L185" s="41"/>
    </row>
    <row r="186" spans="1:12" x14ac:dyDescent="0.35">
      <c r="A186" s="46">
        <v>185</v>
      </c>
      <c r="B186" s="46">
        <v>185</v>
      </c>
      <c r="C186" s="49"/>
      <c r="D186" s="41" t="s">
        <v>213</v>
      </c>
      <c r="E186" s="46">
        <v>1.5</v>
      </c>
      <c r="F186" s="41">
        <v>1505</v>
      </c>
      <c r="G186" s="41"/>
      <c r="H186" s="41" t="s">
        <v>218</v>
      </c>
      <c r="I186" s="46" t="s">
        <v>132</v>
      </c>
      <c r="J186" s="41">
        <v>52</v>
      </c>
      <c r="K186" s="41"/>
      <c r="L186" s="41"/>
    </row>
    <row r="187" spans="1:12" x14ac:dyDescent="0.35">
      <c r="A187" s="46">
        <v>186</v>
      </c>
      <c r="B187" s="46">
        <v>186</v>
      </c>
      <c r="C187" s="48">
        <v>62</v>
      </c>
      <c r="D187" s="41" t="s">
        <v>213</v>
      </c>
      <c r="E187" s="46">
        <v>1.6</v>
      </c>
      <c r="F187" s="41">
        <v>1506</v>
      </c>
      <c r="G187" s="43" t="s">
        <v>18</v>
      </c>
      <c r="H187" s="41" t="s">
        <v>219</v>
      </c>
      <c r="I187" s="46" t="s">
        <v>132</v>
      </c>
      <c r="J187" s="41">
        <v>50.5</v>
      </c>
      <c r="K187" s="40">
        <f>16*10^6</f>
        <v>16000000</v>
      </c>
      <c r="L187" s="44">
        <f>LOG10(K187)</f>
        <v>7.204119982655925</v>
      </c>
    </row>
    <row r="188" spans="1:12" x14ac:dyDescent="0.35">
      <c r="A188" s="46">
        <v>187</v>
      </c>
      <c r="B188" s="46">
        <v>187</v>
      </c>
      <c r="C188" s="49"/>
      <c r="D188" s="41" t="s">
        <v>213</v>
      </c>
      <c r="E188" s="46">
        <v>2.1</v>
      </c>
      <c r="F188" s="41">
        <v>1507</v>
      </c>
      <c r="G188" s="41"/>
      <c r="H188" s="41" t="s">
        <v>218</v>
      </c>
      <c r="I188" s="46" t="s">
        <v>132</v>
      </c>
      <c r="J188" s="41">
        <v>55.5</v>
      </c>
      <c r="K188" s="41"/>
      <c r="L188" s="41"/>
    </row>
    <row r="189" spans="1:12" x14ac:dyDescent="0.35">
      <c r="A189" s="46">
        <v>188</v>
      </c>
      <c r="B189" s="46">
        <v>188</v>
      </c>
      <c r="C189" s="48">
        <v>63</v>
      </c>
      <c r="D189" s="41" t="s">
        <v>213</v>
      </c>
      <c r="E189" s="46">
        <v>2.2000000000000002</v>
      </c>
      <c r="F189" s="41">
        <v>1508</v>
      </c>
      <c r="G189" s="43" t="s">
        <v>14</v>
      </c>
      <c r="H189" s="41" t="s">
        <v>218</v>
      </c>
      <c r="I189" s="46" t="s">
        <v>132</v>
      </c>
      <c r="J189" s="41">
        <v>54</v>
      </c>
      <c r="K189" s="40">
        <f>7*10^5</f>
        <v>700000</v>
      </c>
      <c r="L189" s="44">
        <f>LOG10(K189)</f>
        <v>5.8450980400142569</v>
      </c>
    </row>
    <row r="190" spans="1:12" x14ac:dyDescent="0.35">
      <c r="A190" s="46">
        <v>189</v>
      </c>
      <c r="B190" s="46">
        <v>189</v>
      </c>
      <c r="C190" s="48">
        <v>64</v>
      </c>
      <c r="D190" s="41" t="s">
        <v>213</v>
      </c>
      <c r="E190" s="46">
        <v>2.2999999999999998</v>
      </c>
      <c r="F190" s="41">
        <v>1509</v>
      </c>
      <c r="G190" s="43" t="s">
        <v>15</v>
      </c>
      <c r="H190" s="41" t="s">
        <v>219</v>
      </c>
      <c r="I190" s="46" t="s">
        <v>132</v>
      </c>
      <c r="J190" s="41">
        <v>55</v>
      </c>
      <c r="K190" s="40">
        <f>97.5*10^5</f>
        <v>9750000</v>
      </c>
      <c r="L190" s="44">
        <f>LOG10(K190)</f>
        <v>6.989004615698537</v>
      </c>
    </row>
    <row r="191" spans="1:12" x14ac:dyDescent="0.35">
      <c r="A191" s="46">
        <v>190</v>
      </c>
      <c r="B191" s="46">
        <v>190</v>
      </c>
      <c r="C191" s="49"/>
      <c r="D191" s="41" t="s">
        <v>213</v>
      </c>
      <c r="E191" s="46">
        <v>2.4</v>
      </c>
      <c r="F191" s="41">
        <v>1510</v>
      </c>
      <c r="G191" s="41"/>
      <c r="H191" s="41" t="s">
        <v>219</v>
      </c>
      <c r="I191" s="46" t="s">
        <v>132</v>
      </c>
      <c r="J191" s="41">
        <v>53</v>
      </c>
      <c r="K191" s="41"/>
      <c r="L191" s="41"/>
    </row>
    <row r="192" spans="1:12" x14ac:dyDescent="0.35">
      <c r="A192" s="46">
        <v>191</v>
      </c>
      <c r="B192" s="46">
        <v>191</v>
      </c>
      <c r="C192" s="49"/>
      <c r="D192" s="41" t="s">
        <v>213</v>
      </c>
      <c r="E192" s="46">
        <v>2.5</v>
      </c>
      <c r="F192" s="41">
        <v>1511</v>
      </c>
      <c r="G192" s="41"/>
      <c r="H192" s="41" t="s">
        <v>219</v>
      </c>
      <c r="I192" s="46" t="s">
        <v>132</v>
      </c>
      <c r="J192" s="41">
        <v>55</v>
      </c>
      <c r="K192" s="41"/>
      <c r="L192" s="41"/>
    </row>
    <row r="193" spans="1:12" x14ac:dyDescent="0.35">
      <c r="A193" s="46">
        <v>192</v>
      </c>
      <c r="B193" s="46">
        <v>192</v>
      </c>
      <c r="C193" s="49"/>
      <c r="D193" s="41" t="s">
        <v>213</v>
      </c>
      <c r="E193" s="46">
        <v>2.6</v>
      </c>
      <c r="F193" s="41">
        <v>1512</v>
      </c>
      <c r="G193" s="41"/>
      <c r="H193" s="41" t="s">
        <v>218</v>
      </c>
      <c r="I193" s="46" t="s">
        <v>132</v>
      </c>
      <c r="J193" s="41">
        <v>51</v>
      </c>
      <c r="K193" s="41"/>
      <c r="L193" s="41"/>
    </row>
    <row r="194" spans="1:12" x14ac:dyDescent="0.35">
      <c r="A194" s="46">
        <v>193</v>
      </c>
      <c r="B194" s="46">
        <v>193</v>
      </c>
      <c r="C194" s="49"/>
      <c r="D194" s="41" t="s">
        <v>213</v>
      </c>
      <c r="E194" s="46">
        <v>3.1</v>
      </c>
      <c r="F194" s="41">
        <v>1513</v>
      </c>
      <c r="G194" s="41"/>
      <c r="H194" s="41" t="s">
        <v>218</v>
      </c>
      <c r="I194" s="46" t="s">
        <v>132</v>
      </c>
      <c r="J194" s="41">
        <v>56</v>
      </c>
      <c r="K194" s="41"/>
      <c r="L194" s="41"/>
    </row>
    <row r="195" spans="1:12" x14ac:dyDescent="0.35">
      <c r="A195" s="46">
        <v>194</v>
      </c>
      <c r="B195" s="46">
        <v>194</v>
      </c>
      <c r="C195" s="49"/>
      <c r="D195" s="41" t="s">
        <v>213</v>
      </c>
      <c r="E195" s="46">
        <v>3.2</v>
      </c>
      <c r="F195" s="41">
        <v>1514</v>
      </c>
      <c r="G195" s="41"/>
      <c r="H195" s="41" t="s">
        <v>219</v>
      </c>
      <c r="I195" s="46" t="s">
        <v>132</v>
      </c>
      <c r="J195" s="41">
        <v>55</v>
      </c>
      <c r="K195" s="41"/>
      <c r="L195" s="41"/>
    </row>
    <row r="196" spans="1:12" x14ac:dyDescent="0.35">
      <c r="A196" s="46">
        <v>195</v>
      </c>
      <c r="B196" s="46">
        <v>195</v>
      </c>
      <c r="C196" s="48">
        <v>65</v>
      </c>
      <c r="D196" s="41" t="s">
        <v>213</v>
      </c>
      <c r="E196" s="46">
        <v>3.3</v>
      </c>
      <c r="F196" s="41">
        <v>1515</v>
      </c>
      <c r="G196" s="43" t="s">
        <v>16</v>
      </c>
      <c r="H196" s="41" t="s">
        <v>219</v>
      </c>
      <c r="I196" s="46" t="s">
        <v>132</v>
      </c>
      <c r="J196" s="41">
        <v>50</v>
      </c>
      <c r="K196" s="40">
        <f>15.2*10^6</f>
        <v>15200000</v>
      </c>
      <c r="L196" s="44">
        <f>LOG10(K196)</f>
        <v>7.1818435879447726</v>
      </c>
    </row>
    <row r="197" spans="1:12" x14ac:dyDescent="0.35">
      <c r="A197" s="46">
        <v>196</v>
      </c>
      <c r="B197" s="46">
        <v>196</v>
      </c>
      <c r="C197" s="48">
        <v>66</v>
      </c>
      <c r="D197" s="41" t="s">
        <v>213</v>
      </c>
      <c r="E197" s="46">
        <v>3.4</v>
      </c>
      <c r="F197" s="41">
        <v>1517</v>
      </c>
      <c r="G197" s="43" t="s">
        <v>20</v>
      </c>
      <c r="H197" s="41" t="s">
        <v>219</v>
      </c>
      <c r="I197" s="46" t="s">
        <v>132</v>
      </c>
      <c r="J197" s="41">
        <v>50</v>
      </c>
      <c r="K197" s="40">
        <f>7.5*10^5</f>
        <v>750000</v>
      </c>
      <c r="L197" s="44">
        <f>LOG10(K197)</f>
        <v>5.8750612633917001</v>
      </c>
    </row>
    <row r="198" spans="1:12" x14ac:dyDescent="0.35">
      <c r="A198" s="46">
        <v>197</v>
      </c>
      <c r="B198" s="46">
        <v>197</v>
      </c>
      <c r="C198" s="49"/>
      <c r="D198" s="41" t="s">
        <v>213</v>
      </c>
      <c r="E198" s="46">
        <v>3.5</v>
      </c>
      <c r="F198" s="41">
        <v>1518</v>
      </c>
      <c r="G198" s="41"/>
      <c r="H198" s="41" t="s">
        <v>218</v>
      </c>
      <c r="I198" s="46" t="s">
        <v>132</v>
      </c>
      <c r="J198" s="41">
        <v>55</v>
      </c>
      <c r="K198" s="41"/>
      <c r="L198" s="41"/>
    </row>
    <row r="199" spans="1:12" x14ac:dyDescent="0.35">
      <c r="A199" s="46">
        <v>198</v>
      </c>
      <c r="B199" s="46">
        <v>198</v>
      </c>
      <c r="C199" s="49"/>
      <c r="D199" s="41" t="s">
        <v>213</v>
      </c>
      <c r="E199" s="46">
        <v>3.6</v>
      </c>
      <c r="F199" s="41">
        <v>1686</v>
      </c>
      <c r="G199" s="41"/>
      <c r="H199" s="41" t="s">
        <v>219</v>
      </c>
      <c r="I199" s="46" t="s">
        <v>132</v>
      </c>
      <c r="J199" s="41">
        <v>56</v>
      </c>
      <c r="K199" s="41"/>
      <c r="L199" s="41"/>
    </row>
    <row r="200" spans="1:12" x14ac:dyDescent="0.35">
      <c r="A200" s="46">
        <v>199</v>
      </c>
      <c r="B200" s="46">
        <v>199</v>
      </c>
      <c r="C200" s="49"/>
      <c r="D200" s="41" t="s">
        <v>213</v>
      </c>
      <c r="E200" s="46">
        <v>4.0999999999999996</v>
      </c>
      <c r="F200" s="41">
        <v>1519</v>
      </c>
      <c r="G200" s="41"/>
      <c r="H200" s="41" t="s">
        <v>219</v>
      </c>
      <c r="I200" s="46" t="s">
        <v>132</v>
      </c>
      <c r="J200" s="41">
        <v>49</v>
      </c>
      <c r="K200" s="41"/>
      <c r="L200" s="41"/>
    </row>
    <row r="201" spans="1:12" x14ac:dyDescent="0.35">
      <c r="A201" s="46">
        <v>200</v>
      </c>
      <c r="B201" s="46">
        <v>200</v>
      </c>
      <c r="C201" s="49"/>
      <c r="D201" s="41" t="s">
        <v>213</v>
      </c>
      <c r="E201" s="46">
        <v>4.2</v>
      </c>
      <c r="F201" s="41">
        <v>1520</v>
      </c>
      <c r="G201" s="41"/>
      <c r="H201" s="41" t="s">
        <v>218</v>
      </c>
      <c r="I201" s="46" t="s">
        <v>132</v>
      </c>
      <c r="J201" s="41">
        <v>52</v>
      </c>
      <c r="K201" s="41"/>
      <c r="L201" s="41"/>
    </row>
    <row r="202" spans="1:12" x14ac:dyDescent="0.35">
      <c r="A202" s="46">
        <v>201</v>
      </c>
      <c r="B202" s="46">
        <v>201</v>
      </c>
      <c r="C202" s="48">
        <v>67</v>
      </c>
      <c r="D202" s="41" t="s">
        <v>213</v>
      </c>
      <c r="E202" s="46">
        <v>4.3</v>
      </c>
      <c r="F202" s="41">
        <v>1521</v>
      </c>
      <c r="G202" s="43" t="s">
        <v>17</v>
      </c>
      <c r="H202" s="41" t="s">
        <v>219</v>
      </c>
      <c r="I202" s="46" t="s">
        <v>132</v>
      </c>
      <c r="J202" s="41">
        <v>54</v>
      </c>
      <c r="K202" s="40">
        <f>15.25*10^5</f>
        <v>1525000</v>
      </c>
      <c r="L202" s="44">
        <f>LOG10(K202)</f>
        <v>6.1832698436828046</v>
      </c>
    </row>
    <row r="203" spans="1:12" x14ac:dyDescent="0.35">
      <c r="A203" s="46">
        <v>202</v>
      </c>
      <c r="B203" s="46">
        <v>202</v>
      </c>
      <c r="C203" s="48">
        <v>68</v>
      </c>
      <c r="D203" s="41" t="s">
        <v>213</v>
      </c>
      <c r="E203" s="46">
        <v>4.4000000000000004</v>
      </c>
      <c r="F203" s="41">
        <v>1522</v>
      </c>
      <c r="G203" s="43" t="s">
        <v>21</v>
      </c>
      <c r="H203" s="41" t="s">
        <v>218</v>
      </c>
      <c r="I203" s="46" t="s">
        <v>132</v>
      </c>
      <c r="J203" s="41">
        <v>50</v>
      </c>
      <c r="K203" s="40">
        <f>26.25*10^5</f>
        <v>2625000</v>
      </c>
      <c r="L203" s="44">
        <f>LOG10(K203)</f>
        <v>6.4191293077419758</v>
      </c>
    </row>
    <row r="204" spans="1:12" x14ac:dyDescent="0.35">
      <c r="A204" s="46">
        <v>203</v>
      </c>
      <c r="B204" s="46">
        <v>203</v>
      </c>
      <c r="C204" s="49"/>
      <c r="D204" s="41" t="s">
        <v>213</v>
      </c>
      <c r="E204" s="46">
        <v>4.5</v>
      </c>
      <c r="F204" s="41">
        <v>1523</v>
      </c>
      <c r="G204" s="41"/>
      <c r="H204" s="41" t="s">
        <v>218</v>
      </c>
      <c r="I204" s="46" t="s">
        <v>132</v>
      </c>
      <c r="J204" s="41">
        <v>50</v>
      </c>
      <c r="K204" s="41"/>
      <c r="L204" s="41"/>
    </row>
    <row r="205" spans="1:12" x14ac:dyDescent="0.35">
      <c r="A205" s="46">
        <v>204</v>
      </c>
      <c r="B205" s="46">
        <v>204</v>
      </c>
      <c r="C205" s="49"/>
      <c r="D205" s="41" t="s">
        <v>213</v>
      </c>
      <c r="E205" s="46">
        <v>4.5999999999999996</v>
      </c>
      <c r="F205" s="41">
        <v>1524</v>
      </c>
      <c r="G205" s="41"/>
      <c r="H205" s="41" t="s">
        <v>219</v>
      </c>
      <c r="I205" s="46" t="s">
        <v>132</v>
      </c>
      <c r="J205" s="41">
        <v>49</v>
      </c>
      <c r="K205" s="41"/>
      <c r="L205" s="41"/>
    </row>
    <row r="206" spans="1:12" x14ac:dyDescent="0.35">
      <c r="A206" s="46">
        <v>205</v>
      </c>
      <c r="B206" s="46">
        <v>205</v>
      </c>
      <c r="C206" s="49"/>
      <c r="D206" s="41" t="s">
        <v>213</v>
      </c>
      <c r="E206" s="46">
        <v>5.0999999999999996</v>
      </c>
      <c r="F206" s="41">
        <v>1525</v>
      </c>
      <c r="G206" s="41"/>
      <c r="H206" s="41" t="s">
        <v>219</v>
      </c>
      <c r="I206" s="46" t="s">
        <v>132</v>
      </c>
      <c r="J206" s="41">
        <v>49</v>
      </c>
      <c r="K206" s="41"/>
      <c r="L206" s="41"/>
    </row>
    <row r="207" spans="1:12" x14ac:dyDescent="0.35">
      <c r="A207" s="46">
        <v>206</v>
      </c>
      <c r="B207" s="46">
        <v>206</v>
      </c>
      <c r="C207" s="49"/>
      <c r="D207" s="41" t="s">
        <v>213</v>
      </c>
      <c r="E207" s="46">
        <v>5.2</v>
      </c>
      <c r="F207" s="41">
        <v>1526</v>
      </c>
      <c r="G207" s="41"/>
      <c r="H207" s="41" t="s">
        <v>218</v>
      </c>
      <c r="I207" s="46" t="s">
        <v>132</v>
      </c>
      <c r="J207" s="41">
        <v>59.2</v>
      </c>
      <c r="K207" s="41"/>
      <c r="L207" s="41"/>
    </row>
    <row r="208" spans="1:12" x14ac:dyDescent="0.35">
      <c r="A208" s="46">
        <v>207</v>
      </c>
      <c r="B208" s="46">
        <v>207</v>
      </c>
      <c r="C208" s="49"/>
      <c r="D208" s="41" t="s">
        <v>213</v>
      </c>
      <c r="E208" s="46">
        <v>5.3</v>
      </c>
      <c r="F208" s="41">
        <v>1527</v>
      </c>
      <c r="G208" s="41"/>
      <c r="H208" s="41" t="s">
        <v>218</v>
      </c>
      <c r="I208" s="46" t="s">
        <v>132</v>
      </c>
      <c r="J208" s="41">
        <v>58</v>
      </c>
      <c r="K208" s="41"/>
      <c r="L208" s="41"/>
    </row>
    <row r="209" spans="1:12" x14ac:dyDescent="0.35">
      <c r="A209" s="46">
        <v>208</v>
      </c>
      <c r="B209" s="46">
        <v>208</v>
      </c>
      <c r="C209" s="48">
        <v>69</v>
      </c>
      <c r="D209" s="41" t="s">
        <v>213</v>
      </c>
      <c r="E209" s="46">
        <v>5.4</v>
      </c>
      <c r="F209" s="41">
        <v>1528</v>
      </c>
      <c r="G209" s="43" t="s">
        <v>23</v>
      </c>
      <c r="H209" s="41" t="s">
        <v>218</v>
      </c>
      <c r="I209" s="46" t="s">
        <v>132</v>
      </c>
      <c r="J209" s="41">
        <v>59</v>
      </c>
      <c r="K209" s="40">
        <f>3*10^5</f>
        <v>300000</v>
      </c>
      <c r="L209" s="44">
        <f>LOG10(K209)</f>
        <v>5.4771212547196626</v>
      </c>
    </row>
    <row r="210" spans="1:12" x14ac:dyDescent="0.35">
      <c r="A210" s="46">
        <v>209</v>
      </c>
      <c r="B210" s="46">
        <v>209</v>
      </c>
      <c r="C210" s="48">
        <v>70</v>
      </c>
      <c r="D210" s="41" t="s">
        <v>213</v>
      </c>
      <c r="E210" s="46">
        <v>5.5</v>
      </c>
      <c r="F210" s="41">
        <v>1529</v>
      </c>
      <c r="G210" s="43" t="s">
        <v>26</v>
      </c>
      <c r="H210" s="41" t="s">
        <v>218</v>
      </c>
      <c r="I210" s="46" t="s">
        <v>132</v>
      </c>
      <c r="J210" s="41">
        <v>51</v>
      </c>
      <c r="K210" s="40">
        <f>10^5</f>
        <v>100000</v>
      </c>
      <c r="L210" s="44">
        <f>LOG10(K210)</f>
        <v>5</v>
      </c>
    </row>
    <row r="211" spans="1:12" x14ac:dyDescent="0.35">
      <c r="A211" s="46">
        <v>210</v>
      </c>
      <c r="B211" s="46">
        <v>210</v>
      </c>
      <c r="C211" s="49"/>
      <c r="D211" s="41" t="s">
        <v>213</v>
      </c>
      <c r="E211" s="46">
        <v>5.6</v>
      </c>
      <c r="F211" s="41">
        <v>1531</v>
      </c>
      <c r="G211" s="41"/>
      <c r="H211" s="41" t="s">
        <v>218</v>
      </c>
      <c r="I211" s="46" t="s">
        <v>132</v>
      </c>
      <c r="J211" s="41">
        <v>49</v>
      </c>
      <c r="K211" s="41"/>
      <c r="L211" s="41"/>
    </row>
    <row r="212" spans="1:12" x14ac:dyDescent="0.35">
      <c r="A212" s="46">
        <v>211</v>
      </c>
      <c r="B212" s="46">
        <v>211</v>
      </c>
      <c r="C212" s="48">
        <v>71</v>
      </c>
      <c r="D212" s="41" t="s">
        <v>214</v>
      </c>
      <c r="E212" s="46">
        <v>1.1000000000000001</v>
      </c>
      <c r="F212" s="41">
        <v>1530</v>
      </c>
      <c r="G212" s="43" t="s">
        <v>25</v>
      </c>
      <c r="H212" s="41" t="s">
        <v>218</v>
      </c>
      <c r="I212" s="46" t="s">
        <v>132</v>
      </c>
      <c r="J212" s="41">
        <v>49</v>
      </c>
      <c r="K212" s="40">
        <f>26*10^5</f>
        <v>2600000</v>
      </c>
      <c r="L212" s="44">
        <f>LOG10(K212)</f>
        <v>6.4149733479708182</v>
      </c>
    </row>
    <row r="213" spans="1:12" x14ac:dyDescent="0.35">
      <c r="A213" s="46">
        <v>212</v>
      </c>
      <c r="B213" s="46">
        <v>212</v>
      </c>
      <c r="C213" s="49"/>
      <c r="D213" s="41" t="s">
        <v>214</v>
      </c>
      <c r="E213" s="46">
        <v>1.2</v>
      </c>
      <c r="F213" s="41">
        <v>1532</v>
      </c>
      <c r="G213" s="41"/>
      <c r="H213" s="41" t="s">
        <v>218</v>
      </c>
      <c r="I213" s="46" t="s">
        <v>132</v>
      </c>
      <c r="J213" s="41">
        <v>49.3</v>
      </c>
      <c r="K213" s="41"/>
      <c r="L213" s="41"/>
    </row>
    <row r="214" spans="1:12" x14ac:dyDescent="0.35">
      <c r="A214" s="46">
        <v>213</v>
      </c>
      <c r="B214" s="46">
        <v>213</v>
      </c>
      <c r="C214" s="48">
        <v>72</v>
      </c>
      <c r="D214" s="41" t="s">
        <v>214</v>
      </c>
      <c r="E214" s="46">
        <v>1.3</v>
      </c>
      <c r="F214" s="41">
        <v>1533</v>
      </c>
      <c r="G214" s="43" t="s">
        <v>27</v>
      </c>
      <c r="H214" s="41" t="s">
        <v>219</v>
      </c>
      <c r="I214" s="46" t="s">
        <v>132</v>
      </c>
      <c r="J214" s="41">
        <v>52</v>
      </c>
      <c r="K214" s="40">
        <f>12.5*10^5</f>
        <v>1250000</v>
      </c>
      <c r="L214" s="44">
        <f>LOG10(K214)</f>
        <v>6.0969100130080562</v>
      </c>
    </row>
    <row r="215" spans="1:12" x14ac:dyDescent="0.35">
      <c r="A215" s="46">
        <v>214</v>
      </c>
      <c r="B215" s="46">
        <v>214</v>
      </c>
      <c r="C215" s="49"/>
      <c r="D215" s="41" t="s">
        <v>214</v>
      </c>
      <c r="E215" s="46">
        <v>1.4</v>
      </c>
      <c r="F215" s="41">
        <v>1534</v>
      </c>
      <c r="G215" s="41"/>
      <c r="H215" s="41" t="s">
        <v>218</v>
      </c>
      <c r="I215" s="46" t="s">
        <v>132</v>
      </c>
      <c r="J215" s="41">
        <v>52</v>
      </c>
      <c r="K215" s="41"/>
      <c r="L215" s="41"/>
    </row>
    <row r="216" spans="1:12" x14ac:dyDescent="0.35">
      <c r="A216" s="46">
        <v>215</v>
      </c>
      <c r="B216" s="46">
        <v>215</v>
      </c>
      <c r="C216" s="49"/>
      <c r="D216" s="41" t="s">
        <v>214</v>
      </c>
      <c r="E216" s="46">
        <v>1.5</v>
      </c>
      <c r="F216" s="41">
        <v>1535</v>
      </c>
      <c r="G216" s="41"/>
      <c r="H216" s="41" t="s">
        <v>219</v>
      </c>
      <c r="I216" s="46" t="s">
        <v>132</v>
      </c>
      <c r="J216" s="41">
        <v>59.6</v>
      </c>
      <c r="K216" s="41"/>
      <c r="L216" s="41"/>
    </row>
    <row r="217" spans="1:12" x14ac:dyDescent="0.35">
      <c r="A217" s="46">
        <v>216</v>
      </c>
      <c r="B217" s="46">
        <v>216</v>
      </c>
      <c r="C217" s="49"/>
      <c r="D217" s="41" t="s">
        <v>214</v>
      </c>
      <c r="E217" s="46">
        <v>1.6</v>
      </c>
      <c r="F217" s="41">
        <v>1536</v>
      </c>
      <c r="G217" s="41"/>
      <c r="H217" s="41" t="s">
        <v>218</v>
      </c>
      <c r="I217" s="46" t="s">
        <v>132</v>
      </c>
      <c r="J217" s="41">
        <v>49.1</v>
      </c>
      <c r="K217" s="41"/>
      <c r="L217" s="41"/>
    </row>
    <row r="218" spans="1:12" x14ac:dyDescent="0.35">
      <c r="A218" s="46">
        <v>217</v>
      </c>
      <c r="B218" s="46">
        <v>217</v>
      </c>
      <c r="C218" s="49"/>
      <c r="D218" s="41" t="s">
        <v>214</v>
      </c>
      <c r="E218" s="46">
        <v>2.1</v>
      </c>
      <c r="F218" s="41">
        <v>1537</v>
      </c>
      <c r="G218" s="41"/>
      <c r="H218" s="41" t="s">
        <v>219</v>
      </c>
      <c r="I218" s="46" t="s">
        <v>132</v>
      </c>
      <c r="J218" s="41">
        <v>59</v>
      </c>
      <c r="K218" s="41"/>
      <c r="L218" s="41"/>
    </row>
    <row r="219" spans="1:12" x14ac:dyDescent="0.35">
      <c r="A219" s="46">
        <v>218</v>
      </c>
      <c r="B219" s="46">
        <v>218</v>
      </c>
      <c r="C219" s="49"/>
      <c r="D219" s="41" t="s">
        <v>214</v>
      </c>
      <c r="E219" s="46">
        <v>2.2000000000000002</v>
      </c>
      <c r="F219" s="41">
        <v>1538</v>
      </c>
      <c r="G219" s="41"/>
      <c r="H219" s="41" t="s">
        <v>219</v>
      </c>
      <c r="I219" s="46" t="s">
        <v>132</v>
      </c>
      <c r="J219" s="41">
        <v>56</v>
      </c>
      <c r="K219" s="41"/>
      <c r="L219" s="41"/>
    </row>
    <row r="220" spans="1:12" x14ac:dyDescent="0.35">
      <c r="A220" s="46">
        <v>219</v>
      </c>
      <c r="B220" s="46">
        <v>219</v>
      </c>
      <c r="C220" s="48">
        <v>73</v>
      </c>
      <c r="D220" s="41" t="s">
        <v>214</v>
      </c>
      <c r="E220" s="46">
        <v>2.2999999999999998</v>
      </c>
      <c r="F220" s="41">
        <v>1539</v>
      </c>
      <c r="G220" s="43" t="s">
        <v>28</v>
      </c>
      <c r="H220" s="41" t="s">
        <v>218</v>
      </c>
      <c r="I220" s="46" t="s">
        <v>132</v>
      </c>
      <c r="J220" s="41">
        <v>50</v>
      </c>
      <c r="K220" s="40">
        <f>2.5*10^5</f>
        <v>250000</v>
      </c>
      <c r="L220" s="44">
        <f>LOG10(K220)</f>
        <v>5.3979400086720375</v>
      </c>
    </row>
    <row r="221" spans="1:12" x14ac:dyDescent="0.35">
      <c r="A221" s="46">
        <v>220</v>
      </c>
      <c r="B221" s="46">
        <v>220</v>
      </c>
      <c r="C221" s="48">
        <v>74</v>
      </c>
      <c r="D221" s="41" t="s">
        <v>214</v>
      </c>
      <c r="E221" s="46">
        <v>2.4</v>
      </c>
      <c r="F221" s="41">
        <v>1540</v>
      </c>
      <c r="G221" s="43" t="s">
        <v>19</v>
      </c>
      <c r="H221" s="41" t="s">
        <v>219</v>
      </c>
      <c r="I221" s="46" t="s">
        <v>132</v>
      </c>
      <c r="J221" s="41">
        <v>57</v>
      </c>
      <c r="K221" s="40">
        <f>2*10^5</f>
        <v>200000</v>
      </c>
      <c r="L221" s="44">
        <f>LOG10(K221)</f>
        <v>5.3010299956639813</v>
      </c>
    </row>
    <row r="222" spans="1:12" x14ac:dyDescent="0.35">
      <c r="A222" s="46">
        <v>221</v>
      </c>
      <c r="B222" s="46">
        <v>221</v>
      </c>
      <c r="C222" s="49"/>
      <c r="D222" s="41" t="s">
        <v>214</v>
      </c>
      <c r="E222" s="46">
        <v>2.5</v>
      </c>
      <c r="F222" s="41">
        <v>1541</v>
      </c>
      <c r="G222" s="41"/>
      <c r="H222" s="41" t="s">
        <v>219</v>
      </c>
      <c r="I222" s="46" t="s">
        <v>132</v>
      </c>
      <c r="J222" s="41">
        <v>59.4</v>
      </c>
      <c r="K222" s="41"/>
      <c r="L222" s="41"/>
    </row>
    <row r="223" spans="1:12" x14ac:dyDescent="0.35">
      <c r="A223" s="46">
        <v>222</v>
      </c>
      <c r="B223" s="46">
        <v>222</v>
      </c>
      <c r="C223" s="49"/>
      <c r="D223" s="41" t="s">
        <v>214</v>
      </c>
      <c r="E223" s="46">
        <v>2.6</v>
      </c>
      <c r="F223" s="41">
        <v>1542</v>
      </c>
      <c r="G223" s="41"/>
      <c r="H223" s="41" t="s">
        <v>219</v>
      </c>
      <c r="I223" s="46" t="s">
        <v>132</v>
      </c>
      <c r="J223" s="41">
        <v>56</v>
      </c>
      <c r="K223" s="41"/>
      <c r="L223" s="41"/>
    </row>
    <row r="224" spans="1:12" x14ac:dyDescent="0.35">
      <c r="A224" s="46">
        <v>223</v>
      </c>
      <c r="B224" s="46">
        <v>223</v>
      </c>
      <c r="C224" s="48">
        <v>75</v>
      </c>
      <c r="D224" s="41" t="s">
        <v>214</v>
      </c>
      <c r="E224" s="46">
        <v>3.1</v>
      </c>
      <c r="F224" s="41">
        <v>1543</v>
      </c>
      <c r="G224" s="43" t="s">
        <v>29</v>
      </c>
      <c r="H224" s="41" t="s">
        <v>218</v>
      </c>
      <c r="I224" s="46" t="s">
        <v>132</v>
      </c>
      <c r="J224" s="41">
        <v>50</v>
      </c>
      <c r="K224" s="40">
        <f>6*10^3</f>
        <v>6000</v>
      </c>
      <c r="L224" s="44">
        <f>LOG10(K224)</f>
        <v>3.7781512503836434</v>
      </c>
    </row>
    <row r="225" spans="1:12" x14ac:dyDescent="0.35">
      <c r="A225" s="46">
        <v>224</v>
      </c>
      <c r="B225" s="46">
        <v>224</v>
      </c>
      <c r="C225" s="49"/>
      <c r="D225" s="41" t="s">
        <v>214</v>
      </c>
      <c r="E225" s="46">
        <v>3.2</v>
      </c>
      <c r="F225" s="41">
        <v>1544</v>
      </c>
      <c r="G225" s="41"/>
      <c r="H225" s="41" t="s">
        <v>219</v>
      </c>
      <c r="I225" s="46" t="s">
        <v>132</v>
      </c>
      <c r="J225" s="41">
        <v>55.2</v>
      </c>
      <c r="K225" s="41"/>
      <c r="L225" s="41"/>
    </row>
    <row r="226" spans="1:12" x14ac:dyDescent="0.35">
      <c r="A226" s="46">
        <v>225</v>
      </c>
      <c r="B226" s="46">
        <v>225</v>
      </c>
      <c r="C226" s="49"/>
      <c r="D226" s="41" t="s">
        <v>214</v>
      </c>
      <c r="E226" s="46">
        <v>3.3</v>
      </c>
      <c r="F226" s="41">
        <v>1545</v>
      </c>
      <c r="G226" s="41"/>
      <c r="H226" s="41" t="s">
        <v>218</v>
      </c>
      <c r="I226" s="46" t="s">
        <v>132</v>
      </c>
      <c r="J226" s="41">
        <v>49</v>
      </c>
      <c r="K226" s="41"/>
      <c r="L226" s="41"/>
    </row>
    <row r="227" spans="1:12" x14ac:dyDescent="0.35">
      <c r="A227" s="46">
        <v>226</v>
      </c>
      <c r="B227" s="46">
        <v>226</v>
      </c>
      <c r="C227" s="48">
        <v>76</v>
      </c>
      <c r="D227" s="41" t="s">
        <v>214</v>
      </c>
      <c r="E227" s="46">
        <v>3.4</v>
      </c>
      <c r="F227" s="41">
        <v>1546</v>
      </c>
      <c r="G227" s="43" t="s">
        <v>30</v>
      </c>
      <c r="H227" s="41" t="s">
        <v>218</v>
      </c>
      <c r="I227" s="46" t="s">
        <v>132</v>
      </c>
      <c r="J227" s="41">
        <v>56</v>
      </c>
      <c r="K227" s="40">
        <f>10.25*10^5</f>
        <v>1025000</v>
      </c>
      <c r="L227" s="44">
        <f>LOG10(K227)</f>
        <v>6.0107238653917729</v>
      </c>
    </row>
    <row r="228" spans="1:12" x14ac:dyDescent="0.35">
      <c r="A228" s="46">
        <v>227</v>
      </c>
      <c r="B228" s="46">
        <v>227</v>
      </c>
      <c r="C228" s="49"/>
      <c r="D228" s="41" t="s">
        <v>214</v>
      </c>
      <c r="E228" s="46">
        <v>3.5</v>
      </c>
      <c r="F228" s="41">
        <v>1547</v>
      </c>
      <c r="G228" s="41"/>
      <c r="H228" s="41" t="s">
        <v>218</v>
      </c>
      <c r="I228" s="46" t="s">
        <v>132</v>
      </c>
      <c r="J228" s="41">
        <v>50.4</v>
      </c>
      <c r="K228" s="41"/>
      <c r="L228" s="41"/>
    </row>
    <row r="229" spans="1:12" x14ac:dyDescent="0.35">
      <c r="A229" s="46">
        <v>228</v>
      </c>
      <c r="B229" s="46">
        <v>228</v>
      </c>
      <c r="C229" s="49"/>
      <c r="D229" s="41" t="s">
        <v>214</v>
      </c>
      <c r="E229" s="46">
        <v>3.6</v>
      </c>
      <c r="F229" s="41">
        <v>1548</v>
      </c>
      <c r="G229" s="41"/>
      <c r="H229" s="41" t="s">
        <v>219</v>
      </c>
      <c r="I229" s="46" t="s">
        <v>132</v>
      </c>
      <c r="J229" s="41">
        <v>59.6</v>
      </c>
      <c r="K229" s="41"/>
      <c r="L229" s="41"/>
    </row>
    <row r="230" spans="1:12" x14ac:dyDescent="0.35">
      <c r="A230" s="46">
        <v>229</v>
      </c>
      <c r="B230" s="46">
        <v>229</v>
      </c>
      <c r="C230" s="49"/>
      <c r="D230" s="41" t="s">
        <v>214</v>
      </c>
      <c r="E230" s="46">
        <v>4.0999999999999996</v>
      </c>
      <c r="F230" s="41">
        <v>1549</v>
      </c>
      <c r="G230" s="41"/>
      <c r="H230" s="41" t="s">
        <v>219</v>
      </c>
      <c r="I230" s="46" t="s">
        <v>132</v>
      </c>
      <c r="J230" s="41">
        <v>59</v>
      </c>
      <c r="K230" s="41"/>
      <c r="L230" s="41"/>
    </row>
    <row r="231" spans="1:12" x14ac:dyDescent="0.35">
      <c r="A231" s="46">
        <v>230</v>
      </c>
      <c r="B231" s="46">
        <v>230</v>
      </c>
      <c r="C231" s="48">
        <v>77</v>
      </c>
      <c r="D231" s="41" t="s">
        <v>214</v>
      </c>
      <c r="E231" s="46">
        <v>4.2</v>
      </c>
      <c r="F231" s="41">
        <v>1550</v>
      </c>
      <c r="G231" s="43" t="s">
        <v>31</v>
      </c>
      <c r="H231" s="41" t="s">
        <v>218</v>
      </c>
      <c r="I231" s="46" t="s">
        <v>132</v>
      </c>
      <c r="J231" s="41">
        <v>51.1</v>
      </c>
      <c r="K231" s="40">
        <f>16.25*10^6</f>
        <v>16250000</v>
      </c>
      <c r="L231" s="44">
        <f>LOG10(K231)</f>
        <v>7.2108533653148932</v>
      </c>
    </row>
    <row r="232" spans="1:12" x14ac:dyDescent="0.35">
      <c r="A232" s="46">
        <v>231</v>
      </c>
      <c r="B232" s="46">
        <v>231</v>
      </c>
      <c r="C232" s="49"/>
      <c r="D232" s="41" t="s">
        <v>214</v>
      </c>
      <c r="E232" s="46">
        <v>4.3</v>
      </c>
      <c r="F232" s="41">
        <v>1551</v>
      </c>
      <c r="G232" s="41"/>
      <c r="H232" s="41" t="s">
        <v>219</v>
      </c>
      <c r="I232" s="46" t="s">
        <v>132</v>
      </c>
      <c r="J232" s="41">
        <v>49</v>
      </c>
      <c r="K232" s="41"/>
      <c r="L232" s="41"/>
    </row>
    <row r="233" spans="1:12" x14ac:dyDescent="0.35">
      <c r="A233" s="46">
        <v>232</v>
      </c>
      <c r="B233" s="46">
        <v>232</v>
      </c>
      <c r="C233" s="49"/>
      <c r="D233" s="41" t="s">
        <v>214</v>
      </c>
      <c r="E233" s="46">
        <v>4.4000000000000004</v>
      </c>
      <c r="F233" s="41">
        <v>1552</v>
      </c>
      <c r="G233" s="41"/>
      <c r="H233" s="41" t="s">
        <v>218</v>
      </c>
      <c r="I233" s="46" t="s">
        <v>132</v>
      </c>
      <c r="J233" s="41">
        <v>57.9</v>
      </c>
      <c r="K233" s="41"/>
      <c r="L233" s="41"/>
    </row>
    <row r="234" spans="1:12" x14ac:dyDescent="0.35">
      <c r="A234" s="46">
        <v>233</v>
      </c>
      <c r="B234" s="46">
        <v>233</v>
      </c>
      <c r="C234" s="49"/>
      <c r="D234" s="41" t="s">
        <v>214</v>
      </c>
      <c r="E234" s="46">
        <v>4.5</v>
      </c>
      <c r="F234" s="41">
        <v>1553</v>
      </c>
      <c r="G234" s="41"/>
      <c r="H234" s="41" t="s">
        <v>219</v>
      </c>
      <c r="I234" s="46" t="s">
        <v>132</v>
      </c>
      <c r="J234" s="41">
        <v>59.7</v>
      </c>
      <c r="K234" s="41"/>
      <c r="L234" s="41"/>
    </row>
    <row r="235" spans="1:12" x14ac:dyDescent="0.35">
      <c r="A235" s="46">
        <v>234</v>
      </c>
      <c r="B235" s="46">
        <v>234</v>
      </c>
      <c r="C235" s="48">
        <v>78</v>
      </c>
      <c r="D235" s="41" t="s">
        <v>214</v>
      </c>
      <c r="E235" s="46">
        <v>4.5999999999999996</v>
      </c>
      <c r="F235" s="41">
        <v>1554</v>
      </c>
      <c r="G235" s="43" t="s">
        <v>22</v>
      </c>
      <c r="H235" s="41" t="s">
        <v>218</v>
      </c>
      <c r="I235" s="46" t="s">
        <v>132</v>
      </c>
      <c r="J235" s="41">
        <v>48</v>
      </c>
      <c r="K235" s="40">
        <f>18.3*10^6</f>
        <v>18300000</v>
      </c>
      <c r="L235" s="44">
        <f>LOG10(K235)</f>
        <v>7.2624510897304297</v>
      </c>
    </row>
    <row r="236" spans="1:12" x14ac:dyDescent="0.35">
      <c r="A236" s="46">
        <v>235</v>
      </c>
      <c r="B236" s="46">
        <v>235</v>
      </c>
      <c r="C236" s="49"/>
      <c r="D236" s="41" t="s">
        <v>214</v>
      </c>
      <c r="E236" s="46">
        <v>5.0999999999999996</v>
      </c>
      <c r="F236" s="41">
        <v>1555</v>
      </c>
      <c r="G236" s="41"/>
      <c r="H236" s="41" t="s">
        <v>219</v>
      </c>
      <c r="I236" s="46" t="s">
        <v>132</v>
      </c>
      <c r="J236" s="41">
        <v>57.3</v>
      </c>
      <c r="K236" s="41"/>
      <c r="L236" s="41"/>
    </row>
    <row r="237" spans="1:12" x14ac:dyDescent="0.35">
      <c r="A237" s="46">
        <v>236</v>
      </c>
      <c r="B237" s="46">
        <v>236</v>
      </c>
      <c r="C237" s="48">
        <v>79</v>
      </c>
      <c r="D237" s="41" t="s">
        <v>214</v>
      </c>
      <c r="E237" s="46">
        <v>5.2</v>
      </c>
      <c r="F237" s="41">
        <v>1556</v>
      </c>
      <c r="G237" s="43" t="s">
        <v>34</v>
      </c>
      <c r="H237" s="41" t="s">
        <v>218</v>
      </c>
      <c r="I237" s="46" t="s">
        <v>132</v>
      </c>
      <c r="J237" s="41">
        <v>49</v>
      </c>
      <c r="K237" s="40">
        <f>9.25*10^5</f>
        <v>925000</v>
      </c>
      <c r="L237" s="44">
        <f>LOG10(K237)</f>
        <v>5.9661417327390325</v>
      </c>
    </row>
    <row r="238" spans="1:12" x14ac:dyDescent="0.35">
      <c r="A238" s="46">
        <v>237</v>
      </c>
      <c r="B238" s="46">
        <v>237</v>
      </c>
      <c r="C238" s="49"/>
      <c r="D238" s="41" t="s">
        <v>214</v>
      </c>
      <c r="E238" s="46">
        <v>5.3</v>
      </c>
      <c r="F238" s="41">
        <v>1557</v>
      </c>
      <c r="G238" s="41"/>
      <c r="H238" s="41" t="s">
        <v>219</v>
      </c>
      <c r="I238" s="46" t="s">
        <v>132</v>
      </c>
      <c r="J238" s="41">
        <v>48.7</v>
      </c>
      <c r="K238" s="41"/>
      <c r="L238" s="41"/>
    </row>
    <row r="239" spans="1:12" x14ac:dyDescent="0.35">
      <c r="A239" s="46">
        <v>238</v>
      </c>
      <c r="B239" s="46">
        <v>238</v>
      </c>
      <c r="C239" s="49"/>
      <c r="D239" s="41" t="s">
        <v>214</v>
      </c>
      <c r="E239" s="46">
        <v>5.4</v>
      </c>
      <c r="F239" s="41">
        <v>1558</v>
      </c>
      <c r="G239" s="41"/>
      <c r="H239" s="41" t="s">
        <v>219</v>
      </c>
      <c r="I239" s="46" t="s">
        <v>132</v>
      </c>
      <c r="J239" s="41">
        <v>57</v>
      </c>
      <c r="K239" s="41"/>
      <c r="L239" s="41"/>
    </row>
    <row r="240" spans="1:12" x14ac:dyDescent="0.35">
      <c r="A240" s="46">
        <v>239</v>
      </c>
      <c r="B240" s="46">
        <v>239</v>
      </c>
      <c r="C240" s="48">
        <v>80</v>
      </c>
      <c r="D240" s="41" t="s">
        <v>214</v>
      </c>
      <c r="E240" s="46">
        <v>5.5</v>
      </c>
      <c r="F240" s="41">
        <v>1559</v>
      </c>
      <c r="G240" s="43" t="s">
        <v>24</v>
      </c>
      <c r="H240" s="41" t="s">
        <v>218</v>
      </c>
      <c r="I240" s="46" t="s">
        <v>132</v>
      </c>
      <c r="J240" s="41">
        <v>59.6</v>
      </c>
      <c r="K240" s="40">
        <f>14*10^5</f>
        <v>1400000</v>
      </c>
      <c r="L240" s="44">
        <f>LOG10(K240)</f>
        <v>6.1461280356782382</v>
      </c>
    </row>
    <row r="241" spans="1:12" x14ac:dyDescent="0.35">
      <c r="A241" s="46">
        <v>240</v>
      </c>
      <c r="B241" s="46">
        <v>240</v>
      </c>
      <c r="C241" s="49"/>
      <c r="D241" s="41" t="s">
        <v>214</v>
      </c>
      <c r="E241" s="46">
        <v>5.6</v>
      </c>
      <c r="F241" s="41">
        <v>1560</v>
      </c>
      <c r="G241" s="41"/>
      <c r="H241" s="41" t="s">
        <v>218</v>
      </c>
      <c r="I241" s="46" t="s">
        <v>132</v>
      </c>
      <c r="J241" s="41">
        <v>59.8</v>
      </c>
      <c r="K241" s="41"/>
      <c r="L241" s="41"/>
    </row>
    <row r="242" spans="1:12" x14ac:dyDescent="0.35">
      <c r="A242" s="46">
        <v>241</v>
      </c>
      <c r="B242" s="46">
        <v>241</v>
      </c>
      <c r="C242" s="48">
        <v>81</v>
      </c>
      <c r="D242" s="41" t="s">
        <v>215</v>
      </c>
      <c r="E242" s="46">
        <v>1.1000000000000001</v>
      </c>
      <c r="F242" s="41">
        <v>1561</v>
      </c>
      <c r="G242" s="43" t="s">
        <v>35</v>
      </c>
      <c r="H242" s="41" t="s">
        <v>218</v>
      </c>
      <c r="I242" s="46" t="s">
        <v>132</v>
      </c>
      <c r="J242" s="41">
        <v>49</v>
      </c>
      <c r="K242" s="40">
        <f>35*10^6</f>
        <v>35000000</v>
      </c>
      <c r="L242" s="44">
        <f>LOG10(K242)</f>
        <v>7.5440680443502757</v>
      </c>
    </row>
    <row r="243" spans="1:12" x14ac:dyDescent="0.35">
      <c r="A243" s="46">
        <v>242</v>
      </c>
      <c r="B243" s="46">
        <v>242</v>
      </c>
      <c r="C243" s="49"/>
      <c r="D243" s="41" t="s">
        <v>215</v>
      </c>
      <c r="E243" s="46">
        <v>1.2</v>
      </c>
      <c r="F243" s="41">
        <v>1562</v>
      </c>
      <c r="G243" s="41"/>
      <c r="H243" s="41" t="s">
        <v>219</v>
      </c>
      <c r="I243" s="46" t="s">
        <v>132</v>
      </c>
      <c r="J243" s="41">
        <v>48.1</v>
      </c>
      <c r="K243" s="41"/>
      <c r="L243" s="41"/>
    </row>
    <row r="244" spans="1:12" x14ac:dyDescent="0.35">
      <c r="A244" s="46">
        <v>243</v>
      </c>
      <c r="B244" s="46">
        <v>243</v>
      </c>
      <c r="C244" s="48">
        <v>82</v>
      </c>
      <c r="D244" s="41" t="s">
        <v>215</v>
      </c>
      <c r="E244" s="46">
        <v>1.3</v>
      </c>
      <c r="F244" s="41">
        <v>1563</v>
      </c>
      <c r="G244" s="43" t="s">
        <v>36</v>
      </c>
      <c r="H244" s="41" t="s">
        <v>218</v>
      </c>
      <c r="I244" s="46" t="s">
        <v>132</v>
      </c>
      <c r="J244" s="41">
        <v>59.8</v>
      </c>
      <c r="K244" s="40">
        <f>30*10^5</f>
        <v>3000000</v>
      </c>
      <c r="L244" s="44">
        <f>LOG10(K244)</f>
        <v>6.4771212547196626</v>
      </c>
    </row>
    <row r="245" spans="1:12" x14ac:dyDescent="0.35">
      <c r="A245" s="46">
        <v>244</v>
      </c>
      <c r="B245" s="46">
        <v>244</v>
      </c>
      <c r="C245" s="49"/>
      <c r="D245" s="41" t="s">
        <v>215</v>
      </c>
      <c r="E245" s="46">
        <v>1.4</v>
      </c>
      <c r="F245" s="41">
        <v>1564</v>
      </c>
      <c r="G245" s="41"/>
      <c r="H245" s="41" t="s">
        <v>219</v>
      </c>
      <c r="I245" s="46" t="s">
        <v>132</v>
      </c>
      <c r="J245" s="41">
        <v>52</v>
      </c>
      <c r="K245" s="41"/>
      <c r="L245" s="41"/>
    </row>
    <row r="246" spans="1:12" x14ac:dyDescent="0.35">
      <c r="A246" s="46">
        <v>245</v>
      </c>
      <c r="B246" s="46">
        <v>245</v>
      </c>
      <c r="C246" s="49"/>
      <c r="D246" s="41" t="s">
        <v>215</v>
      </c>
      <c r="E246" s="46">
        <v>1.5</v>
      </c>
      <c r="F246" s="41">
        <v>1565</v>
      </c>
      <c r="G246" s="41"/>
      <c r="H246" s="41" t="s">
        <v>219</v>
      </c>
      <c r="I246" s="46" t="s">
        <v>132</v>
      </c>
      <c r="J246" s="41">
        <v>56</v>
      </c>
      <c r="K246" s="41"/>
      <c r="L246" s="41"/>
    </row>
    <row r="247" spans="1:12" x14ac:dyDescent="0.35">
      <c r="A247" s="46">
        <v>246</v>
      </c>
      <c r="B247" s="46">
        <v>246</v>
      </c>
      <c r="C247" s="49"/>
      <c r="D247" s="41" t="s">
        <v>215</v>
      </c>
      <c r="E247" s="46">
        <v>1.6</v>
      </c>
      <c r="F247" s="41">
        <v>1566</v>
      </c>
      <c r="G247" s="41"/>
      <c r="H247" s="41" t="s">
        <v>219</v>
      </c>
      <c r="I247" s="46" t="s">
        <v>132</v>
      </c>
      <c r="J247" s="41">
        <v>48</v>
      </c>
      <c r="K247" s="41"/>
      <c r="L247" s="41"/>
    </row>
    <row r="248" spans="1:12" x14ac:dyDescent="0.35">
      <c r="A248" s="46">
        <v>247</v>
      </c>
      <c r="B248" s="46">
        <v>247</v>
      </c>
      <c r="C248" s="49"/>
      <c r="D248" s="41" t="s">
        <v>215</v>
      </c>
      <c r="E248" s="46">
        <v>2.1</v>
      </c>
      <c r="F248" s="41">
        <v>1567</v>
      </c>
      <c r="G248" s="41"/>
      <c r="H248" s="41" t="s">
        <v>218</v>
      </c>
      <c r="I248" s="46" t="s">
        <v>132</v>
      </c>
      <c r="J248" s="41">
        <v>59</v>
      </c>
      <c r="K248" s="41"/>
      <c r="L248" s="41"/>
    </row>
    <row r="249" spans="1:12" x14ac:dyDescent="0.35">
      <c r="A249" s="46">
        <v>248</v>
      </c>
      <c r="B249" s="46">
        <v>248</v>
      </c>
      <c r="C249" s="49"/>
      <c r="D249" s="41" t="s">
        <v>215</v>
      </c>
      <c r="E249" s="46">
        <v>2.2000000000000002</v>
      </c>
      <c r="F249" s="41">
        <v>1568</v>
      </c>
      <c r="G249" s="41"/>
      <c r="H249" s="41" t="s">
        <v>219</v>
      </c>
      <c r="I249" s="46" t="s">
        <v>132</v>
      </c>
      <c r="J249" s="41">
        <v>48.3</v>
      </c>
      <c r="K249" s="41"/>
      <c r="L249" s="41"/>
    </row>
    <row r="250" spans="1:12" x14ac:dyDescent="0.35">
      <c r="A250" s="46">
        <v>249</v>
      </c>
      <c r="B250" s="46">
        <v>249</v>
      </c>
      <c r="C250" s="48">
        <v>83</v>
      </c>
      <c r="D250" s="41" t="s">
        <v>215</v>
      </c>
      <c r="E250" s="46">
        <v>2.2999999999999998</v>
      </c>
      <c r="F250" s="41">
        <v>1569</v>
      </c>
      <c r="G250" s="43" t="s">
        <v>37</v>
      </c>
      <c r="H250" s="41" t="s">
        <v>219</v>
      </c>
      <c r="I250" s="46" t="s">
        <v>132</v>
      </c>
      <c r="J250" s="41">
        <v>48</v>
      </c>
      <c r="K250" s="40">
        <f>0.8*10^5</f>
        <v>80000</v>
      </c>
      <c r="L250" s="44">
        <f>LOG10(K250)</f>
        <v>4.9030899869919438</v>
      </c>
    </row>
    <row r="251" spans="1:12" x14ac:dyDescent="0.35">
      <c r="A251" s="46">
        <v>250</v>
      </c>
      <c r="B251" s="46">
        <v>250</v>
      </c>
      <c r="C251" s="49"/>
      <c r="D251" s="41" t="s">
        <v>215</v>
      </c>
      <c r="E251" s="46">
        <v>2.4</v>
      </c>
      <c r="F251" s="41">
        <v>1570</v>
      </c>
      <c r="G251" s="41"/>
      <c r="H251" s="41" t="s">
        <v>218</v>
      </c>
      <c r="I251" s="46" t="s">
        <v>132</v>
      </c>
      <c r="J251" s="41">
        <v>57</v>
      </c>
      <c r="K251" s="41"/>
      <c r="L251" s="41"/>
    </row>
    <row r="252" spans="1:12" x14ac:dyDescent="0.35">
      <c r="A252" s="46">
        <v>251</v>
      </c>
      <c r="B252" s="46">
        <v>251</v>
      </c>
      <c r="C252" s="48">
        <v>84</v>
      </c>
      <c r="D252" s="41" t="s">
        <v>215</v>
      </c>
      <c r="E252" s="46">
        <v>2.5</v>
      </c>
      <c r="F252" s="41">
        <v>1571</v>
      </c>
      <c r="G252" s="43" t="s">
        <v>39</v>
      </c>
      <c r="H252" s="41" t="s">
        <v>218</v>
      </c>
      <c r="I252" s="46" t="s">
        <v>132</v>
      </c>
      <c r="J252" s="41">
        <v>51</v>
      </c>
      <c r="K252" s="40">
        <f>4.5*10^5</f>
        <v>450000</v>
      </c>
      <c r="L252" s="44">
        <f>LOG10(K252)</f>
        <v>5.653212513775344</v>
      </c>
    </row>
    <row r="253" spans="1:12" x14ac:dyDescent="0.35">
      <c r="A253" s="46">
        <v>252</v>
      </c>
      <c r="B253" s="46">
        <v>252</v>
      </c>
      <c r="C253" s="49"/>
      <c r="D253" s="41" t="s">
        <v>215</v>
      </c>
      <c r="E253" s="46">
        <v>2.6</v>
      </c>
      <c r="F253" s="41">
        <v>1572</v>
      </c>
      <c r="G253" s="41"/>
      <c r="H253" s="41" t="s">
        <v>219</v>
      </c>
      <c r="I253" s="46" t="s">
        <v>132</v>
      </c>
      <c r="J253" s="41">
        <v>59.7</v>
      </c>
      <c r="K253" s="41"/>
      <c r="L253" s="41"/>
    </row>
    <row r="254" spans="1:12" x14ac:dyDescent="0.35">
      <c r="A254" s="46">
        <v>253</v>
      </c>
      <c r="B254" s="46">
        <v>253</v>
      </c>
      <c r="C254" s="49"/>
      <c r="D254" s="41" t="s">
        <v>215</v>
      </c>
      <c r="E254" s="46">
        <v>3.1</v>
      </c>
      <c r="F254" s="41">
        <v>1573</v>
      </c>
      <c r="G254" s="41"/>
      <c r="H254" s="41" t="s">
        <v>218</v>
      </c>
      <c r="I254" s="46" t="s">
        <v>132</v>
      </c>
      <c r="J254" s="41">
        <v>57</v>
      </c>
      <c r="K254" s="41"/>
      <c r="L254" s="41"/>
    </row>
    <row r="255" spans="1:12" x14ac:dyDescent="0.35">
      <c r="A255" s="46">
        <v>254</v>
      </c>
      <c r="B255" s="46">
        <v>254</v>
      </c>
      <c r="C255" s="49"/>
      <c r="D255" s="41" t="s">
        <v>215</v>
      </c>
      <c r="E255" s="46">
        <v>3.2</v>
      </c>
      <c r="F255" s="41">
        <v>1574</v>
      </c>
      <c r="G255" s="41"/>
      <c r="H255" s="41" t="s">
        <v>219</v>
      </c>
      <c r="I255" s="46" t="s">
        <v>132</v>
      </c>
      <c r="J255" s="41">
        <v>59.8</v>
      </c>
      <c r="K255" s="41"/>
      <c r="L255" s="41"/>
    </row>
    <row r="256" spans="1:12" x14ac:dyDescent="0.35">
      <c r="A256" s="46">
        <v>255</v>
      </c>
      <c r="B256" s="46">
        <v>255</v>
      </c>
      <c r="C256" s="49"/>
      <c r="D256" s="41" t="s">
        <v>215</v>
      </c>
      <c r="E256" s="46">
        <v>3.3</v>
      </c>
      <c r="F256" s="41">
        <v>1575</v>
      </c>
      <c r="G256" s="41"/>
      <c r="H256" s="41" t="s">
        <v>219</v>
      </c>
      <c r="I256" s="46" t="s">
        <v>132</v>
      </c>
      <c r="J256" s="41">
        <v>50</v>
      </c>
      <c r="K256" s="41"/>
      <c r="L256" s="41"/>
    </row>
    <row r="257" spans="1:12" x14ac:dyDescent="0.35">
      <c r="A257" s="46">
        <v>256</v>
      </c>
      <c r="B257" s="46">
        <v>256</v>
      </c>
      <c r="C257" s="48">
        <v>85</v>
      </c>
      <c r="D257" s="41" t="s">
        <v>215</v>
      </c>
      <c r="E257" s="46">
        <v>3.4</v>
      </c>
      <c r="F257" s="41">
        <v>1576</v>
      </c>
      <c r="G257" s="43" t="s">
        <v>40</v>
      </c>
      <c r="H257" s="41" t="s">
        <v>219</v>
      </c>
      <c r="I257" s="46" t="s">
        <v>132</v>
      </c>
      <c r="J257" s="41">
        <v>48</v>
      </c>
      <c r="K257" s="40">
        <f>7*10^5</f>
        <v>700000</v>
      </c>
      <c r="L257" s="44">
        <f>LOG10(K257)</f>
        <v>5.8450980400142569</v>
      </c>
    </row>
    <row r="258" spans="1:12" x14ac:dyDescent="0.35">
      <c r="A258" s="46">
        <v>257</v>
      </c>
      <c r="B258" s="46">
        <v>257</v>
      </c>
      <c r="C258" s="49"/>
      <c r="D258" s="41" t="s">
        <v>215</v>
      </c>
      <c r="E258" s="46">
        <v>3.5</v>
      </c>
      <c r="F258" s="41">
        <v>1577</v>
      </c>
      <c r="G258" s="41"/>
      <c r="H258" s="41" t="s">
        <v>219</v>
      </c>
      <c r="I258" s="46" t="s">
        <v>132</v>
      </c>
      <c r="J258" s="41">
        <v>51.2</v>
      </c>
      <c r="K258" s="41"/>
      <c r="L258" s="41"/>
    </row>
    <row r="259" spans="1:12" x14ac:dyDescent="0.35">
      <c r="A259" s="46">
        <v>258</v>
      </c>
      <c r="B259" s="46">
        <v>258</v>
      </c>
      <c r="C259" s="48">
        <v>86</v>
      </c>
      <c r="D259" s="41" t="s">
        <v>215</v>
      </c>
      <c r="E259" s="46">
        <v>3.6</v>
      </c>
      <c r="F259" s="41">
        <v>1578</v>
      </c>
      <c r="G259" s="43" t="s">
        <v>41</v>
      </c>
      <c r="H259" s="41" t="s">
        <v>218</v>
      </c>
      <c r="I259" s="46" t="s">
        <v>132</v>
      </c>
      <c r="J259" s="41">
        <v>58</v>
      </c>
      <c r="K259" s="40">
        <f>10*10^5</f>
        <v>1000000</v>
      </c>
      <c r="L259" s="44">
        <f>LOG10(K259)</f>
        <v>6</v>
      </c>
    </row>
    <row r="260" spans="1:12" x14ac:dyDescent="0.35">
      <c r="A260" s="46">
        <v>259</v>
      </c>
      <c r="B260" s="46">
        <v>259</v>
      </c>
      <c r="C260" s="49"/>
      <c r="D260" s="41" t="s">
        <v>215</v>
      </c>
      <c r="E260" s="46">
        <v>4.0999999999999996</v>
      </c>
      <c r="F260" s="41">
        <v>1579</v>
      </c>
      <c r="G260" s="41"/>
      <c r="H260" s="41" t="s">
        <v>218</v>
      </c>
      <c r="I260" s="46" t="s">
        <v>132</v>
      </c>
      <c r="J260" s="41">
        <v>59.4</v>
      </c>
      <c r="K260" s="41"/>
      <c r="L260" s="41"/>
    </row>
    <row r="261" spans="1:12" x14ac:dyDescent="0.35">
      <c r="A261" s="46">
        <v>260</v>
      </c>
      <c r="B261" s="46">
        <v>260</v>
      </c>
      <c r="C261" s="48">
        <v>87</v>
      </c>
      <c r="D261" s="41" t="s">
        <v>215</v>
      </c>
      <c r="E261" s="46">
        <v>4.2</v>
      </c>
      <c r="F261" s="41">
        <v>1580</v>
      </c>
      <c r="G261" s="43" t="s">
        <v>32</v>
      </c>
      <c r="H261" s="41" t="s">
        <v>219</v>
      </c>
      <c r="I261" s="46" t="s">
        <v>132</v>
      </c>
      <c r="J261" s="41">
        <v>52</v>
      </c>
      <c r="K261" s="40">
        <f>26*10^5</f>
        <v>2600000</v>
      </c>
      <c r="L261" s="44">
        <f>LOG10(K261)</f>
        <v>6.4149733479708182</v>
      </c>
    </row>
    <row r="262" spans="1:12" x14ac:dyDescent="0.35">
      <c r="A262" s="46">
        <v>261</v>
      </c>
      <c r="B262" s="46">
        <v>261</v>
      </c>
      <c r="C262" s="48">
        <v>88</v>
      </c>
      <c r="D262" s="41" t="s">
        <v>215</v>
      </c>
      <c r="E262" s="46">
        <v>4.3</v>
      </c>
      <c r="F262" s="41">
        <v>1581</v>
      </c>
      <c r="G262" s="43" t="s">
        <v>38</v>
      </c>
      <c r="H262" s="41" t="s">
        <v>219</v>
      </c>
      <c r="I262" s="46" t="s">
        <v>132</v>
      </c>
      <c r="J262" s="41">
        <v>52</v>
      </c>
      <c r="K262" s="40">
        <f>8.25*10^5</f>
        <v>825000</v>
      </c>
      <c r="L262" s="44">
        <f>LOG10(K262)</f>
        <v>5.9164539485499255</v>
      </c>
    </row>
    <row r="263" spans="1:12" x14ac:dyDescent="0.35">
      <c r="A263" s="46">
        <v>262</v>
      </c>
      <c r="B263" s="46">
        <v>262</v>
      </c>
      <c r="C263" s="49"/>
      <c r="D263" s="41" t="s">
        <v>215</v>
      </c>
      <c r="E263" s="46">
        <v>4.4000000000000004</v>
      </c>
      <c r="F263" s="41">
        <v>1582</v>
      </c>
      <c r="G263" s="41"/>
      <c r="H263" s="41" t="s">
        <v>218</v>
      </c>
      <c r="I263" s="46" t="s">
        <v>132</v>
      </c>
      <c r="J263" s="41">
        <v>48</v>
      </c>
      <c r="K263" s="41"/>
      <c r="L263" s="41"/>
    </row>
    <row r="264" spans="1:12" x14ac:dyDescent="0.35">
      <c r="A264" s="46">
        <v>263</v>
      </c>
      <c r="B264" s="46">
        <v>263</v>
      </c>
      <c r="C264" s="49"/>
      <c r="D264" s="41" t="s">
        <v>215</v>
      </c>
      <c r="E264" s="46">
        <v>4.5</v>
      </c>
      <c r="F264" s="41">
        <v>1583</v>
      </c>
      <c r="G264" s="41"/>
      <c r="H264" s="41" t="s">
        <v>218</v>
      </c>
      <c r="I264" s="46" t="s">
        <v>132</v>
      </c>
      <c r="J264" s="41">
        <v>52.6</v>
      </c>
      <c r="K264" s="41"/>
      <c r="L264" s="41"/>
    </row>
    <row r="265" spans="1:12" x14ac:dyDescent="0.35">
      <c r="A265" s="46">
        <v>264</v>
      </c>
      <c r="B265" s="46">
        <v>264</v>
      </c>
      <c r="C265" s="49"/>
      <c r="D265" s="41" t="s">
        <v>215</v>
      </c>
      <c r="E265" s="46">
        <v>4.5999999999999996</v>
      </c>
      <c r="F265" s="41">
        <v>1584</v>
      </c>
      <c r="G265" s="41"/>
      <c r="H265" s="41" t="s">
        <v>219</v>
      </c>
      <c r="I265" s="46" t="s">
        <v>132</v>
      </c>
      <c r="J265" s="41">
        <v>57</v>
      </c>
      <c r="K265" s="41"/>
      <c r="L265" s="41"/>
    </row>
    <row r="266" spans="1:12" x14ac:dyDescent="0.35">
      <c r="A266" s="46">
        <v>265</v>
      </c>
      <c r="B266" s="46">
        <v>265</v>
      </c>
      <c r="C266" s="49"/>
      <c r="D266" s="41" t="s">
        <v>215</v>
      </c>
      <c r="E266" s="46">
        <v>5.0999999999999996</v>
      </c>
      <c r="F266" s="41">
        <v>1585</v>
      </c>
      <c r="G266" s="41"/>
      <c r="H266" s="41" t="s">
        <v>218</v>
      </c>
      <c r="I266" s="46" t="s">
        <v>132</v>
      </c>
      <c r="J266" s="41">
        <v>48.2</v>
      </c>
      <c r="K266" s="41"/>
      <c r="L266" s="41"/>
    </row>
    <row r="267" spans="1:12" x14ac:dyDescent="0.35">
      <c r="A267" s="46">
        <v>266</v>
      </c>
      <c r="B267" s="46">
        <v>266</v>
      </c>
      <c r="C267" s="48">
        <v>89</v>
      </c>
      <c r="D267" s="41" t="s">
        <v>215</v>
      </c>
      <c r="E267" s="46">
        <v>5.2</v>
      </c>
      <c r="F267" s="41">
        <v>1586</v>
      </c>
      <c r="G267" s="43" t="s">
        <v>33</v>
      </c>
      <c r="H267" s="41" t="s">
        <v>219</v>
      </c>
      <c r="I267" s="46" t="s">
        <v>132</v>
      </c>
      <c r="J267" s="41">
        <v>48</v>
      </c>
      <c r="K267" s="40">
        <f>10*10^5</f>
        <v>1000000</v>
      </c>
      <c r="L267" s="44">
        <f>LOG10(K267)</f>
        <v>6</v>
      </c>
    </row>
    <row r="268" spans="1:12" x14ac:dyDescent="0.35">
      <c r="A268" s="46">
        <v>267</v>
      </c>
      <c r="B268" s="46">
        <v>267</v>
      </c>
      <c r="C268" s="48">
        <v>90</v>
      </c>
      <c r="D268" s="41" t="s">
        <v>215</v>
      </c>
      <c r="E268" s="46">
        <v>5.3</v>
      </c>
      <c r="F268" s="41">
        <v>1587</v>
      </c>
      <c r="G268" s="43" t="s">
        <v>42</v>
      </c>
      <c r="H268" s="41" t="s">
        <v>218</v>
      </c>
      <c r="I268" s="46" t="s">
        <v>132</v>
      </c>
      <c r="J268" s="41">
        <v>59</v>
      </c>
      <c r="K268" s="40">
        <f>2*10^5</f>
        <v>200000</v>
      </c>
      <c r="L268" s="44">
        <f>LOG10(K268)</f>
        <v>5.3010299956639813</v>
      </c>
    </row>
    <row r="269" spans="1:12" x14ac:dyDescent="0.35">
      <c r="A269" s="46">
        <v>268</v>
      </c>
      <c r="B269" s="46">
        <v>268</v>
      </c>
      <c r="C269" s="49"/>
      <c r="D269" s="41" t="s">
        <v>215</v>
      </c>
      <c r="E269" s="46">
        <v>5.4</v>
      </c>
      <c r="F269" s="41">
        <v>1588</v>
      </c>
      <c r="G269" s="41"/>
      <c r="H269" s="41" t="s">
        <v>218</v>
      </c>
      <c r="I269" s="46" t="s">
        <v>132</v>
      </c>
      <c r="J269" s="41">
        <v>54</v>
      </c>
      <c r="K269" s="41"/>
      <c r="L269" s="41"/>
    </row>
    <row r="270" spans="1:12" x14ac:dyDescent="0.35">
      <c r="A270" s="46">
        <v>269</v>
      </c>
      <c r="B270" s="46">
        <v>269</v>
      </c>
      <c r="C270" s="49"/>
      <c r="D270" s="41" t="s">
        <v>215</v>
      </c>
      <c r="E270" s="46">
        <v>5.5</v>
      </c>
      <c r="F270" s="41">
        <v>1589</v>
      </c>
      <c r="G270" s="41"/>
      <c r="H270" s="41" t="s">
        <v>218</v>
      </c>
      <c r="I270" s="46" t="s">
        <v>132</v>
      </c>
      <c r="J270" s="41">
        <v>59.7</v>
      </c>
      <c r="K270" s="41"/>
      <c r="L270" s="41"/>
    </row>
    <row r="271" spans="1:12" x14ac:dyDescent="0.35">
      <c r="A271" s="46">
        <v>270</v>
      </c>
      <c r="B271" s="46">
        <v>270</v>
      </c>
      <c r="C271" s="49"/>
      <c r="D271" s="41" t="s">
        <v>215</v>
      </c>
      <c r="E271" s="46">
        <v>5.6</v>
      </c>
      <c r="F271" s="41">
        <v>1590</v>
      </c>
      <c r="G271" s="41"/>
      <c r="H271" s="41" t="s">
        <v>218</v>
      </c>
      <c r="I271" s="46" t="s">
        <v>132</v>
      </c>
      <c r="J271" s="41">
        <v>59.8</v>
      </c>
      <c r="K271" s="41"/>
      <c r="L271" s="41"/>
    </row>
    <row r="272" spans="1:12" s="15" customFormat="1" x14ac:dyDescent="0.35">
      <c r="A272" s="46">
        <v>271</v>
      </c>
      <c r="B272" s="46">
        <v>1</v>
      </c>
      <c r="C272" s="48">
        <v>1</v>
      </c>
      <c r="D272" s="41" t="s">
        <v>213</v>
      </c>
      <c r="E272" s="46">
        <v>1.1000000000000001</v>
      </c>
      <c r="F272" s="41">
        <v>1501</v>
      </c>
      <c r="G272" s="43" t="s">
        <v>13</v>
      </c>
      <c r="H272" s="41" t="s">
        <v>219</v>
      </c>
      <c r="I272" s="46" t="s">
        <v>166</v>
      </c>
      <c r="J272" s="41">
        <v>83.1</v>
      </c>
      <c r="K272" s="43"/>
      <c r="L272" s="44"/>
    </row>
    <row r="273" spans="1:12" s="15" customFormat="1" x14ac:dyDescent="0.35">
      <c r="A273" s="46">
        <v>272</v>
      </c>
      <c r="B273" s="46">
        <v>2</v>
      </c>
      <c r="C273" s="49"/>
      <c r="D273" s="41" t="s">
        <v>213</v>
      </c>
      <c r="E273" s="46">
        <v>1.2</v>
      </c>
      <c r="F273" s="41">
        <v>1502</v>
      </c>
      <c r="G273" s="41"/>
      <c r="H273" s="41" t="s">
        <v>218</v>
      </c>
      <c r="I273" s="46" t="s">
        <v>166</v>
      </c>
      <c r="J273" s="41">
        <v>78.5</v>
      </c>
      <c r="K273" s="41"/>
      <c r="L273" s="41"/>
    </row>
    <row r="274" spans="1:12" s="15" customFormat="1" x14ac:dyDescent="0.35">
      <c r="A274" s="46">
        <v>273</v>
      </c>
      <c r="B274" s="46">
        <v>3</v>
      </c>
      <c r="C274" s="49"/>
      <c r="D274" s="41" t="s">
        <v>213</v>
      </c>
      <c r="E274" s="46">
        <v>1.3</v>
      </c>
      <c r="F274" s="41">
        <v>1503</v>
      </c>
      <c r="G274" s="41"/>
      <c r="H274" s="41" t="s">
        <v>219</v>
      </c>
      <c r="I274" s="46" t="s">
        <v>166</v>
      </c>
      <c r="J274" s="41">
        <v>86.1</v>
      </c>
      <c r="K274" s="41"/>
      <c r="L274" s="41"/>
    </row>
    <row r="275" spans="1:12" s="15" customFormat="1" x14ac:dyDescent="0.35">
      <c r="A275" s="46">
        <v>274</v>
      </c>
      <c r="B275" s="46">
        <v>4</v>
      </c>
      <c r="C275" s="49"/>
      <c r="D275" s="41" t="s">
        <v>213</v>
      </c>
      <c r="E275" s="46">
        <v>1.4</v>
      </c>
      <c r="F275" s="41">
        <v>1504</v>
      </c>
      <c r="G275" s="41"/>
      <c r="H275" s="41" t="s">
        <v>218</v>
      </c>
      <c r="I275" s="46" t="s">
        <v>166</v>
      </c>
      <c r="J275" s="41">
        <v>89.8</v>
      </c>
      <c r="K275" s="41"/>
      <c r="L275" s="41"/>
    </row>
    <row r="276" spans="1:12" s="15" customFormat="1" x14ac:dyDescent="0.35">
      <c r="A276" s="46">
        <v>275</v>
      </c>
      <c r="B276" s="46">
        <v>5</v>
      </c>
      <c r="C276" s="49"/>
      <c r="D276" s="41" t="s">
        <v>213</v>
      </c>
      <c r="E276" s="46">
        <v>1.5</v>
      </c>
      <c r="F276" s="41">
        <v>1505</v>
      </c>
      <c r="G276" s="41"/>
      <c r="H276" s="41" t="s">
        <v>218</v>
      </c>
      <c r="I276" s="46" t="s">
        <v>166</v>
      </c>
      <c r="J276" s="41">
        <v>83.5</v>
      </c>
      <c r="K276" s="41"/>
      <c r="L276" s="41"/>
    </row>
    <row r="277" spans="1:12" s="15" customFormat="1" x14ac:dyDescent="0.35">
      <c r="A277" s="46">
        <v>276</v>
      </c>
      <c r="B277" s="46">
        <v>6</v>
      </c>
      <c r="C277" s="48">
        <v>2</v>
      </c>
      <c r="D277" s="41" t="s">
        <v>213</v>
      </c>
      <c r="E277" s="46">
        <v>1.6</v>
      </c>
      <c r="F277" s="41">
        <v>1506</v>
      </c>
      <c r="G277" s="43" t="s">
        <v>18</v>
      </c>
      <c r="H277" s="41" t="s">
        <v>219</v>
      </c>
      <c r="I277" s="46" t="s">
        <v>166</v>
      </c>
      <c r="J277" s="41">
        <v>73.7</v>
      </c>
      <c r="K277" s="43"/>
      <c r="L277" s="44"/>
    </row>
    <row r="278" spans="1:12" s="16" customFormat="1" x14ac:dyDescent="0.35">
      <c r="A278" s="46">
        <v>277</v>
      </c>
      <c r="B278" s="46">
        <v>7</v>
      </c>
      <c r="C278" s="49"/>
      <c r="D278" s="41" t="s">
        <v>213</v>
      </c>
      <c r="E278" s="46">
        <v>2.1</v>
      </c>
      <c r="F278" s="41">
        <v>1507</v>
      </c>
      <c r="G278" s="41"/>
      <c r="H278" s="41" t="s">
        <v>218</v>
      </c>
      <c r="I278" s="46" t="s">
        <v>166</v>
      </c>
      <c r="J278" s="41">
        <v>89</v>
      </c>
      <c r="K278" s="41"/>
      <c r="L278" s="41"/>
    </row>
    <row r="279" spans="1:12" s="15" customFormat="1" x14ac:dyDescent="0.35">
      <c r="A279" s="46">
        <v>278</v>
      </c>
      <c r="B279" s="46">
        <v>8</v>
      </c>
      <c r="C279" s="48">
        <v>3</v>
      </c>
      <c r="D279" s="41" t="s">
        <v>213</v>
      </c>
      <c r="E279" s="46">
        <v>2.2000000000000002</v>
      </c>
      <c r="F279" s="41">
        <v>1508</v>
      </c>
      <c r="G279" s="43" t="s">
        <v>14</v>
      </c>
      <c r="H279" s="41" t="s">
        <v>218</v>
      </c>
      <c r="I279" s="46" t="s">
        <v>166</v>
      </c>
      <c r="J279" s="41">
        <v>89.2</v>
      </c>
      <c r="K279" s="43"/>
      <c r="L279" s="44"/>
    </row>
    <row r="280" spans="1:12" s="15" customFormat="1" x14ac:dyDescent="0.35">
      <c r="A280" s="46">
        <v>279</v>
      </c>
      <c r="B280" s="46">
        <v>9</v>
      </c>
      <c r="C280" s="48">
        <v>4</v>
      </c>
      <c r="D280" s="41" t="s">
        <v>213</v>
      </c>
      <c r="E280" s="46">
        <v>2.2999999999999998</v>
      </c>
      <c r="F280" s="41">
        <v>1509</v>
      </c>
      <c r="G280" s="43" t="s">
        <v>15</v>
      </c>
      <c r="H280" s="41" t="s">
        <v>219</v>
      </c>
      <c r="I280" s="46" t="s">
        <v>166</v>
      </c>
      <c r="J280" s="41">
        <v>84</v>
      </c>
      <c r="K280" s="43"/>
      <c r="L280" s="44"/>
    </row>
    <row r="281" spans="1:12" s="15" customFormat="1" x14ac:dyDescent="0.35">
      <c r="A281" s="46">
        <v>280</v>
      </c>
      <c r="B281" s="46">
        <v>10</v>
      </c>
      <c r="C281" s="49"/>
      <c r="D281" s="41" t="s">
        <v>213</v>
      </c>
      <c r="E281" s="46">
        <v>2.4</v>
      </c>
      <c r="F281" s="41">
        <v>1510</v>
      </c>
      <c r="G281" s="41"/>
      <c r="H281" s="41" t="s">
        <v>219</v>
      </c>
      <c r="I281" s="46" t="s">
        <v>166</v>
      </c>
      <c r="J281" s="41">
        <v>82.7</v>
      </c>
      <c r="K281" s="41"/>
      <c r="L281" s="41"/>
    </row>
    <row r="282" spans="1:12" s="15" customFormat="1" x14ac:dyDescent="0.35">
      <c r="A282" s="46">
        <v>281</v>
      </c>
      <c r="B282" s="46">
        <v>11</v>
      </c>
      <c r="C282" s="49"/>
      <c r="D282" s="41" t="s">
        <v>213</v>
      </c>
      <c r="E282" s="46">
        <v>2.5</v>
      </c>
      <c r="F282" s="41">
        <v>1511</v>
      </c>
      <c r="G282" s="41"/>
      <c r="H282" s="41" t="s">
        <v>219</v>
      </c>
      <c r="I282" s="46" t="s">
        <v>166</v>
      </c>
      <c r="J282" s="41">
        <v>76.3</v>
      </c>
      <c r="K282" s="41"/>
      <c r="L282" s="41"/>
    </row>
    <row r="283" spans="1:12" s="15" customFormat="1" x14ac:dyDescent="0.35">
      <c r="A283" s="46">
        <v>282</v>
      </c>
      <c r="B283" s="46">
        <v>12</v>
      </c>
      <c r="C283" s="49"/>
      <c r="D283" s="41" t="s">
        <v>213</v>
      </c>
      <c r="E283" s="46">
        <v>2.6</v>
      </c>
      <c r="F283" s="41">
        <v>1512</v>
      </c>
      <c r="G283" s="41"/>
      <c r="H283" s="41" t="s">
        <v>218</v>
      </c>
      <c r="I283" s="46" t="s">
        <v>166</v>
      </c>
      <c r="J283" s="41">
        <v>78.599999999999994</v>
      </c>
      <c r="K283" s="41"/>
      <c r="L283" s="41"/>
    </row>
    <row r="284" spans="1:12" s="15" customFormat="1" x14ac:dyDescent="0.35">
      <c r="A284" s="46">
        <v>283</v>
      </c>
      <c r="B284" s="46">
        <v>13</v>
      </c>
      <c r="C284" s="49"/>
      <c r="D284" s="41" t="s">
        <v>213</v>
      </c>
      <c r="E284" s="46">
        <v>3.1</v>
      </c>
      <c r="F284" s="41">
        <v>1513</v>
      </c>
      <c r="G284" s="41"/>
      <c r="H284" s="41" t="s">
        <v>218</v>
      </c>
      <c r="I284" s="46" t="s">
        <v>166</v>
      </c>
      <c r="J284" s="41">
        <v>89.3</v>
      </c>
      <c r="K284" s="41"/>
      <c r="L284" s="41"/>
    </row>
    <row r="285" spans="1:12" s="15" customFormat="1" x14ac:dyDescent="0.35">
      <c r="A285" s="46">
        <v>284</v>
      </c>
      <c r="B285" s="46">
        <v>14</v>
      </c>
      <c r="C285" s="49"/>
      <c r="D285" s="41" t="s">
        <v>213</v>
      </c>
      <c r="E285" s="46">
        <v>3.2</v>
      </c>
      <c r="F285" s="41">
        <v>1514</v>
      </c>
      <c r="G285" s="41"/>
      <c r="H285" s="41" t="s">
        <v>219</v>
      </c>
      <c r="I285" s="46" t="s">
        <v>166</v>
      </c>
      <c r="J285" s="41">
        <v>86.1</v>
      </c>
      <c r="K285" s="41"/>
      <c r="L285" s="41"/>
    </row>
    <row r="286" spans="1:12" s="15" customFormat="1" x14ac:dyDescent="0.35">
      <c r="A286" s="46">
        <v>285</v>
      </c>
      <c r="B286" s="46">
        <v>15</v>
      </c>
      <c r="C286" s="48">
        <v>5</v>
      </c>
      <c r="D286" s="41" t="s">
        <v>213</v>
      </c>
      <c r="E286" s="46">
        <v>3.3</v>
      </c>
      <c r="F286" s="41">
        <v>1515</v>
      </c>
      <c r="G286" s="43" t="s">
        <v>16</v>
      </c>
      <c r="H286" s="41" t="s">
        <v>219</v>
      </c>
      <c r="I286" s="46" t="s">
        <v>166</v>
      </c>
      <c r="J286" s="41">
        <v>73.400000000000006</v>
      </c>
      <c r="K286" s="43"/>
      <c r="L286" s="44"/>
    </row>
    <row r="287" spans="1:12" s="15" customFormat="1" x14ac:dyDescent="0.35">
      <c r="A287" s="46">
        <v>286</v>
      </c>
      <c r="B287" s="46">
        <v>16</v>
      </c>
      <c r="C287" s="48">
        <f>C286+1</f>
        <v>6</v>
      </c>
      <c r="D287" s="41" t="s">
        <v>213</v>
      </c>
      <c r="E287" s="46">
        <v>3.4</v>
      </c>
      <c r="F287" s="41">
        <v>1517</v>
      </c>
      <c r="G287" s="43" t="s">
        <v>20</v>
      </c>
      <c r="H287" s="41" t="s">
        <v>219</v>
      </c>
      <c r="I287" s="46" t="s">
        <v>166</v>
      </c>
      <c r="J287" s="41">
        <v>71.599999999999994</v>
      </c>
      <c r="K287" s="43"/>
      <c r="L287" s="44"/>
    </row>
    <row r="288" spans="1:12" s="15" customFormat="1" x14ac:dyDescent="0.35">
      <c r="A288" s="46">
        <v>287</v>
      </c>
      <c r="B288" s="46">
        <v>17</v>
      </c>
      <c r="C288" s="49"/>
      <c r="D288" s="41" t="s">
        <v>213</v>
      </c>
      <c r="E288" s="46">
        <v>3.5</v>
      </c>
      <c r="F288" s="41">
        <v>1518</v>
      </c>
      <c r="G288" s="41"/>
      <c r="H288" s="41" t="s">
        <v>218</v>
      </c>
      <c r="I288" s="46" t="s">
        <v>166</v>
      </c>
      <c r="J288" s="41">
        <v>84.1</v>
      </c>
      <c r="K288" s="41"/>
      <c r="L288" s="41"/>
    </row>
    <row r="289" spans="1:12" s="15" customFormat="1" x14ac:dyDescent="0.35">
      <c r="A289" s="46">
        <v>288</v>
      </c>
      <c r="B289" s="46">
        <v>18</v>
      </c>
      <c r="C289" s="49"/>
      <c r="D289" s="41" t="s">
        <v>213</v>
      </c>
      <c r="E289" s="46">
        <v>3.6</v>
      </c>
      <c r="F289" s="41">
        <v>1686</v>
      </c>
      <c r="G289" s="41"/>
      <c r="H289" s="41" t="s">
        <v>219</v>
      </c>
      <c r="I289" s="46" t="s">
        <v>166</v>
      </c>
      <c r="J289" s="41">
        <v>83.2</v>
      </c>
      <c r="K289" s="41"/>
      <c r="L289" s="41"/>
    </row>
    <row r="290" spans="1:12" s="15" customFormat="1" x14ac:dyDescent="0.35">
      <c r="A290" s="46">
        <v>289</v>
      </c>
      <c r="B290" s="46">
        <v>19</v>
      </c>
      <c r="C290" s="49"/>
      <c r="D290" s="41" t="s">
        <v>213</v>
      </c>
      <c r="E290" s="46">
        <v>4.0999999999999996</v>
      </c>
      <c r="F290" s="41">
        <v>1519</v>
      </c>
      <c r="G290" s="41"/>
      <c r="H290" s="41" t="s">
        <v>219</v>
      </c>
      <c r="I290" s="46" t="s">
        <v>166</v>
      </c>
      <c r="J290" s="41">
        <v>77.099999999999994</v>
      </c>
      <c r="K290" s="41"/>
      <c r="L290" s="41"/>
    </row>
    <row r="291" spans="1:12" s="15" customFormat="1" x14ac:dyDescent="0.35">
      <c r="A291" s="46">
        <v>290</v>
      </c>
      <c r="B291" s="46">
        <v>20</v>
      </c>
      <c r="C291" s="49"/>
      <c r="D291" s="41" t="s">
        <v>213</v>
      </c>
      <c r="E291" s="46">
        <v>4.2</v>
      </c>
      <c r="F291" s="41">
        <v>1520</v>
      </c>
      <c r="G291" s="41"/>
      <c r="H291" s="41" t="s">
        <v>218</v>
      </c>
      <c r="I291" s="46" t="s">
        <v>166</v>
      </c>
      <c r="J291" s="41">
        <v>81</v>
      </c>
      <c r="K291" s="41"/>
      <c r="L291" s="41"/>
    </row>
    <row r="292" spans="1:12" s="15" customFormat="1" x14ac:dyDescent="0.35">
      <c r="A292" s="46">
        <v>291</v>
      </c>
      <c r="B292" s="46">
        <v>21</v>
      </c>
      <c r="C292" s="48">
        <v>7</v>
      </c>
      <c r="D292" s="41" t="s">
        <v>213</v>
      </c>
      <c r="E292" s="46">
        <v>4.3</v>
      </c>
      <c r="F292" s="41">
        <v>1521</v>
      </c>
      <c r="G292" s="43" t="s">
        <v>17</v>
      </c>
      <c r="H292" s="41" t="s">
        <v>219</v>
      </c>
      <c r="I292" s="46" t="s">
        <v>166</v>
      </c>
      <c r="J292" s="41">
        <v>78.2</v>
      </c>
      <c r="K292" s="43"/>
      <c r="L292" s="44"/>
    </row>
    <row r="293" spans="1:12" s="15" customFormat="1" x14ac:dyDescent="0.35">
      <c r="A293" s="46">
        <v>292</v>
      </c>
      <c r="B293" s="46">
        <v>22</v>
      </c>
      <c r="C293" s="48">
        <v>8</v>
      </c>
      <c r="D293" s="41" t="s">
        <v>213</v>
      </c>
      <c r="E293" s="46">
        <v>4.4000000000000004</v>
      </c>
      <c r="F293" s="41">
        <v>1522</v>
      </c>
      <c r="G293" s="43" t="s">
        <v>21</v>
      </c>
      <c r="H293" s="41" t="s">
        <v>218</v>
      </c>
      <c r="I293" s="46" t="s">
        <v>166</v>
      </c>
      <c r="J293" s="41">
        <v>80.3</v>
      </c>
      <c r="K293" s="43"/>
      <c r="L293" s="44"/>
    </row>
    <row r="294" spans="1:12" s="15" customFormat="1" x14ac:dyDescent="0.35">
      <c r="A294" s="46">
        <v>293</v>
      </c>
      <c r="B294" s="46">
        <v>23</v>
      </c>
      <c r="C294" s="49"/>
      <c r="D294" s="41" t="s">
        <v>213</v>
      </c>
      <c r="E294" s="46">
        <v>4.5</v>
      </c>
      <c r="F294" s="41">
        <v>1523</v>
      </c>
      <c r="G294" s="41"/>
      <c r="H294" s="41" t="s">
        <v>218</v>
      </c>
      <c r="I294" s="46" t="s">
        <v>166</v>
      </c>
      <c r="J294" s="41">
        <v>84.1</v>
      </c>
      <c r="K294" s="41"/>
      <c r="L294" s="41"/>
    </row>
    <row r="295" spans="1:12" s="15" customFormat="1" x14ac:dyDescent="0.35">
      <c r="A295" s="46">
        <v>294</v>
      </c>
      <c r="B295" s="46">
        <v>24</v>
      </c>
      <c r="C295" s="49"/>
      <c r="D295" s="41" t="s">
        <v>213</v>
      </c>
      <c r="E295" s="46">
        <v>4.5999999999999996</v>
      </c>
      <c r="F295" s="41">
        <v>1524</v>
      </c>
      <c r="G295" s="41"/>
      <c r="H295" s="41" t="s">
        <v>219</v>
      </c>
      <c r="I295" s="46" t="s">
        <v>166</v>
      </c>
      <c r="J295" s="41">
        <v>72.900000000000006</v>
      </c>
      <c r="K295" s="41"/>
      <c r="L295" s="41"/>
    </row>
    <row r="296" spans="1:12" s="15" customFormat="1" x14ac:dyDescent="0.35">
      <c r="A296" s="46">
        <v>295</v>
      </c>
      <c r="B296" s="46">
        <v>25</v>
      </c>
      <c r="C296" s="49"/>
      <c r="D296" s="41" t="s">
        <v>213</v>
      </c>
      <c r="E296" s="46">
        <v>5.0999999999999996</v>
      </c>
      <c r="F296" s="41">
        <v>1525</v>
      </c>
      <c r="G296" s="41"/>
      <c r="H296" s="41" t="s">
        <v>219</v>
      </c>
      <c r="I296" s="46" t="s">
        <v>166</v>
      </c>
      <c r="J296" s="41">
        <v>70.599999999999994</v>
      </c>
      <c r="K296" s="41"/>
      <c r="L296" s="41"/>
    </row>
    <row r="297" spans="1:12" s="15" customFormat="1" x14ac:dyDescent="0.35">
      <c r="A297" s="46">
        <v>296</v>
      </c>
      <c r="B297" s="46">
        <v>26</v>
      </c>
      <c r="C297" s="49"/>
      <c r="D297" s="41" t="s">
        <v>213</v>
      </c>
      <c r="E297" s="46">
        <v>5.2</v>
      </c>
      <c r="F297" s="41">
        <v>1526</v>
      </c>
      <c r="G297" s="41"/>
      <c r="H297" s="41" t="s">
        <v>218</v>
      </c>
      <c r="I297" s="46" t="s">
        <v>166</v>
      </c>
      <c r="J297" s="41">
        <v>89.9</v>
      </c>
      <c r="K297" s="41"/>
      <c r="L297" s="41"/>
    </row>
    <row r="298" spans="1:12" s="15" customFormat="1" x14ac:dyDescent="0.35">
      <c r="A298" s="46">
        <v>297</v>
      </c>
      <c r="B298" s="46">
        <v>27</v>
      </c>
      <c r="C298" s="49"/>
      <c r="D298" s="41" t="s">
        <v>213</v>
      </c>
      <c r="E298" s="46">
        <v>5.3</v>
      </c>
      <c r="F298" s="41">
        <v>1527</v>
      </c>
      <c r="G298" s="41"/>
      <c r="H298" s="41" t="s">
        <v>218</v>
      </c>
      <c r="I298" s="46" t="s">
        <v>166</v>
      </c>
      <c r="J298" s="41">
        <v>89.7</v>
      </c>
      <c r="K298" s="41"/>
      <c r="L298" s="41"/>
    </row>
    <row r="299" spans="1:12" s="15" customFormat="1" x14ac:dyDescent="0.35">
      <c r="A299" s="46">
        <v>298</v>
      </c>
      <c r="B299" s="46">
        <v>28</v>
      </c>
      <c r="C299" s="48">
        <v>9</v>
      </c>
      <c r="D299" s="41" t="s">
        <v>213</v>
      </c>
      <c r="E299" s="46">
        <v>5.4</v>
      </c>
      <c r="F299" s="41">
        <v>1528</v>
      </c>
      <c r="G299" s="43" t="s">
        <v>23</v>
      </c>
      <c r="H299" s="41" t="s">
        <v>218</v>
      </c>
      <c r="I299" s="46" t="s">
        <v>166</v>
      </c>
      <c r="J299" s="41">
        <v>89.8</v>
      </c>
      <c r="K299" s="43"/>
      <c r="L299" s="44"/>
    </row>
    <row r="300" spans="1:12" s="15" customFormat="1" x14ac:dyDescent="0.35">
      <c r="A300" s="46">
        <v>299</v>
      </c>
      <c r="B300" s="46">
        <v>29</v>
      </c>
      <c r="C300" s="48">
        <v>10</v>
      </c>
      <c r="D300" s="41" t="s">
        <v>213</v>
      </c>
      <c r="E300" s="46">
        <v>5.5</v>
      </c>
      <c r="F300" s="41">
        <v>1529</v>
      </c>
      <c r="G300" s="43" t="s">
        <v>26</v>
      </c>
      <c r="H300" s="41" t="s">
        <v>218</v>
      </c>
      <c r="I300" s="46" t="s">
        <v>166</v>
      </c>
      <c r="J300" s="41">
        <v>85</v>
      </c>
      <c r="K300" s="43"/>
      <c r="L300" s="44"/>
    </row>
    <row r="301" spans="1:12" s="15" customFormat="1" x14ac:dyDescent="0.35">
      <c r="A301" s="46">
        <v>300</v>
      </c>
      <c r="B301" s="46">
        <v>30</v>
      </c>
      <c r="C301" s="49"/>
      <c r="D301" s="41" t="s">
        <v>213</v>
      </c>
      <c r="E301" s="46">
        <v>5.6</v>
      </c>
      <c r="F301" s="41">
        <v>1531</v>
      </c>
      <c r="G301" s="41"/>
      <c r="H301" s="41" t="s">
        <v>218</v>
      </c>
      <c r="I301" s="46" t="s">
        <v>166</v>
      </c>
      <c r="J301" s="41">
        <v>72.099999999999994</v>
      </c>
      <c r="K301" s="41"/>
      <c r="L301" s="41"/>
    </row>
    <row r="302" spans="1:12" s="17" customFormat="1" x14ac:dyDescent="0.35">
      <c r="A302" s="46">
        <v>301</v>
      </c>
      <c r="B302" s="46">
        <v>31</v>
      </c>
      <c r="C302" s="48">
        <v>11</v>
      </c>
      <c r="D302" s="41" t="s">
        <v>214</v>
      </c>
      <c r="E302" s="46">
        <v>1.1000000000000001</v>
      </c>
      <c r="F302" s="41">
        <v>1530</v>
      </c>
      <c r="G302" s="43" t="s">
        <v>25</v>
      </c>
      <c r="H302" s="41" t="s">
        <v>218</v>
      </c>
      <c r="I302" s="46" t="s">
        <v>166</v>
      </c>
      <c r="J302" s="41">
        <v>79.3</v>
      </c>
      <c r="K302" s="43"/>
      <c r="L302" s="44"/>
    </row>
    <row r="303" spans="1:12" s="17" customFormat="1" x14ac:dyDescent="0.35">
      <c r="A303" s="46">
        <v>302</v>
      </c>
      <c r="B303" s="46">
        <v>32</v>
      </c>
      <c r="C303" s="49"/>
      <c r="D303" s="41" t="s">
        <v>214</v>
      </c>
      <c r="E303" s="46">
        <v>1.2</v>
      </c>
      <c r="F303" s="41">
        <v>1532</v>
      </c>
      <c r="G303" s="41"/>
      <c r="H303" s="41" t="s">
        <v>218</v>
      </c>
      <c r="I303" s="46" t="s">
        <v>166</v>
      </c>
      <c r="J303" s="41">
        <v>76.599999999999994</v>
      </c>
      <c r="K303" s="41"/>
      <c r="L303" s="41"/>
    </row>
    <row r="304" spans="1:12" s="17" customFormat="1" x14ac:dyDescent="0.35">
      <c r="A304" s="46">
        <v>303</v>
      </c>
      <c r="B304" s="46">
        <v>33</v>
      </c>
      <c r="C304" s="48">
        <v>12</v>
      </c>
      <c r="D304" s="41" t="s">
        <v>214</v>
      </c>
      <c r="E304" s="46">
        <v>1.3</v>
      </c>
      <c r="F304" s="41">
        <v>1533</v>
      </c>
      <c r="G304" s="43" t="s">
        <v>27</v>
      </c>
      <c r="H304" s="41" t="s">
        <v>219</v>
      </c>
      <c r="I304" s="46" t="s">
        <v>166</v>
      </c>
      <c r="J304" s="41">
        <v>85</v>
      </c>
      <c r="K304" s="43"/>
      <c r="L304" s="44"/>
    </row>
    <row r="305" spans="1:12" s="17" customFormat="1" x14ac:dyDescent="0.35">
      <c r="A305" s="46">
        <v>304</v>
      </c>
      <c r="B305" s="46">
        <v>34</v>
      </c>
      <c r="C305" s="49"/>
      <c r="D305" s="41" t="s">
        <v>214</v>
      </c>
      <c r="E305" s="46">
        <v>1.4</v>
      </c>
      <c r="F305" s="41">
        <v>1534</v>
      </c>
      <c r="G305" s="41"/>
      <c r="H305" s="41" t="s">
        <v>218</v>
      </c>
      <c r="I305" s="46" t="s">
        <v>166</v>
      </c>
      <c r="J305" s="41">
        <v>80.2</v>
      </c>
      <c r="K305" s="41"/>
      <c r="L305" s="41"/>
    </row>
    <row r="306" spans="1:12" s="17" customFormat="1" x14ac:dyDescent="0.35">
      <c r="A306" s="46">
        <v>305</v>
      </c>
      <c r="B306" s="46">
        <v>35</v>
      </c>
      <c r="C306" s="49"/>
      <c r="D306" s="41" t="s">
        <v>214</v>
      </c>
      <c r="E306" s="46">
        <v>1.5</v>
      </c>
      <c r="F306" s="41">
        <v>1535</v>
      </c>
      <c r="G306" s="41"/>
      <c r="H306" s="41" t="s">
        <v>219</v>
      </c>
      <c r="I306" s="46" t="s">
        <v>166</v>
      </c>
      <c r="J306" s="41">
        <v>89.9</v>
      </c>
      <c r="K306" s="41"/>
      <c r="L306" s="41"/>
    </row>
    <row r="307" spans="1:12" s="17" customFormat="1" x14ac:dyDescent="0.35">
      <c r="A307" s="46">
        <v>306</v>
      </c>
      <c r="B307" s="46">
        <v>36</v>
      </c>
      <c r="C307" s="49"/>
      <c r="D307" s="41" t="s">
        <v>214</v>
      </c>
      <c r="E307" s="46">
        <v>1.6</v>
      </c>
      <c r="F307" s="41">
        <v>1536</v>
      </c>
      <c r="G307" s="41"/>
      <c r="H307" s="41" t="s">
        <v>218</v>
      </c>
      <c r="I307" s="46" t="s">
        <v>166</v>
      </c>
      <c r="J307" s="41">
        <v>82.1</v>
      </c>
      <c r="K307" s="41"/>
      <c r="L307" s="41"/>
    </row>
    <row r="308" spans="1:12" s="17" customFormat="1" x14ac:dyDescent="0.35">
      <c r="A308" s="46">
        <v>307</v>
      </c>
      <c r="B308" s="46">
        <v>37</v>
      </c>
      <c r="C308" s="49"/>
      <c r="D308" s="41" t="s">
        <v>214</v>
      </c>
      <c r="E308" s="46">
        <v>2.1</v>
      </c>
      <c r="F308" s="41">
        <v>1537</v>
      </c>
      <c r="G308" s="41"/>
      <c r="H308" s="41" t="s">
        <v>219</v>
      </c>
      <c r="I308" s="46" t="s">
        <v>166</v>
      </c>
      <c r="J308" s="41">
        <v>89.7</v>
      </c>
      <c r="K308" s="41"/>
      <c r="L308" s="41"/>
    </row>
    <row r="309" spans="1:12" s="17" customFormat="1" x14ac:dyDescent="0.35">
      <c r="A309" s="46">
        <v>308</v>
      </c>
      <c r="B309" s="46">
        <v>38</v>
      </c>
      <c r="C309" s="49"/>
      <c r="D309" s="41" t="s">
        <v>214</v>
      </c>
      <c r="E309" s="46">
        <v>2.2000000000000002</v>
      </c>
      <c r="F309" s="41">
        <v>1538</v>
      </c>
      <c r="G309" s="41"/>
      <c r="H309" s="41" t="s">
        <v>219</v>
      </c>
      <c r="I309" s="46" t="s">
        <v>166</v>
      </c>
      <c r="J309" s="41">
        <v>84.3</v>
      </c>
      <c r="K309" s="41"/>
      <c r="L309" s="41"/>
    </row>
    <row r="310" spans="1:12" s="17" customFormat="1" x14ac:dyDescent="0.35">
      <c r="A310" s="46">
        <v>309</v>
      </c>
      <c r="B310" s="46">
        <v>39</v>
      </c>
      <c r="C310" s="48">
        <v>13</v>
      </c>
      <c r="D310" s="41" t="s">
        <v>214</v>
      </c>
      <c r="E310" s="46">
        <v>2.2999999999999998</v>
      </c>
      <c r="F310" s="41">
        <v>1539</v>
      </c>
      <c r="G310" s="43" t="s">
        <v>28</v>
      </c>
      <c r="H310" s="41" t="s">
        <v>218</v>
      </c>
      <c r="I310" s="46" t="s">
        <v>166</v>
      </c>
      <c r="J310" s="41">
        <v>83.1</v>
      </c>
      <c r="K310" s="43"/>
      <c r="L310" s="44"/>
    </row>
    <row r="311" spans="1:12" s="17" customFormat="1" x14ac:dyDescent="0.35">
      <c r="A311" s="46">
        <v>310</v>
      </c>
      <c r="B311" s="46">
        <v>40</v>
      </c>
      <c r="C311" s="48">
        <v>14</v>
      </c>
      <c r="D311" s="41" t="s">
        <v>214</v>
      </c>
      <c r="E311" s="46">
        <v>2.4</v>
      </c>
      <c r="F311" s="41">
        <v>1540</v>
      </c>
      <c r="G311" s="43" t="s">
        <v>19</v>
      </c>
      <c r="H311" s="41" t="s">
        <v>219</v>
      </c>
      <c r="I311" s="46" t="s">
        <v>166</v>
      </c>
      <c r="J311" s="41">
        <v>87</v>
      </c>
      <c r="K311" s="43"/>
      <c r="L311" s="44"/>
    </row>
    <row r="312" spans="1:12" s="17" customFormat="1" x14ac:dyDescent="0.35">
      <c r="A312" s="46">
        <v>311</v>
      </c>
      <c r="B312" s="46">
        <v>41</v>
      </c>
      <c r="C312" s="49"/>
      <c r="D312" s="41" t="s">
        <v>214</v>
      </c>
      <c r="E312" s="46">
        <v>2.5</v>
      </c>
      <c r="F312" s="41">
        <v>1541</v>
      </c>
      <c r="G312" s="41"/>
      <c r="H312" s="41" t="s">
        <v>219</v>
      </c>
      <c r="I312" s="46" t="s">
        <v>166</v>
      </c>
      <c r="J312" s="41">
        <v>89.9</v>
      </c>
      <c r="K312" s="41"/>
      <c r="L312" s="41"/>
    </row>
    <row r="313" spans="1:12" s="17" customFormat="1" x14ac:dyDescent="0.35">
      <c r="A313" s="46">
        <v>312</v>
      </c>
      <c r="B313" s="46">
        <v>42</v>
      </c>
      <c r="C313" s="49"/>
      <c r="D313" s="41" t="s">
        <v>214</v>
      </c>
      <c r="E313" s="46">
        <v>2.6</v>
      </c>
      <c r="F313" s="41">
        <v>1542</v>
      </c>
      <c r="G313" s="41"/>
      <c r="H313" s="41" t="s">
        <v>219</v>
      </c>
      <c r="I313" s="46" t="s">
        <v>166</v>
      </c>
      <c r="J313" s="41">
        <v>83.5</v>
      </c>
      <c r="K313" s="41"/>
      <c r="L313" s="41"/>
    </row>
    <row r="314" spans="1:12" s="17" customFormat="1" x14ac:dyDescent="0.35">
      <c r="A314" s="46">
        <v>313</v>
      </c>
      <c r="B314" s="46">
        <v>43</v>
      </c>
      <c r="C314" s="48">
        <v>15</v>
      </c>
      <c r="D314" s="41" t="s">
        <v>214</v>
      </c>
      <c r="E314" s="46">
        <v>3.1</v>
      </c>
      <c r="F314" s="41">
        <v>1543</v>
      </c>
      <c r="G314" s="43" t="s">
        <v>29</v>
      </c>
      <c r="H314" s="41" t="s">
        <v>218</v>
      </c>
      <c r="I314" s="46" t="s">
        <v>166</v>
      </c>
      <c r="J314" s="41">
        <v>82.1</v>
      </c>
      <c r="K314" s="43"/>
      <c r="L314" s="44"/>
    </row>
    <row r="315" spans="1:12" s="17" customFormat="1" x14ac:dyDescent="0.35">
      <c r="A315" s="46">
        <v>314</v>
      </c>
      <c r="B315" s="46">
        <v>44</v>
      </c>
      <c r="C315" s="49"/>
      <c r="D315" s="41" t="s">
        <v>214</v>
      </c>
      <c r="E315" s="46">
        <v>3.2</v>
      </c>
      <c r="F315" s="41">
        <v>1544</v>
      </c>
      <c r="G315" s="41"/>
      <c r="H315" s="41" t="s">
        <v>219</v>
      </c>
      <c r="I315" s="46" t="s">
        <v>166</v>
      </c>
      <c r="J315" s="41">
        <v>84.4</v>
      </c>
      <c r="K315" s="41"/>
      <c r="L315" s="41"/>
    </row>
    <row r="316" spans="1:12" s="17" customFormat="1" x14ac:dyDescent="0.35">
      <c r="A316" s="46">
        <v>315</v>
      </c>
      <c r="B316" s="46">
        <v>45</v>
      </c>
      <c r="C316" s="49"/>
      <c r="D316" s="41" t="s">
        <v>214</v>
      </c>
      <c r="E316" s="46">
        <v>3.3</v>
      </c>
      <c r="F316" s="41">
        <v>1545</v>
      </c>
      <c r="G316" s="41"/>
      <c r="H316" s="41" t="s">
        <v>218</v>
      </c>
      <c r="I316" s="46" t="s">
        <v>166</v>
      </c>
      <c r="J316" s="41">
        <v>88</v>
      </c>
      <c r="K316" s="41"/>
      <c r="L316" s="41"/>
    </row>
    <row r="317" spans="1:12" s="17" customFormat="1" x14ac:dyDescent="0.35">
      <c r="A317" s="46">
        <v>316</v>
      </c>
      <c r="B317" s="46">
        <v>46</v>
      </c>
      <c r="C317" s="48">
        <v>16</v>
      </c>
      <c r="D317" s="41" t="s">
        <v>214</v>
      </c>
      <c r="E317" s="46">
        <v>3.4</v>
      </c>
      <c r="F317" s="41">
        <v>1546</v>
      </c>
      <c r="G317" s="43" t="s">
        <v>30</v>
      </c>
      <c r="H317" s="41" t="s">
        <v>218</v>
      </c>
      <c r="I317" s="46" t="s">
        <v>166</v>
      </c>
      <c r="J317" s="41">
        <v>89.5</v>
      </c>
      <c r="K317" s="43"/>
      <c r="L317" s="44"/>
    </row>
    <row r="318" spans="1:12" s="17" customFormat="1" x14ac:dyDescent="0.35">
      <c r="A318" s="46">
        <v>317</v>
      </c>
      <c r="B318" s="46">
        <v>47</v>
      </c>
      <c r="C318" s="49"/>
      <c r="D318" s="41" t="s">
        <v>214</v>
      </c>
      <c r="E318" s="46">
        <v>3.5</v>
      </c>
      <c r="F318" s="41">
        <v>1547</v>
      </c>
      <c r="G318" s="41"/>
      <c r="H318" s="41" t="s">
        <v>218</v>
      </c>
      <c r="I318" s="46" t="s">
        <v>166</v>
      </c>
      <c r="J318" s="41">
        <v>89.1</v>
      </c>
      <c r="K318" s="41"/>
      <c r="L318" s="41"/>
    </row>
    <row r="319" spans="1:12" s="17" customFormat="1" x14ac:dyDescent="0.35">
      <c r="A319" s="46">
        <v>318</v>
      </c>
      <c r="B319" s="46">
        <v>48</v>
      </c>
      <c r="C319" s="49"/>
      <c r="D319" s="41" t="s">
        <v>214</v>
      </c>
      <c r="E319" s="46">
        <v>3.6</v>
      </c>
      <c r="F319" s="41">
        <v>1548</v>
      </c>
      <c r="G319" s="41"/>
      <c r="H319" s="41" t="s">
        <v>219</v>
      </c>
      <c r="I319" s="46" t="s">
        <v>166</v>
      </c>
      <c r="J319" s="41">
        <v>85</v>
      </c>
      <c r="K319" s="41"/>
      <c r="L319" s="41"/>
    </row>
    <row r="320" spans="1:12" s="17" customFormat="1" x14ac:dyDescent="0.35">
      <c r="A320" s="46">
        <v>319</v>
      </c>
      <c r="B320" s="46">
        <v>49</v>
      </c>
      <c r="C320" s="49"/>
      <c r="D320" s="41" t="s">
        <v>214</v>
      </c>
      <c r="E320" s="46">
        <v>4.0999999999999996</v>
      </c>
      <c r="F320" s="41">
        <v>1549</v>
      </c>
      <c r="G320" s="41"/>
      <c r="H320" s="41" t="s">
        <v>219</v>
      </c>
      <c r="I320" s="46" t="s">
        <v>166</v>
      </c>
      <c r="J320" s="41">
        <v>85</v>
      </c>
      <c r="K320" s="41"/>
      <c r="L320" s="41"/>
    </row>
    <row r="321" spans="1:12" s="17" customFormat="1" x14ac:dyDescent="0.35">
      <c r="A321" s="46">
        <v>320</v>
      </c>
      <c r="B321" s="46">
        <v>50</v>
      </c>
      <c r="C321" s="48">
        <v>17</v>
      </c>
      <c r="D321" s="41" t="s">
        <v>214</v>
      </c>
      <c r="E321" s="46">
        <v>4.2</v>
      </c>
      <c r="F321" s="41">
        <v>1550</v>
      </c>
      <c r="G321" s="43" t="s">
        <v>31</v>
      </c>
      <c r="H321" s="41" t="s">
        <v>218</v>
      </c>
      <c r="I321" s="46" t="s">
        <v>166</v>
      </c>
      <c r="J321" s="41">
        <v>83.6</v>
      </c>
      <c r="K321" s="43"/>
      <c r="L321" s="44"/>
    </row>
    <row r="322" spans="1:12" s="17" customFormat="1" x14ac:dyDescent="0.35">
      <c r="A322" s="46">
        <v>321</v>
      </c>
      <c r="B322" s="46">
        <v>51</v>
      </c>
      <c r="C322" s="49"/>
      <c r="D322" s="41" t="s">
        <v>214</v>
      </c>
      <c r="E322" s="46">
        <v>4.3</v>
      </c>
      <c r="F322" s="41">
        <v>1551</v>
      </c>
      <c r="G322" s="41"/>
      <c r="H322" s="41" t="s">
        <v>219</v>
      </c>
      <c r="I322" s="46" t="s">
        <v>166</v>
      </c>
      <c r="J322" s="41">
        <v>72.400000000000006</v>
      </c>
      <c r="K322" s="41"/>
      <c r="L322" s="41"/>
    </row>
    <row r="323" spans="1:12" s="17" customFormat="1" x14ac:dyDescent="0.35">
      <c r="A323" s="46">
        <v>322</v>
      </c>
      <c r="B323" s="46">
        <v>52</v>
      </c>
      <c r="C323" s="49"/>
      <c r="D323" s="41" t="s">
        <v>214</v>
      </c>
      <c r="E323" s="46">
        <v>4.4000000000000004</v>
      </c>
      <c r="F323" s="41">
        <v>1552</v>
      </c>
      <c r="G323" s="41"/>
      <c r="H323" s="41" t="s">
        <v>218</v>
      </c>
      <c r="I323" s="46" t="s">
        <v>166</v>
      </c>
      <c r="J323" s="41">
        <v>89.8</v>
      </c>
      <c r="K323" s="41"/>
      <c r="L323" s="41"/>
    </row>
    <row r="324" spans="1:12" s="17" customFormat="1" x14ac:dyDescent="0.35">
      <c r="A324" s="46">
        <v>323</v>
      </c>
      <c r="B324" s="46">
        <v>53</v>
      </c>
      <c r="C324" s="49"/>
      <c r="D324" s="41" t="s">
        <v>214</v>
      </c>
      <c r="E324" s="46">
        <v>4.5</v>
      </c>
      <c r="F324" s="41">
        <v>1553</v>
      </c>
      <c r="G324" s="41"/>
      <c r="H324" s="41" t="s">
        <v>219</v>
      </c>
      <c r="I324" s="46" t="s">
        <v>166</v>
      </c>
      <c r="J324" s="41">
        <v>89.9</v>
      </c>
      <c r="K324" s="41"/>
      <c r="L324" s="41"/>
    </row>
    <row r="325" spans="1:12" s="17" customFormat="1" x14ac:dyDescent="0.35">
      <c r="A325" s="46">
        <v>324</v>
      </c>
      <c r="B325" s="46">
        <v>54</v>
      </c>
      <c r="C325" s="48">
        <v>18</v>
      </c>
      <c r="D325" s="41" t="s">
        <v>214</v>
      </c>
      <c r="E325" s="46">
        <v>4.5999999999999996</v>
      </c>
      <c r="F325" s="41">
        <v>1554</v>
      </c>
      <c r="G325" s="43" t="s">
        <v>22</v>
      </c>
      <c r="H325" s="41" t="s">
        <v>218</v>
      </c>
      <c r="I325" s="46" t="s">
        <v>166</v>
      </c>
      <c r="J325" s="41">
        <v>72.8</v>
      </c>
      <c r="K325" s="43"/>
      <c r="L325" s="44"/>
    </row>
    <row r="326" spans="1:12" s="17" customFormat="1" x14ac:dyDescent="0.35">
      <c r="A326" s="46">
        <v>325</v>
      </c>
      <c r="B326" s="46">
        <v>55</v>
      </c>
      <c r="C326" s="49"/>
      <c r="D326" s="41" t="s">
        <v>214</v>
      </c>
      <c r="E326" s="46">
        <v>5.0999999999999996</v>
      </c>
      <c r="F326" s="41">
        <v>1555</v>
      </c>
      <c r="G326" s="41"/>
      <c r="H326" s="41" t="s">
        <v>219</v>
      </c>
      <c r="I326" s="46" t="s">
        <v>166</v>
      </c>
      <c r="J326" s="41">
        <v>84.7</v>
      </c>
      <c r="K326" s="41"/>
      <c r="L326" s="41"/>
    </row>
    <row r="327" spans="1:12" s="17" customFormat="1" x14ac:dyDescent="0.35">
      <c r="A327" s="46">
        <v>326</v>
      </c>
      <c r="B327" s="46">
        <v>56</v>
      </c>
      <c r="C327" s="48">
        <v>19</v>
      </c>
      <c r="D327" s="41" t="s">
        <v>214</v>
      </c>
      <c r="E327" s="46">
        <v>5.2</v>
      </c>
      <c r="F327" s="41">
        <v>1556</v>
      </c>
      <c r="G327" s="43" t="s">
        <v>34</v>
      </c>
      <c r="H327" s="41" t="s">
        <v>218</v>
      </c>
      <c r="I327" s="46" t="s">
        <v>166</v>
      </c>
      <c r="J327" s="41">
        <v>81.2</v>
      </c>
      <c r="K327" s="43"/>
      <c r="L327" s="44"/>
    </row>
    <row r="328" spans="1:12" s="17" customFormat="1" x14ac:dyDescent="0.35">
      <c r="A328" s="46">
        <v>327</v>
      </c>
      <c r="B328" s="46">
        <v>57</v>
      </c>
      <c r="C328" s="49"/>
      <c r="D328" s="41" t="s">
        <v>214</v>
      </c>
      <c r="E328" s="46">
        <v>5.3</v>
      </c>
      <c r="F328" s="41">
        <v>1557</v>
      </c>
      <c r="G328" s="41"/>
      <c r="H328" s="41" t="s">
        <v>219</v>
      </c>
      <c r="I328" s="46" t="s">
        <v>166</v>
      </c>
      <c r="J328" s="41">
        <v>80.900000000000006</v>
      </c>
      <c r="K328" s="41"/>
      <c r="L328" s="41"/>
    </row>
    <row r="329" spans="1:12" s="17" customFormat="1" x14ac:dyDescent="0.35">
      <c r="A329" s="46">
        <v>328</v>
      </c>
      <c r="B329" s="46">
        <v>58</v>
      </c>
      <c r="C329" s="49"/>
      <c r="D329" s="41" t="s">
        <v>214</v>
      </c>
      <c r="E329" s="46">
        <v>5.4</v>
      </c>
      <c r="F329" s="41">
        <v>1558</v>
      </c>
      <c r="G329" s="41"/>
      <c r="H329" s="41" t="s">
        <v>219</v>
      </c>
      <c r="I329" s="46" t="s">
        <v>166</v>
      </c>
      <c r="J329" s="41">
        <v>83.1</v>
      </c>
      <c r="K329" s="41"/>
      <c r="L329" s="41"/>
    </row>
    <row r="330" spans="1:12" s="17" customFormat="1" x14ac:dyDescent="0.35">
      <c r="A330" s="46">
        <v>329</v>
      </c>
      <c r="B330" s="46">
        <v>59</v>
      </c>
      <c r="C330" s="48">
        <v>20</v>
      </c>
      <c r="D330" s="41" t="s">
        <v>214</v>
      </c>
      <c r="E330" s="46">
        <v>5.5</v>
      </c>
      <c r="F330" s="41">
        <v>1559</v>
      </c>
      <c r="G330" s="43" t="s">
        <v>24</v>
      </c>
      <c r="H330" s="41" t="s">
        <v>218</v>
      </c>
      <c r="I330" s="46" t="s">
        <v>166</v>
      </c>
      <c r="J330" s="41">
        <v>89</v>
      </c>
      <c r="K330" s="43"/>
      <c r="L330" s="44"/>
    </row>
    <row r="331" spans="1:12" s="17" customFormat="1" x14ac:dyDescent="0.35">
      <c r="A331" s="46">
        <v>330</v>
      </c>
      <c r="B331" s="46">
        <v>60</v>
      </c>
      <c r="C331" s="49"/>
      <c r="D331" s="41" t="s">
        <v>214</v>
      </c>
      <c r="E331" s="46">
        <v>5.6</v>
      </c>
      <c r="F331" s="41">
        <v>1560</v>
      </c>
      <c r="G331" s="41"/>
      <c r="H331" s="41" t="s">
        <v>218</v>
      </c>
      <c r="I331" s="46" t="s">
        <v>166</v>
      </c>
      <c r="J331" s="41">
        <v>89.5</v>
      </c>
      <c r="K331" s="41"/>
      <c r="L331" s="41"/>
    </row>
    <row r="332" spans="1:12" x14ac:dyDescent="0.35">
      <c r="A332" s="46">
        <v>331</v>
      </c>
      <c r="B332" s="46">
        <v>61</v>
      </c>
      <c r="C332" s="48">
        <v>21</v>
      </c>
      <c r="D332" s="41" t="s">
        <v>215</v>
      </c>
      <c r="E332" s="46">
        <v>1.1000000000000001</v>
      </c>
      <c r="F332" s="41">
        <v>1561</v>
      </c>
      <c r="G332" s="43" t="s">
        <v>35</v>
      </c>
      <c r="H332" s="41" t="s">
        <v>218</v>
      </c>
      <c r="I332" s="46" t="s">
        <v>166</v>
      </c>
      <c r="J332" s="41">
        <v>81.099999999999994</v>
      </c>
      <c r="K332" s="43"/>
      <c r="L332" s="44"/>
    </row>
    <row r="333" spans="1:12" x14ac:dyDescent="0.35">
      <c r="A333" s="46">
        <v>332</v>
      </c>
      <c r="B333" s="46">
        <v>62</v>
      </c>
      <c r="C333" s="49"/>
      <c r="D333" s="41" t="s">
        <v>215</v>
      </c>
      <c r="E333" s="46">
        <v>1.2</v>
      </c>
      <c r="F333" s="41">
        <v>1562</v>
      </c>
      <c r="G333" s="41"/>
      <c r="H333" s="41" t="s">
        <v>219</v>
      </c>
      <c r="I333" s="46" t="s">
        <v>166</v>
      </c>
      <c r="J333" s="41">
        <v>73.900000000000006</v>
      </c>
      <c r="K333" s="41"/>
      <c r="L333" s="41"/>
    </row>
    <row r="334" spans="1:12" x14ac:dyDescent="0.35">
      <c r="A334" s="46">
        <v>333</v>
      </c>
      <c r="B334" s="46">
        <v>63</v>
      </c>
      <c r="C334" s="48">
        <v>22</v>
      </c>
      <c r="D334" s="41" t="s">
        <v>215</v>
      </c>
      <c r="E334" s="46">
        <v>1.3</v>
      </c>
      <c r="F334" s="41">
        <v>1563</v>
      </c>
      <c r="G334" s="43" t="s">
        <v>36</v>
      </c>
      <c r="H334" s="41" t="s">
        <v>218</v>
      </c>
      <c r="I334" s="46" t="s">
        <v>166</v>
      </c>
      <c r="J334" s="41">
        <v>88</v>
      </c>
      <c r="K334" s="43"/>
      <c r="L334" s="44"/>
    </row>
    <row r="335" spans="1:12" x14ac:dyDescent="0.35">
      <c r="A335" s="46">
        <v>334</v>
      </c>
      <c r="B335" s="46">
        <v>64</v>
      </c>
      <c r="C335" s="49"/>
      <c r="D335" s="41" t="s">
        <v>215</v>
      </c>
      <c r="E335" s="46">
        <v>1.4</v>
      </c>
      <c r="F335" s="41">
        <v>1564</v>
      </c>
      <c r="G335" s="41"/>
      <c r="H335" s="41" t="s">
        <v>219</v>
      </c>
      <c r="I335" s="46" t="s">
        <v>166</v>
      </c>
      <c r="J335" s="41">
        <v>82.3</v>
      </c>
      <c r="K335" s="41"/>
      <c r="L335" s="41"/>
    </row>
    <row r="336" spans="1:12" x14ac:dyDescent="0.35">
      <c r="A336" s="46">
        <v>335</v>
      </c>
      <c r="B336" s="46">
        <v>65</v>
      </c>
      <c r="C336" s="49"/>
      <c r="D336" s="41" t="s">
        <v>215</v>
      </c>
      <c r="E336" s="46">
        <v>1.5</v>
      </c>
      <c r="F336" s="41">
        <v>1565</v>
      </c>
      <c r="G336" s="41"/>
      <c r="H336" s="41" t="s">
        <v>219</v>
      </c>
      <c r="I336" s="46" t="s">
        <v>166</v>
      </c>
      <c r="J336" s="41">
        <v>84.1</v>
      </c>
      <c r="K336" s="41"/>
      <c r="L336" s="41"/>
    </row>
    <row r="337" spans="1:12" x14ac:dyDescent="0.35">
      <c r="A337" s="46">
        <v>336</v>
      </c>
      <c r="B337" s="46">
        <v>66</v>
      </c>
      <c r="C337" s="49"/>
      <c r="D337" s="41" t="s">
        <v>215</v>
      </c>
      <c r="E337" s="46">
        <v>1.6</v>
      </c>
      <c r="F337" s="41">
        <v>1566</v>
      </c>
      <c r="G337" s="41"/>
      <c r="H337" s="41" t="s">
        <v>219</v>
      </c>
      <c r="I337" s="46" t="s">
        <v>166</v>
      </c>
      <c r="J337" s="41">
        <v>80</v>
      </c>
      <c r="K337" s="41"/>
      <c r="L337" s="41"/>
    </row>
    <row r="338" spans="1:12" x14ac:dyDescent="0.35">
      <c r="A338" s="46">
        <v>337</v>
      </c>
      <c r="B338" s="46">
        <v>67</v>
      </c>
      <c r="C338" s="49"/>
      <c r="D338" s="41" t="s">
        <v>215</v>
      </c>
      <c r="E338" s="46">
        <v>2.1</v>
      </c>
      <c r="F338" s="41">
        <v>1567</v>
      </c>
      <c r="G338" s="41"/>
      <c r="H338" s="41" t="s">
        <v>218</v>
      </c>
      <c r="I338" s="46" t="s">
        <v>166</v>
      </c>
      <c r="J338" s="41">
        <v>89.9</v>
      </c>
      <c r="K338" s="41"/>
      <c r="L338" s="41"/>
    </row>
    <row r="339" spans="1:12" x14ac:dyDescent="0.35">
      <c r="A339" s="46">
        <v>338</v>
      </c>
      <c r="B339" s="46">
        <v>68</v>
      </c>
      <c r="C339" s="49"/>
      <c r="D339" s="41" t="s">
        <v>215</v>
      </c>
      <c r="E339" s="46">
        <v>2.2000000000000002</v>
      </c>
      <c r="F339" s="41">
        <v>1568</v>
      </c>
      <c r="G339" s="41"/>
      <c r="H339" s="41" t="s">
        <v>219</v>
      </c>
      <c r="I339" s="46" t="s">
        <v>166</v>
      </c>
      <c r="J339" s="41">
        <v>74</v>
      </c>
      <c r="K339" s="41"/>
      <c r="L339" s="41"/>
    </row>
    <row r="340" spans="1:12" x14ac:dyDescent="0.35">
      <c r="A340" s="46">
        <v>339</v>
      </c>
      <c r="B340" s="46">
        <v>69</v>
      </c>
      <c r="C340" s="48">
        <v>23</v>
      </c>
      <c r="D340" s="41" t="s">
        <v>215</v>
      </c>
      <c r="E340" s="46">
        <v>2.2999999999999998</v>
      </c>
      <c r="F340" s="41">
        <v>1569</v>
      </c>
      <c r="G340" s="43" t="s">
        <v>37</v>
      </c>
      <c r="H340" s="41" t="s">
        <v>219</v>
      </c>
      <c r="I340" s="46" t="s">
        <v>166</v>
      </c>
      <c r="J340" s="41">
        <v>67.8</v>
      </c>
      <c r="K340" s="43"/>
      <c r="L340" s="44"/>
    </row>
    <row r="341" spans="1:12" x14ac:dyDescent="0.35">
      <c r="A341" s="46">
        <v>340</v>
      </c>
      <c r="B341" s="46">
        <v>70</v>
      </c>
      <c r="C341" s="49"/>
      <c r="D341" s="41" t="s">
        <v>215</v>
      </c>
      <c r="E341" s="46">
        <v>2.4</v>
      </c>
      <c r="F341" s="41">
        <v>1570</v>
      </c>
      <c r="G341" s="41"/>
      <c r="H341" s="41" t="s">
        <v>218</v>
      </c>
      <c r="I341" s="46" t="s">
        <v>166</v>
      </c>
      <c r="J341" s="41">
        <v>89.9</v>
      </c>
      <c r="K341" s="41"/>
      <c r="L341" s="41"/>
    </row>
    <row r="342" spans="1:12" x14ac:dyDescent="0.35">
      <c r="A342" s="46">
        <v>341</v>
      </c>
      <c r="B342" s="46">
        <v>71</v>
      </c>
      <c r="C342" s="48">
        <v>24</v>
      </c>
      <c r="D342" s="41" t="s">
        <v>215</v>
      </c>
      <c r="E342" s="46">
        <v>2.5</v>
      </c>
      <c r="F342" s="41">
        <v>1571</v>
      </c>
      <c r="G342" s="43" t="s">
        <v>39</v>
      </c>
      <c r="H342" s="41" t="s">
        <v>218</v>
      </c>
      <c r="I342" s="46" t="s">
        <v>166</v>
      </c>
      <c r="J342" s="41">
        <v>86</v>
      </c>
      <c r="K342" s="43"/>
      <c r="L342" s="44"/>
    </row>
    <row r="343" spans="1:12" x14ac:dyDescent="0.35">
      <c r="A343" s="46">
        <v>342</v>
      </c>
      <c r="B343" s="46">
        <v>72</v>
      </c>
      <c r="C343" s="49"/>
      <c r="D343" s="41" t="s">
        <v>215</v>
      </c>
      <c r="E343" s="46">
        <v>2.6</v>
      </c>
      <c r="F343" s="41">
        <v>1572</v>
      </c>
      <c r="G343" s="41"/>
      <c r="H343" s="41" t="s">
        <v>219</v>
      </c>
      <c r="I343" s="46" t="s">
        <v>166</v>
      </c>
      <c r="J343" s="41">
        <v>89.8</v>
      </c>
      <c r="K343" s="41"/>
      <c r="L343" s="41"/>
    </row>
    <row r="344" spans="1:12" x14ac:dyDescent="0.35">
      <c r="A344" s="46">
        <v>343</v>
      </c>
      <c r="B344" s="46">
        <v>73</v>
      </c>
      <c r="C344" s="49"/>
      <c r="D344" s="41" t="s">
        <v>215</v>
      </c>
      <c r="E344" s="46">
        <v>3.1</v>
      </c>
      <c r="F344" s="41">
        <v>1573</v>
      </c>
      <c r="G344" s="41"/>
      <c r="H344" s="41" t="s">
        <v>218</v>
      </c>
      <c r="I344" s="46" t="s">
        <v>166</v>
      </c>
      <c r="J344" s="41">
        <v>89.9</v>
      </c>
      <c r="K344" s="41"/>
      <c r="L344" s="41"/>
    </row>
    <row r="345" spans="1:12" x14ac:dyDescent="0.35">
      <c r="A345" s="46">
        <v>344</v>
      </c>
      <c r="B345" s="46">
        <v>74</v>
      </c>
      <c r="C345" s="46"/>
      <c r="D345" s="41" t="s">
        <v>215</v>
      </c>
      <c r="E345" s="46">
        <v>3.2</v>
      </c>
      <c r="F345" s="41">
        <v>1574</v>
      </c>
      <c r="G345" s="41"/>
      <c r="H345" s="41" t="s">
        <v>219</v>
      </c>
      <c r="I345" s="46" t="s">
        <v>166</v>
      </c>
      <c r="J345" s="41">
        <v>89</v>
      </c>
      <c r="K345" s="41"/>
      <c r="L345" s="41"/>
    </row>
    <row r="346" spans="1:12" x14ac:dyDescent="0.35">
      <c r="A346" s="46">
        <v>345</v>
      </c>
      <c r="B346" s="46">
        <v>75</v>
      </c>
      <c r="C346" s="49"/>
      <c r="D346" s="41" t="s">
        <v>215</v>
      </c>
      <c r="E346" s="46">
        <v>3.3</v>
      </c>
      <c r="F346" s="41">
        <v>1575</v>
      </c>
      <c r="G346" s="41"/>
      <c r="H346" s="41" t="s">
        <v>219</v>
      </c>
      <c r="I346" s="46" t="s">
        <v>166</v>
      </c>
      <c r="J346" s="41">
        <v>87.1</v>
      </c>
      <c r="K346" s="41"/>
      <c r="L346" s="41"/>
    </row>
    <row r="347" spans="1:12" x14ac:dyDescent="0.35">
      <c r="A347" s="46">
        <v>346</v>
      </c>
      <c r="B347" s="46">
        <v>76</v>
      </c>
      <c r="C347" s="48">
        <v>25</v>
      </c>
      <c r="D347" s="41" t="s">
        <v>215</v>
      </c>
      <c r="E347" s="46">
        <v>3.4</v>
      </c>
      <c r="F347" s="41">
        <v>1576</v>
      </c>
      <c r="G347" s="43" t="s">
        <v>40</v>
      </c>
      <c r="H347" s="41" t="s">
        <v>219</v>
      </c>
      <c r="I347" s="46" t="s">
        <v>166</v>
      </c>
      <c r="J347" s="41">
        <v>87.4</v>
      </c>
      <c r="K347" s="43"/>
      <c r="L347" s="44"/>
    </row>
    <row r="348" spans="1:12" x14ac:dyDescent="0.35">
      <c r="A348" s="46">
        <v>347</v>
      </c>
      <c r="B348" s="46">
        <v>77</v>
      </c>
      <c r="C348" s="49"/>
      <c r="D348" s="41" t="s">
        <v>215</v>
      </c>
      <c r="E348" s="46">
        <v>3.5</v>
      </c>
      <c r="F348" s="41">
        <v>1577</v>
      </c>
      <c r="G348" s="41"/>
      <c r="H348" s="41" t="s">
        <v>219</v>
      </c>
      <c r="I348" s="46" t="s">
        <v>166</v>
      </c>
      <c r="J348" s="41">
        <v>80</v>
      </c>
      <c r="K348" s="41"/>
      <c r="L348" s="41"/>
    </row>
    <row r="349" spans="1:12" x14ac:dyDescent="0.35">
      <c r="A349" s="46">
        <v>348</v>
      </c>
      <c r="B349" s="46">
        <v>78</v>
      </c>
      <c r="C349" s="48">
        <v>26</v>
      </c>
      <c r="D349" s="41" t="s">
        <v>215</v>
      </c>
      <c r="E349" s="46">
        <v>3.6</v>
      </c>
      <c r="F349" s="41">
        <v>1578</v>
      </c>
      <c r="G349" s="43" t="s">
        <v>41</v>
      </c>
      <c r="H349" s="41" t="s">
        <v>218</v>
      </c>
      <c r="I349" s="46" t="s">
        <v>166</v>
      </c>
      <c r="J349" s="41">
        <v>89.7</v>
      </c>
      <c r="K349" s="43"/>
      <c r="L349" s="44"/>
    </row>
    <row r="350" spans="1:12" x14ac:dyDescent="0.35">
      <c r="A350" s="46">
        <v>349</v>
      </c>
      <c r="B350" s="46">
        <v>79</v>
      </c>
      <c r="C350" s="49"/>
      <c r="D350" s="41" t="s">
        <v>215</v>
      </c>
      <c r="E350" s="46">
        <v>4.0999999999999996</v>
      </c>
      <c r="F350" s="41">
        <v>1579</v>
      </c>
      <c r="G350" s="41"/>
      <c r="H350" s="41" t="s">
        <v>218</v>
      </c>
      <c r="I350" s="46" t="s">
        <v>166</v>
      </c>
      <c r="J350" s="41">
        <v>89.9</v>
      </c>
      <c r="K350" s="41"/>
      <c r="L350" s="41"/>
    </row>
    <row r="351" spans="1:12" x14ac:dyDescent="0.35">
      <c r="A351" s="46">
        <v>350</v>
      </c>
      <c r="B351" s="46">
        <v>80</v>
      </c>
      <c r="C351" s="48">
        <v>27</v>
      </c>
      <c r="D351" s="41" t="s">
        <v>215</v>
      </c>
      <c r="E351" s="46">
        <v>4.2</v>
      </c>
      <c r="F351" s="41">
        <v>1580</v>
      </c>
      <c r="G351" s="43" t="s">
        <v>32</v>
      </c>
      <c r="H351" s="41" t="s">
        <v>219</v>
      </c>
      <c r="I351" s="46" t="s">
        <v>166</v>
      </c>
      <c r="J351" s="41">
        <v>81</v>
      </c>
      <c r="K351" s="43"/>
      <c r="L351" s="44"/>
    </row>
    <row r="352" spans="1:12" x14ac:dyDescent="0.35">
      <c r="A352" s="46">
        <v>351</v>
      </c>
      <c r="B352" s="46">
        <v>81</v>
      </c>
      <c r="C352" s="48">
        <v>28</v>
      </c>
      <c r="D352" s="41" t="s">
        <v>215</v>
      </c>
      <c r="E352" s="46">
        <v>4.3</v>
      </c>
      <c r="F352" s="41">
        <v>1581</v>
      </c>
      <c r="G352" s="43" t="s">
        <v>38</v>
      </c>
      <c r="H352" s="41" t="s">
        <v>219</v>
      </c>
      <c r="I352" s="46" t="s">
        <v>166</v>
      </c>
      <c r="J352" s="41">
        <v>80.099999999999994</v>
      </c>
      <c r="K352" s="43"/>
      <c r="L352" s="44"/>
    </row>
    <row r="353" spans="1:12" x14ac:dyDescent="0.35">
      <c r="A353" s="46">
        <v>352</v>
      </c>
      <c r="B353" s="46">
        <v>82</v>
      </c>
      <c r="C353" s="49"/>
      <c r="D353" s="41" t="s">
        <v>215</v>
      </c>
      <c r="E353" s="46">
        <v>4.4000000000000004</v>
      </c>
      <c r="F353" s="41">
        <v>1582</v>
      </c>
      <c r="G353" s="41"/>
      <c r="H353" s="41" t="s">
        <v>218</v>
      </c>
      <c r="I353" s="46" t="s">
        <v>166</v>
      </c>
      <c r="J353" s="41">
        <v>71.5</v>
      </c>
      <c r="K353" s="41"/>
      <c r="L353" s="41"/>
    </row>
    <row r="354" spans="1:12" x14ac:dyDescent="0.35">
      <c r="A354" s="46">
        <v>353</v>
      </c>
      <c r="B354" s="46">
        <v>83</v>
      </c>
      <c r="C354" s="49"/>
      <c r="D354" s="41" t="s">
        <v>215</v>
      </c>
      <c r="E354" s="46">
        <v>4.5</v>
      </c>
      <c r="F354" s="41">
        <v>1583</v>
      </c>
      <c r="G354" s="41"/>
      <c r="H354" s="41" t="s">
        <v>218</v>
      </c>
      <c r="I354" s="46" t="s">
        <v>166</v>
      </c>
      <c r="J354" s="41">
        <v>82</v>
      </c>
      <c r="K354" s="41"/>
      <c r="L354" s="41"/>
    </row>
    <row r="355" spans="1:12" x14ac:dyDescent="0.35">
      <c r="A355" s="46">
        <v>354</v>
      </c>
      <c r="B355" s="46">
        <v>84</v>
      </c>
      <c r="C355" s="49"/>
      <c r="D355" s="41" t="s">
        <v>215</v>
      </c>
      <c r="E355" s="46">
        <v>4.5999999999999996</v>
      </c>
      <c r="F355" s="41">
        <v>1584</v>
      </c>
      <c r="G355" s="41"/>
      <c r="H355" s="41" t="s">
        <v>219</v>
      </c>
      <c r="I355" s="46" t="s">
        <v>166</v>
      </c>
      <c r="J355" s="41">
        <v>88.2</v>
      </c>
      <c r="K355" s="41"/>
      <c r="L355" s="41"/>
    </row>
    <row r="356" spans="1:12" x14ac:dyDescent="0.35">
      <c r="A356" s="46">
        <v>355</v>
      </c>
      <c r="B356" s="46">
        <v>85</v>
      </c>
      <c r="C356" s="49"/>
      <c r="D356" s="41" t="s">
        <v>215</v>
      </c>
      <c r="E356" s="46">
        <v>5.0999999999999996</v>
      </c>
      <c r="F356" s="41">
        <v>1585</v>
      </c>
      <c r="G356" s="41"/>
      <c r="H356" s="41" t="s">
        <v>218</v>
      </c>
      <c r="I356" s="46" t="s">
        <v>166</v>
      </c>
      <c r="J356" s="41">
        <v>76</v>
      </c>
      <c r="K356" s="41"/>
      <c r="L356" s="41"/>
    </row>
    <row r="357" spans="1:12" x14ac:dyDescent="0.35">
      <c r="A357" s="46">
        <v>356</v>
      </c>
      <c r="B357" s="46">
        <v>86</v>
      </c>
      <c r="C357" s="48">
        <v>29</v>
      </c>
      <c r="D357" s="41" t="s">
        <v>215</v>
      </c>
      <c r="E357" s="46">
        <v>5.2</v>
      </c>
      <c r="F357" s="41">
        <v>1586</v>
      </c>
      <c r="G357" s="43" t="s">
        <v>33</v>
      </c>
      <c r="H357" s="41" t="s">
        <v>219</v>
      </c>
      <c r="I357" s="46" t="s">
        <v>166</v>
      </c>
      <c r="J357" s="41">
        <v>68.599999999999994</v>
      </c>
      <c r="K357" s="43"/>
      <c r="L357" s="44"/>
    </row>
    <row r="358" spans="1:12" x14ac:dyDescent="0.35">
      <c r="A358" s="46">
        <v>357</v>
      </c>
      <c r="B358" s="46">
        <v>87</v>
      </c>
      <c r="C358" s="48">
        <v>30</v>
      </c>
      <c r="D358" s="41" t="s">
        <v>215</v>
      </c>
      <c r="E358" s="46">
        <v>5.3</v>
      </c>
      <c r="F358" s="41">
        <v>1587</v>
      </c>
      <c r="G358" s="43" t="s">
        <v>42</v>
      </c>
      <c r="H358" s="41" t="s">
        <v>218</v>
      </c>
      <c r="I358" s="46" t="s">
        <v>166</v>
      </c>
      <c r="J358" s="41">
        <v>89.9</v>
      </c>
      <c r="K358" s="43"/>
      <c r="L358" s="44"/>
    </row>
    <row r="359" spans="1:12" x14ac:dyDescent="0.35">
      <c r="A359" s="46">
        <v>358</v>
      </c>
      <c r="B359" s="46">
        <v>88</v>
      </c>
      <c r="C359" s="49"/>
      <c r="D359" s="41" t="s">
        <v>215</v>
      </c>
      <c r="E359" s="46">
        <v>5.4</v>
      </c>
      <c r="F359" s="41">
        <v>1588</v>
      </c>
      <c r="G359" s="41"/>
      <c r="H359" s="41" t="s">
        <v>218</v>
      </c>
      <c r="I359" s="46" t="s">
        <v>166</v>
      </c>
      <c r="J359" s="41">
        <v>82.5</v>
      </c>
      <c r="K359" s="41"/>
      <c r="L359" s="41"/>
    </row>
    <row r="360" spans="1:12" x14ac:dyDescent="0.35">
      <c r="A360" s="46">
        <v>359</v>
      </c>
      <c r="B360" s="46">
        <v>89</v>
      </c>
      <c r="C360" s="49"/>
      <c r="D360" s="41" t="s">
        <v>215</v>
      </c>
      <c r="E360" s="46">
        <v>5.5</v>
      </c>
      <c r="F360" s="41">
        <v>1589</v>
      </c>
      <c r="G360" s="41"/>
      <c r="H360" s="41" t="s">
        <v>218</v>
      </c>
      <c r="I360" s="46" t="s">
        <v>166</v>
      </c>
      <c r="J360" s="41">
        <v>82.3</v>
      </c>
      <c r="K360" s="41"/>
      <c r="L360" s="41"/>
    </row>
    <row r="361" spans="1:12" x14ac:dyDescent="0.35">
      <c r="A361" s="46">
        <v>360</v>
      </c>
      <c r="B361" s="46">
        <v>90</v>
      </c>
      <c r="C361" s="49"/>
      <c r="D361" s="41" t="s">
        <v>215</v>
      </c>
      <c r="E361" s="46">
        <v>5.6</v>
      </c>
      <c r="F361" s="41">
        <v>1590</v>
      </c>
      <c r="G361" s="41"/>
      <c r="H361" s="41" t="s">
        <v>218</v>
      </c>
      <c r="I361" s="46" t="s">
        <v>166</v>
      </c>
      <c r="J361" s="41">
        <v>89.8</v>
      </c>
      <c r="K361" s="41"/>
      <c r="L361" s="41"/>
    </row>
    <row r="362" spans="1:12" s="15" customFormat="1" x14ac:dyDescent="0.35">
      <c r="A362" s="46">
        <v>361</v>
      </c>
      <c r="B362" s="46">
        <v>1</v>
      </c>
      <c r="C362" s="48">
        <v>1</v>
      </c>
      <c r="D362" s="41" t="s">
        <v>213</v>
      </c>
      <c r="E362" s="46">
        <v>1.1000000000000001</v>
      </c>
      <c r="F362" s="41">
        <v>1501</v>
      </c>
      <c r="G362" s="43" t="s">
        <v>13</v>
      </c>
      <c r="H362" s="41" t="s">
        <v>219</v>
      </c>
      <c r="I362" s="46" t="s">
        <v>210</v>
      </c>
      <c r="J362" s="41">
        <v>103.5</v>
      </c>
      <c r="K362" s="40">
        <f>48.25*10^5</f>
        <v>4825000</v>
      </c>
      <c r="L362" s="44">
        <f>LOG10(K362)</f>
        <v>6.6834973176798114</v>
      </c>
    </row>
    <row r="363" spans="1:12" s="15" customFormat="1" x14ac:dyDescent="0.35">
      <c r="A363" s="46">
        <v>362</v>
      </c>
      <c r="B363" s="46">
        <v>2</v>
      </c>
      <c r="C363" s="49"/>
      <c r="D363" s="41" t="s">
        <v>213</v>
      </c>
      <c r="E363" s="46">
        <v>1.2</v>
      </c>
      <c r="F363" s="41">
        <v>1502</v>
      </c>
      <c r="G363" s="41"/>
      <c r="H363" s="41" t="s">
        <v>218</v>
      </c>
      <c r="I363" s="46" t="s">
        <v>210</v>
      </c>
      <c r="J363" s="41">
        <v>111.6</v>
      </c>
      <c r="K363" s="41"/>
      <c r="L363" s="41"/>
    </row>
    <row r="364" spans="1:12" s="15" customFormat="1" x14ac:dyDescent="0.35">
      <c r="A364" s="46">
        <v>363</v>
      </c>
      <c r="B364" s="46">
        <v>3</v>
      </c>
      <c r="C364" s="49"/>
      <c r="D364" s="41" t="s">
        <v>213</v>
      </c>
      <c r="E364" s="46">
        <v>1.3</v>
      </c>
      <c r="F364" s="41">
        <v>1503</v>
      </c>
      <c r="G364" s="41"/>
      <c r="H364" s="41" t="s">
        <v>219</v>
      </c>
      <c r="I364" s="46" t="s">
        <v>210</v>
      </c>
      <c r="J364" s="41">
        <v>103.3</v>
      </c>
      <c r="K364" s="41"/>
      <c r="L364" s="41"/>
    </row>
    <row r="365" spans="1:12" s="15" customFormat="1" x14ac:dyDescent="0.35">
      <c r="A365" s="46">
        <v>364</v>
      </c>
      <c r="B365" s="46">
        <v>4</v>
      </c>
      <c r="C365" s="49"/>
      <c r="D365" s="41" t="s">
        <v>213</v>
      </c>
      <c r="E365" s="46">
        <v>1.4</v>
      </c>
      <c r="F365" s="41">
        <v>1504</v>
      </c>
      <c r="G365" s="41"/>
      <c r="H365" s="41" t="s">
        <v>218</v>
      </c>
      <c r="I365" s="46" t="s">
        <v>210</v>
      </c>
      <c r="J365" s="41">
        <v>120.2</v>
      </c>
      <c r="K365" s="41"/>
      <c r="L365" s="41"/>
    </row>
    <row r="366" spans="1:12" s="15" customFormat="1" x14ac:dyDescent="0.35">
      <c r="A366" s="46">
        <v>365</v>
      </c>
      <c r="B366" s="46">
        <v>5</v>
      </c>
      <c r="C366" s="49"/>
      <c r="D366" s="41" t="s">
        <v>213</v>
      </c>
      <c r="E366" s="46">
        <v>1.5</v>
      </c>
      <c r="F366" s="41">
        <v>1505</v>
      </c>
      <c r="G366" s="41"/>
      <c r="H366" s="41" t="s">
        <v>218</v>
      </c>
      <c r="I366" s="46" t="s">
        <v>210</v>
      </c>
      <c r="J366" s="41">
        <v>102.7</v>
      </c>
      <c r="K366" s="41"/>
      <c r="L366" s="41"/>
    </row>
    <row r="367" spans="1:12" s="15" customFormat="1" x14ac:dyDescent="0.35">
      <c r="A367" s="46">
        <v>366</v>
      </c>
      <c r="B367" s="46">
        <v>6</v>
      </c>
      <c r="C367" s="48">
        <v>2</v>
      </c>
      <c r="D367" s="41" t="s">
        <v>213</v>
      </c>
      <c r="E367" s="46">
        <v>1.6</v>
      </c>
      <c r="F367" s="41">
        <v>1506</v>
      </c>
      <c r="G367" s="43" t="s">
        <v>18</v>
      </c>
      <c r="H367" s="41" t="s">
        <v>219</v>
      </c>
      <c r="I367" s="46" t="s">
        <v>210</v>
      </c>
      <c r="J367" s="41">
        <v>95</v>
      </c>
      <c r="K367" s="40">
        <f>67.75*10^5</f>
        <v>6775000</v>
      </c>
      <c r="L367" s="44">
        <f>LOG10(K367)</f>
        <v>6.8309092995464438</v>
      </c>
    </row>
    <row r="368" spans="1:12" s="16" customFormat="1" x14ac:dyDescent="0.35">
      <c r="A368" s="46">
        <v>367</v>
      </c>
      <c r="B368" s="46">
        <v>7</v>
      </c>
      <c r="C368" s="49"/>
      <c r="D368" s="41" t="s">
        <v>213</v>
      </c>
      <c r="E368" s="46">
        <v>2.1</v>
      </c>
      <c r="F368" s="41">
        <v>1507</v>
      </c>
      <c r="G368" s="41"/>
      <c r="H368" s="41" t="s">
        <v>218</v>
      </c>
      <c r="I368" s="46" t="s">
        <v>210</v>
      </c>
      <c r="J368" s="41">
        <v>108.6</v>
      </c>
      <c r="K368" s="41"/>
      <c r="L368" s="41"/>
    </row>
    <row r="369" spans="1:12" s="15" customFormat="1" x14ac:dyDescent="0.35">
      <c r="A369" s="46">
        <v>368</v>
      </c>
      <c r="B369" s="46">
        <v>8</v>
      </c>
      <c r="C369" s="48">
        <v>3</v>
      </c>
      <c r="D369" s="41" t="s">
        <v>213</v>
      </c>
      <c r="E369" s="46">
        <v>2.2000000000000002</v>
      </c>
      <c r="F369" s="41">
        <v>1508</v>
      </c>
      <c r="G369" s="43" t="s">
        <v>14</v>
      </c>
      <c r="H369" s="41" t="s">
        <v>218</v>
      </c>
      <c r="I369" s="46" t="s">
        <v>210</v>
      </c>
      <c r="J369" s="41">
        <v>116.6</v>
      </c>
      <c r="K369" s="40">
        <f>28.75*10^5</f>
        <v>2875000</v>
      </c>
      <c r="L369" s="44">
        <f>LOG10(K369)</f>
        <v>6.4586378490256493</v>
      </c>
    </row>
    <row r="370" spans="1:12" s="15" customFormat="1" x14ac:dyDescent="0.35">
      <c r="A370" s="46">
        <v>369</v>
      </c>
      <c r="B370" s="46">
        <v>9</v>
      </c>
      <c r="C370" s="48">
        <v>4</v>
      </c>
      <c r="D370" s="41" t="s">
        <v>213</v>
      </c>
      <c r="E370" s="46">
        <v>2.2999999999999998</v>
      </c>
      <c r="F370" s="41">
        <v>1509</v>
      </c>
      <c r="G370" s="43" t="s">
        <v>15</v>
      </c>
      <c r="H370" s="41" t="s">
        <v>219</v>
      </c>
      <c r="I370" s="46" t="s">
        <v>210</v>
      </c>
      <c r="J370" s="41">
        <v>98.5</v>
      </c>
      <c r="K370" s="40">
        <f>43.5*10^5</f>
        <v>4350000</v>
      </c>
      <c r="L370" s="44">
        <f>LOG10(K370)</f>
        <v>6.638489256954637</v>
      </c>
    </row>
    <row r="371" spans="1:12" s="15" customFormat="1" x14ac:dyDescent="0.35">
      <c r="A371" s="46">
        <v>370</v>
      </c>
      <c r="B371" s="46">
        <v>10</v>
      </c>
      <c r="C371" s="49"/>
      <c r="D371" s="41" t="s">
        <v>213</v>
      </c>
      <c r="E371" s="46">
        <v>2.4</v>
      </c>
      <c r="F371" s="41">
        <v>1510</v>
      </c>
      <c r="G371" s="41"/>
      <c r="H371" s="41" t="s">
        <v>219</v>
      </c>
      <c r="I371" s="46" t="s">
        <v>210</v>
      </c>
      <c r="J371" s="41">
        <v>102.8</v>
      </c>
      <c r="K371" s="41"/>
      <c r="L371" s="41"/>
    </row>
    <row r="372" spans="1:12" s="15" customFormat="1" x14ac:dyDescent="0.35">
      <c r="A372" s="46">
        <v>371</v>
      </c>
      <c r="B372" s="46">
        <v>11</v>
      </c>
      <c r="C372" s="49"/>
      <c r="D372" s="41" t="s">
        <v>213</v>
      </c>
      <c r="E372" s="46">
        <v>2.5</v>
      </c>
      <c r="F372" s="41">
        <v>1511</v>
      </c>
      <c r="G372" s="41"/>
      <c r="H372" s="41" t="s">
        <v>219</v>
      </c>
      <c r="I372" s="46" t="s">
        <v>210</v>
      </c>
      <c r="J372" s="41">
        <v>95.3</v>
      </c>
      <c r="K372" s="41"/>
      <c r="L372" s="41"/>
    </row>
    <row r="373" spans="1:12" s="15" customFormat="1" x14ac:dyDescent="0.35">
      <c r="A373" s="46">
        <v>372</v>
      </c>
      <c r="B373" s="46">
        <v>12</v>
      </c>
      <c r="C373" s="49"/>
      <c r="D373" s="41" t="s">
        <v>213</v>
      </c>
      <c r="E373" s="46">
        <v>2.6</v>
      </c>
      <c r="F373" s="41">
        <v>1512</v>
      </c>
      <c r="G373" s="41"/>
      <c r="H373" s="41" t="s">
        <v>218</v>
      </c>
      <c r="I373" s="46" t="s">
        <v>210</v>
      </c>
      <c r="J373" s="41">
        <v>101</v>
      </c>
      <c r="K373" s="41"/>
      <c r="L373" s="41"/>
    </row>
    <row r="374" spans="1:12" s="15" customFormat="1" x14ac:dyDescent="0.35">
      <c r="A374" s="46">
        <v>373</v>
      </c>
      <c r="B374" s="46">
        <v>13</v>
      </c>
      <c r="C374" s="49"/>
      <c r="D374" s="41" t="s">
        <v>213</v>
      </c>
      <c r="E374" s="46">
        <v>3.1</v>
      </c>
      <c r="F374" s="41">
        <v>1513</v>
      </c>
      <c r="G374" s="41"/>
      <c r="H374" s="41" t="s">
        <v>218</v>
      </c>
      <c r="I374" s="46" t="s">
        <v>210</v>
      </c>
      <c r="J374" s="41">
        <v>108.1</v>
      </c>
      <c r="K374" s="41"/>
      <c r="L374" s="41"/>
    </row>
    <row r="375" spans="1:12" s="15" customFormat="1" x14ac:dyDescent="0.35">
      <c r="A375" s="46">
        <v>374</v>
      </c>
      <c r="B375" s="46">
        <v>14</v>
      </c>
      <c r="C375" s="49"/>
      <c r="D375" s="41" t="s">
        <v>213</v>
      </c>
      <c r="E375" s="46">
        <v>3.2</v>
      </c>
      <c r="F375" s="41">
        <v>1514</v>
      </c>
      <c r="G375" s="41"/>
      <c r="H375" s="41" t="s">
        <v>219</v>
      </c>
      <c r="I375" s="46" t="s">
        <v>210</v>
      </c>
      <c r="J375" s="41">
        <v>111.6</v>
      </c>
      <c r="K375" s="41"/>
      <c r="L375" s="41"/>
    </row>
    <row r="376" spans="1:12" s="15" customFormat="1" x14ac:dyDescent="0.35">
      <c r="A376" s="46">
        <v>375</v>
      </c>
      <c r="B376" s="46">
        <v>15</v>
      </c>
      <c r="C376" s="48">
        <v>5</v>
      </c>
      <c r="D376" s="41" t="s">
        <v>213</v>
      </c>
      <c r="E376" s="46">
        <v>3.3</v>
      </c>
      <c r="F376" s="41">
        <v>1515</v>
      </c>
      <c r="G376" s="43" t="s">
        <v>16</v>
      </c>
      <c r="H376" s="41" t="s">
        <v>219</v>
      </c>
      <c r="I376" s="46" t="s">
        <v>210</v>
      </c>
      <c r="J376" s="41">
        <v>98.2</v>
      </c>
      <c r="K376" s="40">
        <f>6.05*10^7</f>
        <v>60500000</v>
      </c>
      <c r="L376" s="44">
        <f>LOG10(K376)</f>
        <v>7.7817553746524686</v>
      </c>
    </row>
    <row r="377" spans="1:12" s="15" customFormat="1" x14ac:dyDescent="0.35">
      <c r="A377" s="46">
        <v>376</v>
      </c>
      <c r="B377" s="46">
        <v>16</v>
      </c>
      <c r="C377" s="48">
        <f>C376+1</f>
        <v>6</v>
      </c>
      <c r="D377" s="41" t="s">
        <v>213</v>
      </c>
      <c r="E377" s="46">
        <v>3.4</v>
      </c>
      <c r="F377" s="41">
        <v>1517</v>
      </c>
      <c r="G377" s="43" t="s">
        <v>20</v>
      </c>
      <c r="H377" s="41" t="s">
        <v>219</v>
      </c>
      <c r="I377" s="46" t="s">
        <v>210</v>
      </c>
      <c r="J377" s="41">
        <v>105.5</v>
      </c>
      <c r="K377" s="40">
        <f>49*10^7</f>
        <v>490000000</v>
      </c>
      <c r="L377" s="44">
        <f>LOG10(K377)</f>
        <v>8.6901960800285138</v>
      </c>
    </row>
    <row r="378" spans="1:12" s="15" customFormat="1" x14ac:dyDescent="0.35">
      <c r="A378" s="46">
        <v>377</v>
      </c>
      <c r="B378" s="46">
        <v>17</v>
      </c>
      <c r="C378" s="49"/>
      <c r="D378" s="41" t="s">
        <v>213</v>
      </c>
      <c r="E378" s="46">
        <v>3.5</v>
      </c>
      <c r="F378" s="41">
        <v>1518</v>
      </c>
      <c r="G378" s="41"/>
      <c r="H378" s="41" t="s">
        <v>218</v>
      </c>
      <c r="I378" s="46" t="s">
        <v>210</v>
      </c>
      <c r="J378" s="41">
        <v>99.3</v>
      </c>
      <c r="K378" s="41"/>
      <c r="L378" s="41"/>
    </row>
    <row r="379" spans="1:12" s="15" customFormat="1" x14ac:dyDescent="0.35">
      <c r="A379" s="46">
        <v>378</v>
      </c>
      <c r="B379" s="46">
        <v>18</v>
      </c>
      <c r="C379" s="49"/>
      <c r="D379" s="41" t="s">
        <v>213</v>
      </c>
      <c r="E379" s="46">
        <v>3.6</v>
      </c>
      <c r="F379" s="41">
        <v>1686</v>
      </c>
      <c r="G379" s="41"/>
      <c r="H379" s="41" t="s">
        <v>219</v>
      </c>
      <c r="I379" s="46" t="s">
        <v>210</v>
      </c>
      <c r="J379" s="41">
        <v>90.1</v>
      </c>
      <c r="K379" s="41"/>
      <c r="L379" s="41"/>
    </row>
    <row r="380" spans="1:12" s="15" customFormat="1" x14ac:dyDescent="0.35">
      <c r="A380" s="46">
        <v>379</v>
      </c>
      <c r="B380" s="46">
        <v>19</v>
      </c>
      <c r="C380" s="49"/>
      <c r="D380" s="41" t="s">
        <v>213</v>
      </c>
      <c r="E380" s="46">
        <v>4.0999999999999996</v>
      </c>
      <c r="F380" s="41">
        <v>1519</v>
      </c>
      <c r="G380" s="41"/>
      <c r="H380" s="41" t="s">
        <v>219</v>
      </c>
      <c r="I380" s="46" t="s">
        <v>210</v>
      </c>
      <c r="J380" s="41">
        <v>98.3</v>
      </c>
      <c r="K380" s="41"/>
      <c r="L380" s="41"/>
    </row>
    <row r="381" spans="1:12" s="15" customFormat="1" x14ac:dyDescent="0.35">
      <c r="A381" s="46">
        <v>380</v>
      </c>
      <c r="B381" s="46">
        <v>20</v>
      </c>
      <c r="C381" s="49"/>
      <c r="D381" s="41" t="s">
        <v>213</v>
      </c>
      <c r="E381" s="46">
        <v>4.2</v>
      </c>
      <c r="F381" s="41">
        <v>1520</v>
      </c>
      <c r="G381" s="41"/>
      <c r="H381" s="41" t="s">
        <v>218</v>
      </c>
      <c r="I381" s="46" t="s">
        <v>210</v>
      </c>
      <c r="J381" s="41">
        <v>98.3</v>
      </c>
      <c r="K381" s="41"/>
      <c r="L381" s="41"/>
    </row>
    <row r="382" spans="1:12" s="15" customFormat="1" x14ac:dyDescent="0.35">
      <c r="A382" s="46">
        <v>381</v>
      </c>
      <c r="B382" s="46">
        <v>21</v>
      </c>
      <c r="C382" s="48">
        <v>7</v>
      </c>
      <c r="D382" s="41" t="s">
        <v>213</v>
      </c>
      <c r="E382" s="46">
        <v>4.3</v>
      </c>
      <c r="F382" s="41">
        <v>1521</v>
      </c>
      <c r="G382" s="43" t="s">
        <v>17</v>
      </c>
      <c r="H382" s="41" t="s">
        <v>219</v>
      </c>
      <c r="I382" s="46" t="s">
        <v>210</v>
      </c>
      <c r="J382" s="41">
        <v>102.4</v>
      </c>
      <c r="K382" s="40">
        <f>89.5*10^7</f>
        <v>895000000</v>
      </c>
      <c r="L382" s="44">
        <f>LOG10(K382)</f>
        <v>8.9518230353159112</v>
      </c>
    </row>
    <row r="383" spans="1:12" s="15" customFormat="1" x14ac:dyDescent="0.35">
      <c r="A383" s="46">
        <v>382</v>
      </c>
      <c r="B383" s="46">
        <v>22</v>
      </c>
      <c r="C383" s="48">
        <v>8</v>
      </c>
      <c r="D383" s="41" t="s">
        <v>213</v>
      </c>
      <c r="E383" s="46">
        <v>4.4000000000000004</v>
      </c>
      <c r="F383" s="41">
        <v>1522</v>
      </c>
      <c r="G383" s="43" t="s">
        <v>21</v>
      </c>
      <c r="H383" s="41" t="s">
        <v>218</v>
      </c>
      <c r="I383" s="46" t="s">
        <v>210</v>
      </c>
      <c r="J383" s="41">
        <v>90.9</v>
      </c>
      <c r="K383" s="40">
        <f>3.5*10^7</f>
        <v>35000000</v>
      </c>
      <c r="L383" s="44">
        <f>LOG10(K383)</f>
        <v>7.5440680443502757</v>
      </c>
    </row>
    <row r="384" spans="1:12" s="15" customFormat="1" x14ac:dyDescent="0.35">
      <c r="A384" s="46">
        <v>383</v>
      </c>
      <c r="B384" s="46">
        <v>23</v>
      </c>
      <c r="C384" s="49"/>
      <c r="D384" s="41" t="s">
        <v>213</v>
      </c>
      <c r="E384" s="46">
        <v>4.5</v>
      </c>
      <c r="F384" s="41">
        <v>1523</v>
      </c>
      <c r="G384" s="41"/>
      <c r="H384" s="41" t="s">
        <v>218</v>
      </c>
      <c r="I384" s="46" t="s">
        <v>210</v>
      </c>
      <c r="J384" s="41">
        <v>106.2</v>
      </c>
      <c r="K384" s="41"/>
      <c r="L384" s="41"/>
    </row>
    <row r="385" spans="1:12" s="15" customFormat="1" x14ac:dyDescent="0.35">
      <c r="A385" s="46">
        <v>384</v>
      </c>
      <c r="B385" s="46">
        <v>24</v>
      </c>
      <c r="C385" s="49"/>
      <c r="D385" s="41" t="s">
        <v>213</v>
      </c>
      <c r="E385" s="46">
        <v>4.5999999999999996</v>
      </c>
      <c r="F385" s="41">
        <v>1524</v>
      </c>
      <c r="G385" s="41"/>
      <c r="H385" s="41" t="s">
        <v>219</v>
      </c>
      <c r="I385" s="46" t="s">
        <v>210</v>
      </c>
      <c r="J385" s="41">
        <v>95.6</v>
      </c>
      <c r="K385" s="41"/>
      <c r="L385" s="41"/>
    </row>
    <row r="386" spans="1:12" s="15" customFormat="1" x14ac:dyDescent="0.35">
      <c r="A386" s="46">
        <v>385</v>
      </c>
      <c r="B386" s="46">
        <v>25</v>
      </c>
      <c r="C386" s="49"/>
      <c r="D386" s="41" t="s">
        <v>213</v>
      </c>
      <c r="E386" s="46">
        <v>5.0999999999999996</v>
      </c>
      <c r="F386" s="41">
        <v>1525</v>
      </c>
      <c r="G386" s="41"/>
      <c r="H386" s="41" t="s">
        <v>219</v>
      </c>
      <c r="I386" s="46" t="s">
        <v>210</v>
      </c>
      <c r="J386" s="41">
        <v>90.4</v>
      </c>
      <c r="K386" s="41"/>
      <c r="L386" s="41"/>
    </row>
    <row r="387" spans="1:12" s="15" customFormat="1" x14ac:dyDescent="0.35">
      <c r="A387" s="46">
        <v>386</v>
      </c>
      <c r="B387" s="46">
        <v>26</v>
      </c>
      <c r="C387" s="49"/>
      <c r="D387" s="41" t="s">
        <v>213</v>
      </c>
      <c r="E387" s="46">
        <v>5.2</v>
      </c>
      <c r="F387" s="41">
        <v>1526</v>
      </c>
      <c r="G387" s="41"/>
      <c r="H387" s="41" t="s">
        <v>218</v>
      </c>
      <c r="I387" s="46" t="s">
        <v>210</v>
      </c>
      <c r="J387" s="41">
        <v>126.3</v>
      </c>
      <c r="K387" s="41"/>
      <c r="L387" s="41"/>
    </row>
    <row r="388" spans="1:12" s="15" customFormat="1" x14ac:dyDescent="0.35">
      <c r="A388" s="46">
        <v>387</v>
      </c>
      <c r="B388" s="46">
        <v>27</v>
      </c>
      <c r="C388" s="49"/>
      <c r="D388" s="41" t="s">
        <v>213</v>
      </c>
      <c r="E388" s="46">
        <v>5.3</v>
      </c>
      <c r="F388" s="41">
        <v>1527</v>
      </c>
      <c r="G388" s="41"/>
      <c r="H388" s="41" t="s">
        <v>218</v>
      </c>
      <c r="I388" s="46" t="s">
        <v>210</v>
      </c>
      <c r="J388" s="41">
        <v>105.8</v>
      </c>
      <c r="K388" s="41"/>
      <c r="L388" s="41"/>
    </row>
    <row r="389" spans="1:12" s="15" customFormat="1" x14ac:dyDescent="0.35">
      <c r="A389" s="46">
        <v>388</v>
      </c>
      <c r="B389" s="46">
        <v>28</v>
      </c>
      <c r="C389" s="48">
        <v>9</v>
      </c>
      <c r="D389" s="41" t="s">
        <v>213</v>
      </c>
      <c r="E389" s="46">
        <v>5.4</v>
      </c>
      <c r="F389" s="41">
        <v>1528</v>
      </c>
      <c r="G389" s="43" t="s">
        <v>23</v>
      </c>
      <c r="H389" s="41" t="s">
        <v>218</v>
      </c>
      <c r="I389" s="46" t="s">
        <v>210</v>
      </c>
      <c r="J389" s="41">
        <v>108.1</v>
      </c>
      <c r="K389" s="40">
        <f>48*10^5</f>
        <v>4800000</v>
      </c>
      <c r="L389" s="44">
        <f>LOG10(K389)</f>
        <v>6.6812412373755876</v>
      </c>
    </row>
    <row r="390" spans="1:12" s="15" customFormat="1" x14ac:dyDescent="0.35">
      <c r="A390" s="46">
        <v>389</v>
      </c>
      <c r="B390" s="46">
        <v>29</v>
      </c>
      <c r="C390" s="48">
        <v>10</v>
      </c>
      <c r="D390" s="41" t="s">
        <v>213</v>
      </c>
      <c r="E390" s="46">
        <v>5.5</v>
      </c>
      <c r="F390" s="41">
        <v>1529</v>
      </c>
      <c r="G390" s="43" t="s">
        <v>26</v>
      </c>
      <c r="H390" s="41" t="s">
        <v>218</v>
      </c>
      <c r="I390" s="46" t="s">
        <v>210</v>
      </c>
      <c r="J390" s="41">
        <v>101.8</v>
      </c>
      <c r="K390" s="40">
        <f>6.5*10^7</f>
        <v>65000000</v>
      </c>
      <c r="L390" s="44">
        <f>LOG10(K390)</f>
        <v>7.8129133566428557</v>
      </c>
    </row>
    <row r="391" spans="1:12" s="15" customFormat="1" x14ac:dyDescent="0.35">
      <c r="A391" s="46">
        <v>390</v>
      </c>
      <c r="B391" s="46">
        <v>30</v>
      </c>
      <c r="C391" s="49"/>
      <c r="D391" s="41" t="s">
        <v>213</v>
      </c>
      <c r="E391" s="46">
        <v>5.6</v>
      </c>
      <c r="F391" s="41">
        <v>1531</v>
      </c>
      <c r="G391" s="41"/>
      <c r="H391" s="41" t="s">
        <v>218</v>
      </c>
      <c r="I391" s="46" t="s">
        <v>210</v>
      </c>
      <c r="J391" s="41">
        <v>101.1</v>
      </c>
      <c r="K391" s="41"/>
      <c r="L391" s="41"/>
    </row>
    <row r="392" spans="1:12" s="17" customFormat="1" x14ac:dyDescent="0.35">
      <c r="A392" s="46">
        <v>391</v>
      </c>
      <c r="B392" s="46">
        <v>31</v>
      </c>
      <c r="C392" s="48">
        <v>11</v>
      </c>
      <c r="D392" s="41" t="s">
        <v>214</v>
      </c>
      <c r="E392" s="46">
        <v>1.1000000000000001</v>
      </c>
      <c r="F392" s="41">
        <v>1530</v>
      </c>
      <c r="G392" s="43" t="s">
        <v>25</v>
      </c>
      <c r="H392" s="41" t="s">
        <v>218</v>
      </c>
      <c r="I392" s="46" t="s">
        <v>210</v>
      </c>
      <c r="J392" s="41">
        <v>100.1</v>
      </c>
      <c r="K392" s="40">
        <f>17*10^5</f>
        <v>1700000</v>
      </c>
      <c r="L392" s="44">
        <f>LOG10(K392)</f>
        <v>6.2304489213782741</v>
      </c>
    </row>
    <row r="393" spans="1:12" s="17" customFormat="1" x14ac:dyDescent="0.35">
      <c r="A393" s="46">
        <v>392</v>
      </c>
      <c r="B393" s="46">
        <v>32</v>
      </c>
      <c r="C393" s="49"/>
      <c r="D393" s="41" t="s">
        <v>214</v>
      </c>
      <c r="E393" s="46">
        <v>1.2</v>
      </c>
      <c r="F393" s="41">
        <v>1532</v>
      </c>
      <c r="G393" s="41"/>
      <c r="H393" s="41" t="s">
        <v>218</v>
      </c>
      <c r="I393" s="46" t="s">
        <v>210</v>
      </c>
      <c r="J393" s="41">
        <v>99.5</v>
      </c>
      <c r="K393" s="41"/>
      <c r="L393" s="41"/>
    </row>
    <row r="394" spans="1:12" s="17" customFormat="1" x14ac:dyDescent="0.35">
      <c r="A394" s="46">
        <v>393</v>
      </c>
      <c r="B394" s="46">
        <v>33</v>
      </c>
      <c r="C394" s="48">
        <v>12</v>
      </c>
      <c r="D394" s="41" t="s">
        <v>214</v>
      </c>
      <c r="E394" s="46">
        <v>1.3</v>
      </c>
      <c r="F394" s="41">
        <v>1533</v>
      </c>
      <c r="G394" s="43" t="s">
        <v>27</v>
      </c>
      <c r="H394" s="41" t="s">
        <v>219</v>
      </c>
      <c r="I394" s="46" t="s">
        <v>210</v>
      </c>
      <c r="J394" s="41">
        <v>103.4</v>
      </c>
      <c r="K394" s="40">
        <f>5.5*10^5</f>
        <v>550000</v>
      </c>
      <c r="L394" s="44">
        <f>LOG10(K394)</f>
        <v>5.7403626894942441</v>
      </c>
    </row>
    <row r="395" spans="1:12" s="17" customFormat="1" x14ac:dyDescent="0.35">
      <c r="A395" s="46">
        <v>394</v>
      </c>
      <c r="B395" s="46">
        <v>34</v>
      </c>
      <c r="C395" s="49"/>
      <c r="D395" s="41" t="s">
        <v>214</v>
      </c>
      <c r="E395" s="46">
        <v>1.4</v>
      </c>
      <c r="F395" s="41">
        <v>1534</v>
      </c>
      <c r="G395" s="41"/>
      <c r="H395" s="41" t="s">
        <v>218</v>
      </c>
      <c r="I395" s="46" t="s">
        <v>210</v>
      </c>
      <c r="J395" s="41">
        <v>103.5</v>
      </c>
      <c r="K395" s="41"/>
      <c r="L395" s="41"/>
    </row>
    <row r="396" spans="1:12" s="17" customFormat="1" x14ac:dyDescent="0.35">
      <c r="A396" s="46">
        <v>395</v>
      </c>
      <c r="B396" s="46">
        <v>35</v>
      </c>
      <c r="C396" s="49"/>
      <c r="D396" s="41" t="s">
        <v>214</v>
      </c>
      <c r="E396" s="46">
        <v>1.5</v>
      </c>
      <c r="F396" s="41">
        <v>1535</v>
      </c>
      <c r="G396" s="41"/>
      <c r="H396" s="41" t="s">
        <v>219</v>
      </c>
      <c r="I396" s="46" t="s">
        <v>210</v>
      </c>
      <c r="J396" s="41">
        <v>111.2</v>
      </c>
      <c r="K396" s="41"/>
      <c r="L396" s="41"/>
    </row>
    <row r="397" spans="1:12" s="17" customFormat="1" x14ac:dyDescent="0.35">
      <c r="A397" s="46">
        <v>396</v>
      </c>
      <c r="B397" s="46">
        <v>36</v>
      </c>
      <c r="C397" s="49"/>
      <c r="D397" s="41" t="s">
        <v>214</v>
      </c>
      <c r="E397" s="46">
        <v>1.6</v>
      </c>
      <c r="F397" s="41">
        <v>1536</v>
      </c>
      <c r="G397" s="41"/>
      <c r="H397" s="41" t="s">
        <v>218</v>
      </c>
      <c r="I397" s="46" t="s">
        <v>210</v>
      </c>
      <c r="J397" s="41">
        <v>106.3</v>
      </c>
      <c r="K397" s="41"/>
      <c r="L397" s="41"/>
    </row>
    <row r="398" spans="1:12" s="17" customFormat="1" x14ac:dyDescent="0.35">
      <c r="A398" s="46">
        <v>397</v>
      </c>
      <c r="B398" s="46">
        <v>37</v>
      </c>
      <c r="C398" s="49"/>
      <c r="D398" s="41" t="s">
        <v>214</v>
      </c>
      <c r="E398" s="46">
        <v>2.1</v>
      </c>
      <c r="F398" s="41">
        <v>1537</v>
      </c>
      <c r="G398" s="41"/>
      <c r="H398" s="41" t="s">
        <v>219</v>
      </c>
      <c r="I398" s="46" t="s">
        <v>210</v>
      </c>
      <c r="J398" s="41">
        <v>108.6</v>
      </c>
      <c r="K398" s="41"/>
      <c r="L398" s="41"/>
    </row>
    <row r="399" spans="1:12" s="17" customFormat="1" x14ac:dyDescent="0.35">
      <c r="A399" s="46">
        <v>398</v>
      </c>
      <c r="B399" s="46">
        <v>38</v>
      </c>
      <c r="C399" s="49"/>
      <c r="D399" s="41" t="s">
        <v>214</v>
      </c>
      <c r="E399" s="46">
        <v>2.2000000000000002</v>
      </c>
      <c r="F399" s="41">
        <v>1538</v>
      </c>
      <c r="G399" s="41"/>
      <c r="H399" s="41" t="s">
        <v>219</v>
      </c>
      <c r="I399" s="46" t="s">
        <v>210</v>
      </c>
      <c r="J399" s="41">
        <v>99</v>
      </c>
      <c r="K399" s="41"/>
      <c r="L399" s="41"/>
    </row>
    <row r="400" spans="1:12" s="17" customFormat="1" x14ac:dyDescent="0.35">
      <c r="A400" s="46">
        <v>399</v>
      </c>
      <c r="B400" s="46">
        <v>39</v>
      </c>
      <c r="C400" s="48">
        <v>13</v>
      </c>
      <c r="D400" s="41" t="s">
        <v>214</v>
      </c>
      <c r="E400" s="46">
        <v>2.2999999999999998</v>
      </c>
      <c r="F400" s="41">
        <v>1539</v>
      </c>
      <c r="G400" s="43" t="s">
        <v>28</v>
      </c>
      <c r="H400" s="41" t="s">
        <v>218</v>
      </c>
      <c r="I400" s="46" t="s">
        <v>210</v>
      </c>
      <c r="J400" s="41">
        <v>102</v>
      </c>
      <c r="K400" s="40">
        <f>4.15*10^7</f>
        <v>41500000</v>
      </c>
      <c r="L400" s="44">
        <f>LOG10(K400)</f>
        <v>7.6180480967120925</v>
      </c>
    </row>
    <row r="401" spans="1:12" s="17" customFormat="1" x14ac:dyDescent="0.35">
      <c r="A401" s="46">
        <v>400</v>
      </c>
      <c r="B401" s="46">
        <v>40</v>
      </c>
      <c r="C401" s="48">
        <v>14</v>
      </c>
      <c r="D401" s="41" t="s">
        <v>214</v>
      </c>
      <c r="E401" s="46">
        <v>2.4</v>
      </c>
      <c r="F401" s="41">
        <v>1540</v>
      </c>
      <c r="G401" s="43" t="s">
        <v>19</v>
      </c>
      <c r="H401" s="41" t="s">
        <v>219</v>
      </c>
      <c r="I401" s="46" t="s">
        <v>210</v>
      </c>
      <c r="J401" s="41">
        <v>102.3</v>
      </c>
      <c r="K401" s="40">
        <f>1.56*10^7</f>
        <v>15600000</v>
      </c>
      <c r="L401" s="44">
        <f>LOG10(K401)</f>
        <v>7.1931245983544612</v>
      </c>
    </row>
    <row r="402" spans="1:12" s="17" customFormat="1" x14ac:dyDescent="0.35">
      <c r="A402" s="46">
        <v>401</v>
      </c>
      <c r="B402" s="46">
        <v>41</v>
      </c>
      <c r="C402" s="49"/>
      <c r="D402" s="41" t="s">
        <v>214</v>
      </c>
      <c r="E402" s="46">
        <v>2.5</v>
      </c>
      <c r="F402" s="41">
        <v>1541</v>
      </c>
      <c r="G402" s="41"/>
      <c r="H402" s="41" t="s">
        <v>219</v>
      </c>
      <c r="I402" s="46" t="s">
        <v>210</v>
      </c>
      <c r="J402" s="41">
        <v>110.2</v>
      </c>
      <c r="K402" s="41"/>
      <c r="L402" s="41"/>
    </row>
    <row r="403" spans="1:12" s="17" customFormat="1" x14ac:dyDescent="0.35">
      <c r="A403" s="46">
        <v>402</v>
      </c>
      <c r="B403" s="46">
        <v>42</v>
      </c>
      <c r="C403" s="49"/>
      <c r="D403" s="41" t="s">
        <v>214</v>
      </c>
      <c r="E403" s="46">
        <v>2.6</v>
      </c>
      <c r="F403" s="41">
        <v>1542</v>
      </c>
      <c r="G403" s="41"/>
      <c r="H403" s="41" t="s">
        <v>219</v>
      </c>
      <c r="I403" s="46" t="s">
        <v>210</v>
      </c>
      <c r="J403" s="41">
        <v>98.6</v>
      </c>
      <c r="K403" s="41"/>
      <c r="L403" s="41"/>
    </row>
    <row r="404" spans="1:12" s="17" customFormat="1" x14ac:dyDescent="0.35">
      <c r="A404" s="46">
        <v>403</v>
      </c>
      <c r="B404" s="46">
        <v>43</v>
      </c>
      <c r="C404" s="48">
        <v>15</v>
      </c>
      <c r="D404" s="41" t="s">
        <v>214</v>
      </c>
      <c r="E404" s="46">
        <v>3.1</v>
      </c>
      <c r="F404" s="41">
        <v>1543</v>
      </c>
      <c r="G404" s="43" t="s">
        <v>29</v>
      </c>
      <c r="H404" s="41" t="s">
        <v>218</v>
      </c>
      <c r="I404" s="46" t="s">
        <v>210</v>
      </c>
      <c r="J404" s="41">
        <v>96.3</v>
      </c>
      <c r="K404" s="40">
        <f>24.5*10^5</f>
        <v>2450000</v>
      </c>
      <c r="L404" s="44">
        <f>LOG10(K404)</f>
        <v>6.3891660843645326</v>
      </c>
    </row>
    <row r="405" spans="1:12" s="17" customFormat="1" x14ac:dyDescent="0.35">
      <c r="A405" s="46">
        <v>404</v>
      </c>
      <c r="B405" s="46">
        <v>44</v>
      </c>
      <c r="C405" s="49"/>
      <c r="D405" s="41" t="s">
        <v>214</v>
      </c>
      <c r="E405" s="46">
        <v>3.2</v>
      </c>
      <c r="F405" s="41">
        <v>1544</v>
      </c>
      <c r="G405" s="41"/>
      <c r="H405" s="41" t="s">
        <v>219</v>
      </c>
      <c r="I405" s="46" t="s">
        <v>210</v>
      </c>
      <c r="J405" s="41">
        <v>99.8</v>
      </c>
      <c r="K405" s="41"/>
      <c r="L405" s="41"/>
    </row>
    <row r="406" spans="1:12" s="17" customFormat="1" x14ac:dyDescent="0.35">
      <c r="A406" s="46">
        <v>405</v>
      </c>
      <c r="B406" s="46">
        <v>45</v>
      </c>
      <c r="C406" s="49"/>
      <c r="D406" s="41" t="s">
        <v>214</v>
      </c>
      <c r="E406" s="46">
        <v>3.3</v>
      </c>
      <c r="F406" s="41">
        <v>1545</v>
      </c>
      <c r="G406" s="41"/>
      <c r="H406" s="41" t="s">
        <v>218</v>
      </c>
      <c r="I406" s="46" t="s">
        <v>210</v>
      </c>
      <c r="J406" s="41">
        <v>108.7</v>
      </c>
      <c r="K406" s="41"/>
      <c r="L406" s="41"/>
    </row>
    <row r="407" spans="1:12" s="17" customFormat="1" x14ac:dyDescent="0.35">
      <c r="A407" s="46">
        <v>406</v>
      </c>
      <c r="B407" s="46">
        <v>46</v>
      </c>
      <c r="C407" s="48">
        <v>16</v>
      </c>
      <c r="D407" s="41" t="s">
        <v>214</v>
      </c>
      <c r="E407" s="46">
        <v>3.4</v>
      </c>
      <c r="F407" s="41">
        <v>1546</v>
      </c>
      <c r="G407" s="43" t="s">
        <v>30</v>
      </c>
      <c r="H407" s="41" t="s">
        <v>218</v>
      </c>
      <c r="I407" s="46" t="s">
        <v>210</v>
      </c>
      <c r="J407" s="41">
        <v>106.3</v>
      </c>
      <c r="K407" s="40">
        <f>31.75*10^5</f>
        <v>3175000</v>
      </c>
      <c r="L407" s="44">
        <f>LOG10(K407)</f>
        <v>6.5017437296279947</v>
      </c>
    </row>
    <row r="408" spans="1:12" s="17" customFormat="1" x14ac:dyDescent="0.35">
      <c r="A408" s="46">
        <v>407</v>
      </c>
      <c r="B408" s="46">
        <v>47</v>
      </c>
      <c r="C408" s="49"/>
      <c r="D408" s="41" t="s">
        <v>214</v>
      </c>
      <c r="E408" s="46">
        <v>3.5</v>
      </c>
      <c r="F408" s="41">
        <v>1547</v>
      </c>
      <c r="G408" s="41"/>
      <c r="H408" s="41" t="s">
        <v>218</v>
      </c>
      <c r="I408" s="46" t="s">
        <v>210</v>
      </c>
      <c r="J408" s="41">
        <v>101.3</v>
      </c>
      <c r="K408" s="41"/>
      <c r="L408" s="41"/>
    </row>
    <row r="409" spans="1:12" s="17" customFormat="1" x14ac:dyDescent="0.35">
      <c r="A409" s="46">
        <v>408</v>
      </c>
      <c r="B409" s="46">
        <v>48</v>
      </c>
      <c r="C409" s="49"/>
      <c r="D409" s="41" t="s">
        <v>214</v>
      </c>
      <c r="E409" s="46">
        <v>3.6</v>
      </c>
      <c r="F409" s="41">
        <v>1548</v>
      </c>
      <c r="G409" s="41"/>
      <c r="H409" s="41" t="s">
        <v>219</v>
      </c>
      <c r="I409" s="46" t="s">
        <v>210</v>
      </c>
      <c r="J409" s="41">
        <v>106.2</v>
      </c>
      <c r="K409" s="41"/>
      <c r="L409" s="41"/>
    </row>
    <row r="410" spans="1:12" s="17" customFormat="1" x14ac:dyDescent="0.35">
      <c r="A410" s="46">
        <v>409</v>
      </c>
      <c r="B410" s="46">
        <v>49</v>
      </c>
      <c r="C410" s="49"/>
      <c r="D410" s="41" t="s">
        <v>214</v>
      </c>
      <c r="E410" s="46">
        <v>4.0999999999999996</v>
      </c>
      <c r="F410" s="41">
        <v>1549</v>
      </c>
      <c r="G410" s="41"/>
      <c r="H410" s="41" t="s">
        <v>219</v>
      </c>
      <c r="I410" s="46" t="s">
        <v>210</v>
      </c>
      <c r="J410" s="41">
        <v>96.8</v>
      </c>
      <c r="K410" s="41"/>
      <c r="L410" s="41"/>
    </row>
    <row r="411" spans="1:12" s="17" customFormat="1" x14ac:dyDescent="0.35">
      <c r="A411" s="46">
        <v>410</v>
      </c>
      <c r="B411" s="46">
        <v>50</v>
      </c>
      <c r="C411" s="48">
        <v>17</v>
      </c>
      <c r="D411" s="41" t="s">
        <v>214</v>
      </c>
      <c r="E411" s="46">
        <v>4.2</v>
      </c>
      <c r="F411" s="41">
        <v>1550</v>
      </c>
      <c r="G411" s="43" t="s">
        <v>31</v>
      </c>
      <c r="H411" s="41" t="s">
        <v>218</v>
      </c>
      <c r="I411" s="46" t="s">
        <v>210</v>
      </c>
      <c r="J411" s="41">
        <v>101.6</v>
      </c>
      <c r="K411" s="40">
        <f>4.1*10^5</f>
        <v>409999.99999999994</v>
      </c>
      <c r="L411" s="44">
        <f>LOG10(K411)</f>
        <v>5.6127838567197355</v>
      </c>
    </row>
    <row r="412" spans="1:12" s="17" customFormat="1" x14ac:dyDescent="0.35">
      <c r="A412" s="46">
        <v>411</v>
      </c>
      <c r="B412" s="46">
        <v>51</v>
      </c>
      <c r="C412" s="49"/>
      <c r="D412" s="41" t="s">
        <v>214</v>
      </c>
      <c r="E412" s="46">
        <v>4.3</v>
      </c>
      <c r="F412" s="41">
        <v>1551</v>
      </c>
      <c r="G412" s="41"/>
      <c r="H412" s="41" t="s">
        <v>219</v>
      </c>
      <c r="I412" s="46" t="s">
        <v>210</v>
      </c>
      <c r="J412" s="41">
        <v>90</v>
      </c>
      <c r="K412" s="41"/>
      <c r="L412" s="41"/>
    </row>
    <row r="413" spans="1:12" s="17" customFormat="1" x14ac:dyDescent="0.35">
      <c r="A413" s="46">
        <v>412</v>
      </c>
      <c r="B413" s="46">
        <v>52</v>
      </c>
      <c r="C413" s="49"/>
      <c r="D413" s="41" t="s">
        <v>214</v>
      </c>
      <c r="E413" s="46">
        <v>4.4000000000000004</v>
      </c>
      <c r="F413" s="41">
        <v>1552</v>
      </c>
      <c r="G413" s="41"/>
      <c r="H413" s="41" t="s">
        <v>218</v>
      </c>
      <c r="I413" s="46" t="s">
        <v>210</v>
      </c>
      <c r="J413" s="41">
        <v>108.4</v>
      </c>
      <c r="K413" s="41"/>
      <c r="L413" s="41"/>
    </row>
    <row r="414" spans="1:12" s="17" customFormat="1" x14ac:dyDescent="0.35">
      <c r="A414" s="46">
        <v>413</v>
      </c>
      <c r="B414" s="46">
        <v>53</v>
      </c>
      <c r="C414" s="49"/>
      <c r="D414" s="41" t="s">
        <v>214</v>
      </c>
      <c r="E414" s="46">
        <v>4.5</v>
      </c>
      <c r="F414" s="41">
        <v>1553</v>
      </c>
      <c r="G414" s="41"/>
      <c r="H414" s="41" t="s">
        <v>219</v>
      </c>
      <c r="I414" s="46" t="s">
        <v>210</v>
      </c>
      <c r="J414" s="41">
        <v>113.2</v>
      </c>
      <c r="K414" s="41"/>
      <c r="L414" s="41"/>
    </row>
    <row r="415" spans="1:12" s="17" customFormat="1" x14ac:dyDescent="0.35">
      <c r="A415" s="46">
        <v>414</v>
      </c>
      <c r="B415" s="46">
        <v>54</v>
      </c>
      <c r="C415" s="48">
        <v>18</v>
      </c>
      <c r="D415" s="41" t="s">
        <v>214</v>
      </c>
      <c r="E415" s="46">
        <v>4.5999999999999996</v>
      </c>
      <c r="F415" s="41">
        <v>1554</v>
      </c>
      <c r="G415" s="43" t="s">
        <v>22</v>
      </c>
      <c r="H415" s="41" t="s">
        <v>218</v>
      </c>
      <c r="I415" s="46" t="s">
        <v>210</v>
      </c>
      <c r="J415" s="41">
        <v>91</v>
      </c>
      <c r="K415" s="40">
        <f>10.75*10^5</f>
        <v>1075000</v>
      </c>
      <c r="L415" s="44">
        <f>LOG10(K415)</f>
        <v>6.0314084642516246</v>
      </c>
    </row>
    <row r="416" spans="1:12" s="17" customFormat="1" x14ac:dyDescent="0.35">
      <c r="A416" s="46">
        <v>415</v>
      </c>
      <c r="B416" s="46">
        <v>55</v>
      </c>
      <c r="C416" s="49"/>
      <c r="D416" s="41" t="s">
        <v>214</v>
      </c>
      <c r="E416" s="46">
        <v>5.0999999999999996</v>
      </c>
      <c r="F416" s="41">
        <v>1555</v>
      </c>
      <c r="G416" s="41"/>
      <c r="H416" s="41" t="s">
        <v>219</v>
      </c>
      <c r="I416" s="46" t="s">
        <v>210</v>
      </c>
      <c r="J416" s="41">
        <v>98.5</v>
      </c>
      <c r="K416" s="41"/>
      <c r="L416" s="41"/>
    </row>
    <row r="417" spans="1:12" s="17" customFormat="1" x14ac:dyDescent="0.35">
      <c r="A417" s="46">
        <v>416</v>
      </c>
      <c r="B417" s="46">
        <v>56</v>
      </c>
      <c r="C417" s="48">
        <v>19</v>
      </c>
      <c r="D417" s="41" t="s">
        <v>214</v>
      </c>
      <c r="E417" s="46">
        <v>5.2</v>
      </c>
      <c r="F417" s="41">
        <v>1556</v>
      </c>
      <c r="G417" s="43" t="s">
        <v>34</v>
      </c>
      <c r="H417" s="41" t="s">
        <v>218</v>
      </c>
      <c r="I417" s="46" t="s">
        <v>210</v>
      </c>
      <c r="J417" s="41">
        <v>103.1</v>
      </c>
      <c r="K417" s="40">
        <f>6.55*10^7</f>
        <v>65500000</v>
      </c>
      <c r="L417" s="44">
        <f>LOG10(K417)</f>
        <v>7.8162412999917832</v>
      </c>
    </row>
    <row r="418" spans="1:12" s="17" customFormat="1" x14ac:dyDescent="0.35">
      <c r="A418" s="46">
        <v>417</v>
      </c>
      <c r="B418" s="46">
        <v>57</v>
      </c>
      <c r="C418" s="49"/>
      <c r="D418" s="41" t="s">
        <v>214</v>
      </c>
      <c r="E418" s="46">
        <v>5.3</v>
      </c>
      <c r="F418" s="41">
        <v>1557</v>
      </c>
      <c r="G418" s="41"/>
      <c r="H418" s="41" t="s">
        <v>219</v>
      </c>
      <c r="I418" s="46" t="s">
        <v>210</v>
      </c>
      <c r="J418" s="41">
        <v>96.4</v>
      </c>
      <c r="K418" s="41"/>
      <c r="L418" s="41"/>
    </row>
    <row r="419" spans="1:12" s="17" customFormat="1" x14ac:dyDescent="0.35">
      <c r="A419" s="46">
        <v>418</v>
      </c>
      <c r="B419" s="46">
        <v>58</v>
      </c>
      <c r="C419" s="49"/>
      <c r="D419" s="41" t="s">
        <v>214</v>
      </c>
      <c r="E419" s="46">
        <v>5.4</v>
      </c>
      <c r="F419" s="41">
        <v>1558</v>
      </c>
      <c r="G419" s="41"/>
      <c r="H419" s="41" t="s">
        <v>219</v>
      </c>
      <c r="I419" s="46" t="s">
        <v>210</v>
      </c>
      <c r="J419" s="41">
        <v>98.4</v>
      </c>
      <c r="K419" s="41"/>
      <c r="L419" s="41"/>
    </row>
    <row r="420" spans="1:12" s="17" customFormat="1" x14ac:dyDescent="0.35">
      <c r="A420" s="46">
        <v>419</v>
      </c>
      <c r="B420" s="46">
        <v>59</v>
      </c>
      <c r="C420" s="48">
        <v>20</v>
      </c>
      <c r="D420" s="41" t="s">
        <v>214</v>
      </c>
      <c r="E420" s="46">
        <v>5.5</v>
      </c>
      <c r="F420" s="41">
        <v>1559</v>
      </c>
      <c r="G420" s="43" t="s">
        <v>24</v>
      </c>
      <c r="H420" s="41" t="s">
        <v>218</v>
      </c>
      <c r="I420" s="46" t="s">
        <v>210</v>
      </c>
      <c r="J420" s="41">
        <v>106.7</v>
      </c>
      <c r="K420" s="40">
        <f>15.25*10^5</f>
        <v>1525000</v>
      </c>
      <c r="L420" s="44">
        <f>LOG10(K420)</f>
        <v>6.1832698436828046</v>
      </c>
    </row>
    <row r="421" spans="1:12" s="17" customFormat="1" x14ac:dyDescent="0.35">
      <c r="A421" s="46">
        <v>420</v>
      </c>
      <c r="B421" s="46">
        <v>60</v>
      </c>
      <c r="C421" s="49"/>
      <c r="D421" s="41" t="s">
        <v>214</v>
      </c>
      <c r="E421" s="46">
        <v>5.6</v>
      </c>
      <c r="F421" s="41">
        <v>1560</v>
      </c>
      <c r="G421" s="41"/>
      <c r="H421" s="41" t="s">
        <v>218</v>
      </c>
      <c r="I421" s="46" t="s">
        <v>210</v>
      </c>
      <c r="J421" s="41">
        <v>104.6</v>
      </c>
      <c r="K421" s="41"/>
      <c r="L421" s="41"/>
    </row>
    <row r="422" spans="1:12" x14ac:dyDescent="0.35">
      <c r="A422" s="46">
        <v>421</v>
      </c>
      <c r="B422" s="46">
        <v>61</v>
      </c>
      <c r="C422" s="48">
        <v>21</v>
      </c>
      <c r="D422" s="41" t="s">
        <v>215</v>
      </c>
      <c r="E422" s="46">
        <v>1.1000000000000001</v>
      </c>
      <c r="F422" s="41">
        <v>1561</v>
      </c>
      <c r="G422" s="43" t="s">
        <v>35</v>
      </c>
      <c r="H422" s="41" t="s">
        <v>218</v>
      </c>
      <c r="I422" s="46" t="s">
        <v>210</v>
      </c>
      <c r="J422" s="41">
        <v>97.6</v>
      </c>
      <c r="K422" s="40">
        <f>8.6*10^7</f>
        <v>86000000</v>
      </c>
      <c r="L422" s="44">
        <f>LOG10(K422)</f>
        <v>7.9344984512435675</v>
      </c>
    </row>
    <row r="423" spans="1:12" x14ac:dyDescent="0.35">
      <c r="A423" s="46">
        <v>422</v>
      </c>
      <c r="B423" s="46">
        <v>62</v>
      </c>
      <c r="C423" s="49"/>
      <c r="D423" s="41" t="s">
        <v>215</v>
      </c>
      <c r="E423" s="46">
        <v>1.2</v>
      </c>
      <c r="F423" s="41">
        <v>1562</v>
      </c>
      <c r="G423" s="41"/>
      <c r="H423" s="41" t="s">
        <v>219</v>
      </c>
      <c r="I423" s="46" t="s">
        <v>210</v>
      </c>
      <c r="J423" s="41">
        <v>86.9</v>
      </c>
      <c r="K423" s="41"/>
      <c r="L423" s="41"/>
    </row>
    <row r="424" spans="1:12" x14ac:dyDescent="0.35">
      <c r="A424" s="46">
        <v>423</v>
      </c>
      <c r="B424" s="46">
        <v>63</v>
      </c>
      <c r="C424" s="48">
        <v>22</v>
      </c>
      <c r="D424" s="41" t="s">
        <v>215</v>
      </c>
      <c r="E424" s="46">
        <v>1.3</v>
      </c>
      <c r="F424" s="41">
        <v>1563</v>
      </c>
      <c r="G424" s="43" t="s">
        <v>36</v>
      </c>
      <c r="H424" s="41" t="s">
        <v>218</v>
      </c>
      <c r="I424" s="46" t="s">
        <v>210</v>
      </c>
      <c r="J424" s="41">
        <v>110.3</v>
      </c>
      <c r="K424" s="40">
        <f>5.5*10^5</f>
        <v>550000</v>
      </c>
      <c r="L424" s="44">
        <f>LOG10(K424)</f>
        <v>5.7403626894942441</v>
      </c>
    </row>
    <row r="425" spans="1:12" x14ac:dyDescent="0.35">
      <c r="A425" s="46">
        <v>424</v>
      </c>
      <c r="B425" s="46">
        <v>64</v>
      </c>
      <c r="C425" s="49"/>
      <c r="D425" s="41" t="s">
        <v>215</v>
      </c>
      <c r="E425" s="46">
        <v>1.4</v>
      </c>
      <c r="F425" s="41">
        <v>1564</v>
      </c>
      <c r="G425" s="41"/>
      <c r="H425" s="41" t="s">
        <v>219</v>
      </c>
      <c r="I425" s="46" t="s">
        <v>210</v>
      </c>
      <c r="J425" s="41">
        <v>98.5</v>
      </c>
      <c r="K425" s="41"/>
      <c r="L425" s="41"/>
    </row>
    <row r="426" spans="1:12" x14ac:dyDescent="0.35">
      <c r="A426" s="46">
        <v>425</v>
      </c>
      <c r="B426" s="46">
        <v>65</v>
      </c>
      <c r="C426" s="49"/>
      <c r="D426" s="41" t="s">
        <v>215</v>
      </c>
      <c r="E426" s="46">
        <v>1.5</v>
      </c>
      <c r="F426" s="41">
        <v>1565</v>
      </c>
      <c r="G426" s="41"/>
      <c r="H426" s="41" t="s">
        <v>219</v>
      </c>
      <c r="I426" s="46" t="s">
        <v>210</v>
      </c>
      <c r="J426" s="41">
        <v>106.7</v>
      </c>
      <c r="K426" s="41"/>
      <c r="L426" s="41"/>
    </row>
    <row r="427" spans="1:12" x14ac:dyDescent="0.35">
      <c r="A427" s="46">
        <v>426</v>
      </c>
      <c r="B427" s="46">
        <v>66</v>
      </c>
      <c r="C427" s="49"/>
      <c r="D427" s="41" t="s">
        <v>215</v>
      </c>
      <c r="E427" s="46">
        <v>1.6</v>
      </c>
      <c r="F427" s="41">
        <v>1566</v>
      </c>
      <c r="G427" s="41"/>
      <c r="H427" s="41" t="s">
        <v>219</v>
      </c>
      <c r="I427" s="46" t="s">
        <v>210</v>
      </c>
      <c r="J427" s="41">
        <v>89.9</v>
      </c>
      <c r="K427" s="41"/>
      <c r="L427" s="41"/>
    </row>
    <row r="428" spans="1:12" x14ac:dyDescent="0.35">
      <c r="A428" s="46">
        <v>427</v>
      </c>
      <c r="B428" s="46">
        <v>67</v>
      </c>
      <c r="C428" s="49"/>
      <c r="D428" s="41" t="s">
        <v>215</v>
      </c>
      <c r="E428" s="46">
        <v>2.1</v>
      </c>
      <c r="F428" s="41">
        <v>1567</v>
      </c>
      <c r="G428" s="41"/>
      <c r="H428" s="41" t="s">
        <v>218</v>
      </c>
      <c r="I428" s="46" t="s">
        <v>210</v>
      </c>
      <c r="J428" s="41">
        <v>110.8</v>
      </c>
      <c r="K428" s="41"/>
      <c r="L428" s="41"/>
    </row>
    <row r="429" spans="1:12" x14ac:dyDescent="0.35">
      <c r="A429" s="46">
        <v>428</v>
      </c>
      <c r="B429" s="46">
        <v>68</v>
      </c>
      <c r="C429" s="49"/>
      <c r="D429" s="41" t="s">
        <v>215</v>
      </c>
      <c r="E429" s="46">
        <v>2.2000000000000002</v>
      </c>
      <c r="F429" s="41">
        <v>1568</v>
      </c>
      <c r="G429" s="41"/>
      <c r="H429" s="41" t="s">
        <v>219</v>
      </c>
      <c r="I429" s="46" t="s">
        <v>210</v>
      </c>
      <c r="J429" s="41">
        <v>99.9</v>
      </c>
      <c r="K429" s="41"/>
      <c r="L429" s="41"/>
    </row>
    <row r="430" spans="1:12" x14ac:dyDescent="0.35">
      <c r="A430" s="46">
        <v>429</v>
      </c>
      <c r="B430" s="46">
        <v>69</v>
      </c>
      <c r="C430" s="48">
        <v>23</v>
      </c>
      <c r="D430" s="41" t="s">
        <v>215</v>
      </c>
      <c r="E430" s="46">
        <v>2.2999999999999998</v>
      </c>
      <c r="F430" s="41">
        <v>1569</v>
      </c>
      <c r="G430" s="43" t="s">
        <v>37</v>
      </c>
      <c r="H430" s="41" t="s">
        <v>219</v>
      </c>
      <c r="I430" s="46" t="s">
        <v>210</v>
      </c>
      <c r="J430" s="41">
        <v>82.8</v>
      </c>
      <c r="K430" s="40">
        <f>10.5*10^7</f>
        <v>105000000</v>
      </c>
      <c r="L430" s="44">
        <f>LOG10(K430)</f>
        <v>8.0211892990699383</v>
      </c>
    </row>
    <row r="431" spans="1:12" x14ac:dyDescent="0.35">
      <c r="A431" s="46">
        <v>430</v>
      </c>
      <c r="B431" s="46">
        <v>70</v>
      </c>
      <c r="C431" s="49"/>
      <c r="D431" s="41" t="s">
        <v>215</v>
      </c>
      <c r="E431" s="46">
        <v>2.4</v>
      </c>
      <c r="F431" s="41">
        <v>1570</v>
      </c>
      <c r="G431" s="41"/>
      <c r="H431" s="41" t="s">
        <v>218</v>
      </c>
      <c r="I431" s="46" t="s">
        <v>210</v>
      </c>
      <c r="J431" s="41">
        <v>113.9</v>
      </c>
      <c r="K431" s="41"/>
      <c r="L431" s="41"/>
    </row>
    <row r="432" spans="1:12" x14ac:dyDescent="0.35">
      <c r="A432" s="46">
        <v>431</v>
      </c>
      <c r="B432" s="46">
        <v>71</v>
      </c>
      <c r="C432" s="48">
        <v>24</v>
      </c>
      <c r="D432" s="41" t="s">
        <v>215</v>
      </c>
      <c r="E432" s="46">
        <v>2.5</v>
      </c>
      <c r="F432" s="41">
        <v>1571</v>
      </c>
      <c r="G432" s="43" t="s">
        <v>39</v>
      </c>
      <c r="H432" s="41" t="s">
        <v>218</v>
      </c>
      <c r="I432" s="46" t="s">
        <v>210</v>
      </c>
      <c r="J432" s="41">
        <v>102.9</v>
      </c>
      <c r="K432" s="40">
        <f>31*10^5</f>
        <v>3100000</v>
      </c>
      <c r="L432" s="44">
        <f>LOG10(K432)</f>
        <v>6.4913616938342731</v>
      </c>
    </row>
    <row r="433" spans="1:12" x14ac:dyDescent="0.35">
      <c r="A433" s="46">
        <v>432</v>
      </c>
      <c r="B433" s="46">
        <v>72</v>
      </c>
      <c r="C433" s="49"/>
      <c r="D433" s="41" t="s">
        <v>215</v>
      </c>
      <c r="E433" s="46">
        <v>2.6</v>
      </c>
      <c r="F433" s="41">
        <v>1572</v>
      </c>
      <c r="G433" s="41"/>
      <c r="H433" s="41" t="s">
        <v>219</v>
      </c>
      <c r="I433" s="46" t="s">
        <v>210</v>
      </c>
      <c r="J433" s="41">
        <v>114.2</v>
      </c>
      <c r="K433" s="41"/>
      <c r="L433" s="41"/>
    </row>
    <row r="434" spans="1:12" x14ac:dyDescent="0.35">
      <c r="A434" s="46">
        <v>433</v>
      </c>
      <c r="B434" s="46">
        <v>73</v>
      </c>
      <c r="C434" s="49"/>
      <c r="D434" s="41" t="s">
        <v>215</v>
      </c>
      <c r="E434" s="46">
        <v>3.1</v>
      </c>
      <c r="F434" s="41">
        <v>1573</v>
      </c>
      <c r="G434" s="41"/>
      <c r="H434" s="41" t="s">
        <v>218</v>
      </c>
      <c r="I434" s="46" t="s">
        <v>210</v>
      </c>
      <c r="J434" s="41">
        <v>112.8</v>
      </c>
      <c r="K434" s="41"/>
      <c r="L434" s="41"/>
    </row>
    <row r="435" spans="1:12" x14ac:dyDescent="0.35">
      <c r="A435" s="46">
        <v>434</v>
      </c>
      <c r="B435" s="46">
        <v>74</v>
      </c>
      <c r="C435" s="46"/>
      <c r="D435" s="41" t="s">
        <v>215</v>
      </c>
      <c r="E435" s="46">
        <v>3.2</v>
      </c>
      <c r="F435" s="41">
        <v>1574</v>
      </c>
      <c r="G435" s="41"/>
      <c r="H435" s="41" t="s">
        <v>219</v>
      </c>
      <c r="I435" s="46" t="s">
        <v>210</v>
      </c>
      <c r="J435" s="41">
        <v>103.4</v>
      </c>
      <c r="K435" s="41"/>
      <c r="L435" s="41"/>
    </row>
    <row r="436" spans="1:12" x14ac:dyDescent="0.35">
      <c r="A436" s="46">
        <v>435</v>
      </c>
      <c r="B436" s="46">
        <v>75</v>
      </c>
      <c r="C436" s="49"/>
      <c r="D436" s="41" t="s">
        <v>215</v>
      </c>
      <c r="E436" s="46">
        <v>3.3</v>
      </c>
      <c r="F436" s="41">
        <v>1575</v>
      </c>
      <c r="G436" s="41"/>
      <c r="H436" s="41" t="s">
        <v>219</v>
      </c>
      <c r="I436" s="46" t="s">
        <v>210</v>
      </c>
      <c r="J436" s="41">
        <v>106.5</v>
      </c>
      <c r="K436" s="41"/>
      <c r="L436" s="41"/>
    </row>
    <row r="437" spans="1:12" x14ac:dyDescent="0.35">
      <c r="A437" s="46">
        <v>436</v>
      </c>
      <c r="B437" s="46">
        <v>76</v>
      </c>
      <c r="C437" s="48">
        <v>25</v>
      </c>
      <c r="D437" s="41" t="s">
        <v>215</v>
      </c>
      <c r="E437" s="46">
        <v>3.4</v>
      </c>
      <c r="F437" s="41">
        <v>1576</v>
      </c>
      <c r="G437" s="43" t="s">
        <v>40</v>
      </c>
      <c r="H437" s="41" t="s">
        <v>219</v>
      </c>
      <c r="I437" s="46" t="s">
        <v>210</v>
      </c>
      <c r="J437" s="41">
        <v>95.6</v>
      </c>
      <c r="K437" s="40">
        <f>6*10^5</f>
        <v>600000</v>
      </c>
      <c r="L437" s="44">
        <f>LOG10(K437)</f>
        <v>5.7781512503836439</v>
      </c>
    </row>
    <row r="438" spans="1:12" x14ac:dyDescent="0.35">
      <c r="A438" s="46">
        <v>437</v>
      </c>
      <c r="B438" s="46">
        <v>77</v>
      </c>
      <c r="C438" s="49"/>
      <c r="D438" s="41" t="s">
        <v>215</v>
      </c>
      <c r="E438" s="46">
        <v>3.5</v>
      </c>
      <c r="F438" s="41">
        <v>1577</v>
      </c>
      <c r="G438" s="41"/>
      <c r="H438" s="41" t="s">
        <v>219</v>
      </c>
      <c r="I438" s="46" t="s">
        <v>210</v>
      </c>
      <c r="J438" s="41">
        <v>94.8</v>
      </c>
      <c r="K438" s="41"/>
      <c r="L438" s="41"/>
    </row>
    <row r="439" spans="1:12" x14ac:dyDescent="0.35">
      <c r="A439" s="46">
        <v>438</v>
      </c>
      <c r="B439" s="46">
        <v>78</v>
      </c>
      <c r="C439" s="48">
        <v>26</v>
      </c>
      <c r="D439" s="41" t="s">
        <v>215</v>
      </c>
      <c r="E439" s="46">
        <v>3.6</v>
      </c>
      <c r="F439" s="41">
        <v>1578</v>
      </c>
      <c r="G439" s="43" t="s">
        <v>41</v>
      </c>
      <c r="H439" s="41" t="s">
        <v>218</v>
      </c>
      <c r="I439" s="46" t="s">
        <v>210</v>
      </c>
      <c r="J439" s="41">
        <v>111.8</v>
      </c>
      <c r="K439" s="40">
        <f>61.75*10^5</f>
        <v>6175000</v>
      </c>
      <c r="L439" s="44">
        <f>LOG10(K439)</f>
        <v>6.7906369619317033</v>
      </c>
    </row>
    <row r="440" spans="1:12" x14ac:dyDescent="0.35">
      <c r="A440" s="46">
        <v>439</v>
      </c>
      <c r="B440" s="46">
        <v>79</v>
      </c>
      <c r="C440" s="49"/>
      <c r="D440" s="41" t="s">
        <v>215</v>
      </c>
      <c r="E440" s="46">
        <v>4.0999999999999996</v>
      </c>
      <c r="F440" s="41">
        <v>1579</v>
      </c>
      <c r="G440" s="41"/>
      <c r="H440" s="41" t="s">
        <v>218</v>
      </c>
      <c r="I440" s="46" t="s">
        <v>210</v>
      </c>
      <c r="J440" s="41">
        <v>114.3</v>
      </c>
      <c r="K440" s="41"/>
      <c r="L440" s="41"/>
    </row>
    <row r="441" spans="1:12" x14ac:dyDescent="0.35">
      <c r="A441" s="46">
        <v>440</v>
      </c>
      <c r="B441" s="46">
        <v>80</v>
      </c>
      <c r="C441" s="48">
        <v>27</v>
      </c>
      <c r="D441" s="41" t="s">
        <v>215</v>
      </c>
      <c r="E441" s="46">
        <v>4.2</v>
      </c>
      <c r="F441" s="41">
        <v>1580</v>
      </c>
      <c r="G441" s="43" t="s">
        <v>32</v>
      </c>
      <c r="H441" s="41" t="s">
        <v>219</v>
      </c>
      <c r="I441" s="46" t="s">
        <v>210</v>
      </c>
      <c r="J441" s="41">
        <v>94.9</v>
      </c>
      <c r="K441" s="40">
        <f>6.65*10^7</f>
        <v>66500000</v>
      </c>
      <c r="L441" s="44">
        <f>LOG10(K441)</f>
        <v>7.8228216453031045</v>
      </c>
    </row>
    <row r="442" spans="1:12" x14ac:dyDescent="0.35">
      <c r="A442" s="46">
        <v>441</v>
      </c>
      <c r="B442" s="46">
        <v>81</v>
      </c>
      <c r="C442" s="48">
        <v>28</v>
      </c>
      <c r="D442" s="41" t="s">
        <v>215</v>
      </c>
      <c r="E442" s="46">
        <v>4.3</v>
      </c>
      <c r="F442" s="41">
        <v>1581</v>
      </c>
      <c r="G442" s="43" t="s">
        <v>38</v>
      </c>
      <c r="H442" s="41" t="s">
        <v>219</v>
      </c>
      <c r="I442" s="46" t="s">
        <v>210</v>
      </c>
      <c r="J442" s="41">
        <v>91.8</v>
      </c>
      <c r="K442" s="40">
        <f>9.5*10^5</f>
        <v>950000</v>
      </c>
      <c r="L442" s="44">
        <f>LOG10(K442)</f>
        <v>5.9777236052888476</v>
      </c>
    </row>
    <row r="443" spans="1:12" x14ac:dyDescent="0.35">
      <c r="A443" s="46">
        <v>442</v>
      </c>
      <c r="B443" s="46">
        <v>82</v>
      </c>
      <c r="C443" s="49"/>
      <c r="D443" s="41" t="s">
        <v>215</v>
      </c>
      <c r="E443" s="46">
        <v>4.4000000000000004</v>
      </c>
      <c r="F443" s="41">
        <v>1582</v>
      </c>
      <c r="G443" s="41"/>
      <c r="H443" s="41" t="s">
        <v>218</v>
      </c>
      <c r="I443" s="46" t="s">
        <v>210</v>
      </c>
      <c r="J443" s="41">
        <v>89.3</v>
      </c>
      <c r="K443" s="41"/>
      <c r="L443" s="41"/>
    </row>
    <row r="444" spans="1:12" x14ac:dyDescent="0.35">
      <c r="A444" s="46">
        <v>443</v>
      </c>
      <c r="B444" s="46">
        <v>83</v>
      </c>
      <c r="C444" s="49"/>
      <c r="D444" s="41" t="s">
        <v>215</v>
      </c>
      <c r="E444" s="46">
        <v>4.5</v>
      </c>
      <c r="F444" s="41">
        <v>1583</v>
      </c>
      <c r="G444" s="41"/>
      <c r="H444" s="41" t="s">
        <v>218</v>
      </c>
      <c r="I444" s="46" t="s">
        <v>210</v>
      </c>
      <c r="J444" s="41">
        <v>102.3</v>
      </c>
      <c r="K444" s="41"/>
      <c r="L444" s="41"/>
    </row>
    <row r="445" spans="1:12" x14ac:dyDescent="0.35">
      <c r="A445" s="46">
        <v>444</v>
      </c>
      <c r="B445" s="46">
        <v>84</v>
      </c>
      <c r="C445" s="49"/>
      <c r="D445" s="41" t="s">
        <v>215</v>
      </c>
      <c r="E445" s="46">
        <v>4.5999999999999996</v>
      </c>
      <c r="F445" s="41">
        <v>1584</v>
      </c>
      <c r="G445" s="41"/>
      <c r="H445" s="41" t="s">
        <v>219</v>
      </c>
      <c r="I445" s="46" t="s">
        <v>210</v>
      </c>
      <c r="J445" s="41">
        <v>105.7</v>
      </c>
      <c r="K445" s="41"/>
      <c r="L445" s="41"/>
    </row>
    <row r="446" spans="1:12" x14ac:dyDescent="0.35">
      <c r="A446" s="46">
        <v>445</v>
      </c>
      <c r="B446" s="46">
        <v>85</v>
      </c>
      <c r="C446" s="49"/>
      <c r="D446" s="41" t="s">
        <v>215</v>
      </c>
      <c r="E446" s="46">
        <v>5.0999999999999996</v>
      </c>
      <c r="F446" s="41">
        <v>1585</v>
      </c>
      <c r="G446" s="41"/>
      <c r="H446" s="41" t="s">
        <v>218</v>
      </c>
      <c r="I446" s="46" t="s">
        <v>210</v>
      </c>
      <c r="J446" s="41">
        <v>91.9</v>
      </c>
      <c r="K446" s="41"/>
      <c r="L446" s="41"/>
    </row>
    <row r="447" spans="1:12" x14ac:dyDescent="0.35">
      <c r="A447" s="46">
        <v>446</v>
      </c>
      <c r="B447" s="46">
        <v>86</v>
      </c>
      <c r="C447" s="48">
        <v>29</v>
      </c>
      <c r="D447" s="41" t="s">
        <v>215</v>
      </c>
      <c r="E447" s="46">
        <v>5.2</v>
      </c>
      <c r="F447" s="41">
        <v>1586</v>
      </c>
      <c r="G447" s="43" t="s">
        <v>33</v>
      </c>
      <c r="H447" s="41" t="s">
        <v>219</v>
      </c>
      <c r="I447" s="46" t="s">
        <v>210</v>
      </c>
      <c r="J447" s="41">
        <v>82.1</v>
      </c>
      <c r="K447" s="40">
        <f>10^5</f>
        <v>100000</v>
      </c>
      <c r="L447" s="44">
        <f>LOG10(K447)</f>
        <v>5</v>
      </c>
    </row>
    <row r="448" spans="1:12" x14ac:dyDescent="0.35">
      <c r="A448" s="46">
        <v>447</v>
      </c>
      <c r="B448" s="46">
        <v>87</v>
      </c>
      <c r="C448" s="48">
        <v>30</v>
      </c>
      <c r="D448" s="41" t="s">
        <v>215</v>
      </c>
      <c r="E448" s="46">
        <v>5.3</v>
      </c>
      <c r="F448" s="41">
        <v>1587</v>
      </c>
      <c r="G448" s="43" t="s">
        <v>42</v>
      </c>
      <c r="H448" s="41" t="s">
        <v>218</v>
      </c>
      <c r="I448" s="46" t="s">
        <v>210</v>
      </c>
      <c r="J448" s="41">
        <v>108.5</v>
      </c>
      <c r="K448" s="40">
        <f>39*10^5</f>
        <v>3900000</v>
      </c>
      <c r="L448" s="44">
        <f>LOG10(K448)</f>
        <v>6.5910646070264995</v>
      </c>
    </row>
    <row r="449" spans="1:12" x14ac:dyDescent="0.35">
      <c r="A449" s="46">
        <v>448</v>
      </c>
      <c r="B449" s="46">
        <v>88</v>
      </c>
      <c r="C449" s="49"/>
      <c r="D449" s="41" t="s">
        <v>215</v>
      </c>
      <c r="E449" s="46">
        <v>5.4</v>
      </c>
      <c r="F449" s="41">
        <v>1588</v>
      </c>
      <c r="G449" s="41"/>
      <c r="H449" s="41" t="s">
        <v>218</v>
      </c>
      <c r="I449" s="46" t="s">
        <v>210</v>
      </c>
      <c r="J449" s="41">
        <v>97.1</v>
      </c>
      <c r="K449" s="41"/>
      <c r="L449" s="41"/>
    </row>
    <row r="450" spans="1:12" x14ac:dyDescent="0.35">
      <c r="A450" s="46">
        <v>449</v>
      </c>
      <c r="B450" s="46">
        <v>89</v>
      </c>
      <c r="C450" s="49"/>
      <c r="D450" s="41" t="s">
        <v>215</v>
      </c>
      <c r="E450" s="46">
        <v>5.5</v>
      </c>
      <c r="F450" s="41">
        <v>1589</v>
      </c>
      <c r="G450" s="41"/>
      <c r="H450" s="41" t="s">
        <v>218</v>
      </c>
      <c r="I450" s="46" t="s">
        <v>210</v>
      </c>
      <c r="J450" s="41">
        <v>99.2</v>
      </c>
      <c r="K450" s="41"/>
      <c r="L450" s="41"/>
    </row>
    <row r="451" spans="1:12" x14ac:dyDescent="0.35">
      <c r="A451" s="46">
        <v>450</v>
      </c>
      <c r="B451" s="46">
        <v>90</v>
      </c>
      <c r="C451" s="49"/>
      <c r="D451" s="41" t="s">
        <v>215</v>
      </c>
      <c r="E451" s="46">
        <v>5.6</v>
      </c>
      <c r="F451" s="41">
        <v>1590</v>
      </c>
      <c r="G451" s="41"/>
      <c r="H451" s="41" t="s">
        <v>218</v>
      </c>
      <c r="I451" s="46" t="s">
        <v>210</v>
      </c>
      <c r="J451" s="41">
        <v>105.4</v>
      </c>
      <c r="K451" s="41"/>
      <c r="L451" s="41"/>
    </row>
  </sheetData>
  <sortState xmlns:xlrd2="http://schemas.microsoft.com/office/spreadsheetml/2017/richdata2" ref="A2:AE451">
    <sortCondition ref="A2:A451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079D-99BF-43FF-AF0B-3CD67B001DD7}">
  <dimension ref="A1:D76"/>
  <sheetViews>
    <sheetView zoomScale="85" zoomScaleNormal="85" workbookViewId="0">
      <pane ySplit="1" topLeftCell="A65" activePane="bottomLeft" state="frozen"/>
      <selection pane="bottomLeft" activeCell="B79" sqref="B79"/>
    </sheetView>
  </sheetViews>
  <sheetFormatPr defaultRowHeight="14.5" x14ac:dyDescent="0.35"/>
  <cols>
    <col min="1" max="1" width="8.54296875" bestFit="1" customWidth="1"/>
    <col min="2" max="2" width="4.7265625" bestFit="1" customWidth="1"/>
    <col min="3" max="3" width="9.6328125" bestFit="1" customWidth="1"/>
    <col min="4" max="4" width="10.453125" bestFit="1" customWidth="1"/>
  </cols>
  <sheetData>
    <row r="1" spans="1:4" s="10" customFormat="1" x14ac:dyDescent="0.35">
      <c r="A1" s="12" t="s">
        <v>133</v>
      </c>
      <c r="B1" s="12" t="s">
        <v>58</v>
      </c>
      <c r="C1" s="12" t="s">
        <v>224</v>
      </c>
      <c r="D1" s="12" t="s">
        <v>225</v>
      </c>
    </row>
    <row r="2" spans="1:4" x14ac:dyDescent="0.35">
      <c r="A2" s="13" t="s">
        <v>43</v>
      </c>
      <c r="B2" s="14" t="s">
        <v>59</v>
      </c>
      <c r="C2" s="14">
        <f>0.5*10^3</f>
        <v>500</v>
      </c>
      <c r="D2" s="36">
        <f>LOG10(C2)</f>
        <v>2.6989700043360187</v>
      </c>
    </row>
    <row r="3" spans="1:4" x14ac:dyDescent="0.35">
      <c r="A3" s="13" t="s">
        <v>45</v>
      </c>
      <c r="B3" s="14" t="s">
        <v>59</v>
      </c>
      <c r="C3" s="14">
        <f>0.2*10^5</f>
        <v>20000</v>
      </c>
      <c r="D3" s="36">
        <f t="shared" ref="D3:D66" si="0">LOG10(C3)</f>
        <v>4.3010299956639813</v>
      </c>
    </row>
    <row r="4" spans="1:4" x14ac:dyDescent="0.35">
      <c r="A4" s="13" t="s">
        <v>47</v>
      </c>
      <c r="B4" s="14" t="s">
        <v>59</v>
      </c>
      <c r="C4" s="14">
        <f>10^5</f>
        <v>100000</v>
      </c>
      <c r="D4" s="36">
        <f t="shared" si="0"/>
        <v>5</v>
      </c>
    </row>
    <row r="5" spans="1:4" x14ac:dyDescent="0.35">
      <c r="A5" s="13" t="s">
        <v>48</v>
      </c>
      <c r="B5" s="14" t="s">
        <v>59</v>
      </c>
      <c r="C5" s="14">
        <f>5.35*10^6</f>
        <v>5350000</v>
      </c>
      <c r="D5" s="36">
        <f t="shared" si="0"/>
        <v>6.7283537820212285</v>
      </c>
    </row>
    <row r="6" spans="1:4" x14ac:dyDescent="0.35">
      <c r="A6" s="13" t="s">
        <v>49</v>
      </c>
      <c r="B6" s="14" t="s">
        <v>59</v>
      </c>
      <c r="C6" s="14">
        <f>1.25*10^6</f>
        <v>1250000</v>
      </c>
      <c r="D6" s="36">
        <f t="shared" si="0"/>
        <v>6.0969100130080562</v>
      </c>
    </row>
    <row r="7" spans="1:4" x14ac:dyDescent="0.35">
      <c r="A7" s="13" t="s">
        <v>44</v>
      </c>
      <c r="B7" s="14" t="s">
        <v>59</v>
      </c>
      <c r="C7" s="14">
        <f>1.5*10^5</f>
        <v>150000</v>
      </c>
      <c r="D7" s="36">
        <f t="shared" si="0"/>
        <v>5.1760912590556813</v>
      </c>
    </row>
    <row r="8" spans="1:4" x14ac:dyDescent="0.35">
      <c r="A8" s="13" t="s">
        <v>46</v>
      </c>
      <c r="B8" s="14" t="s">
        <v>59</v>
      </c>
      <c r="C8" s="14">
        <f>8.2*10^5</f>
        <v>819999.99999999988</v>
      </c>
      <c r="D8" s="36">
        <f t="shared" si="0"/>
        <v>5.9138138523837167</v>
      </c>
    </row>
    <row r="9" spans="1:4" x14ac:dyDescent="0.35">
      <c r="A9" s="13" t="s">
        <v>50</v>
      </c>
      <c r="B9" s="14" t="s">
        <v>59</v>
      </c>
      <c r="C9" s="14">
        <f>6.18*10^5</f>
        <v>618000</v>
      </c>
      <c r="D9" s="36">
        <f t="shared" si="0"/>
        <v>5.7909884750888159</v>
      </c>
    </row>
    <row r="10" spans="1:4" x14ac:dyDescent="0.35">
      <c r="A10" s="13" t="s">
        <v>51</v>
      </c>
      <c r="B10" s="14" t="s">
        <v>59</v>
      </c>
      <c r="C10" s="14">
        <f>2.5*10^5</f>
        <v>250000</v>
      </c>
      <c r="D10" s="36">
        <f t="shared" si="0"/>
        <v>5.3979400086720375</v>
      </c>
    </row>
    <row r="11" spans="1:4" x14ac:dyDescent="0.35">
      <c r="A11" s="13" t="s">
        <v>52</v>
      </c>
      <c r="B11" s="14" t="s">
        <v>59</v>
      </c>
      <c r="C11" s="14">
        <v>0</v>
      </c>
      <c r="D11" s="36"/>
    </row>
    <row r="12" spans="1:4" x14ac:dyDescent="0.35">
      <c r="A12" s="13" t="s">
        <v>53</v>
      </c>
      <c r="B12" s="14" t="s">
        <v>59</v>
      </c>
      <c r="C12" s="14">
        <f>1.55*10^7</f>
        <v>15500000</v>
      </c>
      <c r="D12" s="36">
        <f t="shared" si="0"/>
        <v>7.1903316981702918</v>
      </c>
    </row>
    <row r="13" spans="1:4" x14ac:dyDescent="0.35">
      <c r="A13" s="13" t="s">
        <v>54</v>
      </c>
      <c r="B13" s="14" t="s">
        <v>59</v>
      </c>
      <c r="C13" s="14">
        <f>2.2*10^3</f>
        <v>2200</v>
      </c>
      <c r="D13" s="36">
        <f t="shared" si="0"/>
        <v>3.3424226808222062</v>
      </c>
    </row>
    <row r="14" spans="1:4" x14ac:dyDescent="0.35">
      <c r="A14" s="13" t="s">
        <v>55</v>
      </c>
      <c r="B14" s="14" t="s">
        <v>59</v>
      </c>
      <c r="C14" s="14">
        <f>1.94*10^7</f>
        <v>19400000</v>
      </c>
      <c r="D14" s="36">
        <f t="shared" si="0"/>
        <v>7.2878017299302265</v>
      </c>
    </row>
    <row r="15" spans="1:4" x14ac:dyDescent="0.35">
      <c r="A15" s="13" t="s">
        <v>56</v>
      </c>
      <c r="B15" s="14" t="s">
        <v>59</v>
      </c>
      <c r="C15" s="14">
        <f>0.98*10^3</f>
        <v>980</v>
      </c>
      <c r="D15" s="36">
        <f t="shared" si="0"/>
        <v>2.9912260756924947</v>
      </c>
    </row>
    <row r="16" spans="1:4" x14ac:dyDescent="0.35">
      <c r="A16" s="13" t="s">
        <v>57</v>
      </c>
      <c r="B16" s="14" t="s">
        <v>59</v>
      </c>
      <c r="C16" s="14">
        <f>0.15*10^3</f>
        <v>150</v>
      </c>
      <c r="D16" s="36">
        <f t="shared" si="0"/>
        <v>2.1760912590556813</v>
      </c>
    </row>
    <row r="17" spans="1:4" x14ac:dyDescent="0.35">
      <c r="A17" s="13" t="s">
        <v>43</v>
      </c>
      <c r="B17" s="14" t="s">
        <v>131</v>
      </c>
      <c r="C17" s="14">
        <v>0</v>
      </c>
      <c r="D17" s="36"/>
    </row>
    <row r="18" spans="1:4" x14ac:dyDescent="0.35">
      <c r="A18" s="13" t="s">
        <v>45</v>
      </c>
      <c r="B18" s="14" t="s">
        <v>131</v>
      </c>
      <c r="C18" s="14">
        <f>8.53*10^5</f>
        <v>852999.99999999988</v>
      </c>
      <c r="D18" s="36">
        <f t="shared" si="0"/>
        <v>5.9309490311675228</v>
      </c>
    </row>
    <row r="19" spans="1:4" x14ac:dyDescent="0.35">
      <c r="A19" s="13" t="s">
        <v>47</v>
      </c>
      <c r="B19" s="14" t="s">
        <v>131</v>
      </c>
      <c r="C19" s="14">
        <f>3.8*10^5</f>
        <v>380000</v>
      </c>
      <c r="D19" s="36">
        <f t="shared" si="0"/>
        <v>5.5797835966168101</v>
      </c>
    </row>
    <row r="20" spans="1:4" x14ac:dyDescent="0.35">
      <c r="A20" s="13" t="s">
        <v>48</v>
      </c>
      <c r="B20" s="14" t="s">
        <v>131</v>
      </c>
      <c r="C20" s="14">
        <f>10^5</f>
        <v>100000</v>
      </c>
      <c r="D20" s="36">
        <f t="shared" si="0"/>
        <v>5</v>
      </c>
    </row>
    <row r="21" spans="1:4" x14ac:dyDescent="0.35">
      <c r="A21" s="13" t="s">
        <v>49</v>
      </c>
      <c r="B21" s="14" t="s">
        <v>131</v>
      </c>
      <c r="C21" s="14">
        <f>2.68*10^5</f>
        <v>268000</v>
      </c>
      <c r="D21" s="36">
        <f t="shared" si="0"/>
        <v>5.4281347940287885</v>
      </c>
    </row>
    <row r="22" spans="1:4" x14ac:dyDescent="0.35">
      <c r="A22" s="13" t="s">
        <v>44</v>
      </c>
      <c r="B22" s="14" t="s">
        <v>131</v>
      </c>
      <c r="C22" s="14">
        <f>1.5*10^5</f>
        <v>150000</v>
      </c>
      <c r="D22" s="36">
        <f t="shared" si="0"/>
        <v>5.1760912590556813</v>
      </c>
    </row>
    <row r="23" spans="1:4" x14ac:dyDescent="0.35">
      <c r="A23" s="13" t="s">
        <v>46</v>
      </c>
      <c r="B23" s="14" t="s">
        <v>131</v>
      </c>
      <c r="C23" s="14">
        <f>1.49*10^5</f>
        <v>149000</v>
      </c>
      <c r="D23" s="36">
        <f t="shared" si="0"/>
        <v>5.173186268412274</v>
      </c>
    </row>
    <row r="24" spans="1:4" x14ac:dyDescent="0.35">
      <c r="A24" s="13" t="s">
        <v>50</v>
      </c>
      <c r="B24" s="14" t="s">
        <v>131</v>
      </c>
      <c r="C24" s="14">
        <f>15*10^5</f>
        <v>1500000</v>
      </c>
      <c r="D24" s="36">
        <f t="shared" si="0"/>
        <v>6.1760912590556813</v>
      </c>
    </row>
    <row r="25" spans="1:4" x14ac:dyDescent="0.35">
      <c r="A25" s="13" t="s">
        <v>51</v>
      </c>
      <c r="B25" s="14" t="s">
        <v>131</v>
      </c>
      <c r="C25" s="14">
        <f>11.55*10^5</f>
        <v>1155000</v>
      </c>
      <c r="D25" s="36">
        <f t="shared" si="0"/>
        <v>6.0625819842281627</v>
      </c>
    </row>
    <row r="26" spans="1:4" x14ac:dyDescent="0.35">
      <c r="A26" s="13" t="s">
        <v>52</v>
      </c>
      <c r="B26" s="14" t="s">
        <v>131</v>
      </c>
      <c r="C26" s="14">
        <f>0.5*10^3</f>
        <v>500</v>
      </c>
      <c r="D26" s="36">
        <f t="shared" si="0"/>
        <v>2.6989700043360187</v>
      </c>
    </row>
    <row r="27" spans="1:4" x14ac:dyDescent="0.35">
      <c r="A27" s="13" t="s">
        <v>53</v>
      </c>
      <c r="B27" s="14" t="s">
        <v>131</v>
      </c>
      <c r="C27" s="14">
        <f>5.5*10^6</f>
        <v>5500000</v>
      </c>
      <c r="D27" s="36">
        <f t="shared" si="0"/>
        <v>6.7403626894942441</v>
      </c>
    </row>
    <row r="28" spans="1:4" x14ac:dyDescent="0.35">
      <c r="A28" s="13" t="s">
        <v>54</v>
      </c>
      <c r="B28" s="14" t="s">
        <v>131</v>
      </c>
      <c r="C28" s="14">
        <f>5.65*10^7</f>
        <v>56500000</v>
      </c>
      <c r="D28" s="36">
        <f t="shared" si="0"/>
        <v>7.7520484478194387</v>
      </c>
    </row>
    <row r="29" spans="1:4" x14ac:dyDescent="0.35">
      <c r="A29" s="13" t="s">
        <v>55</v>
      </c>
      <c r="B29" s="14" t="s">
        <v>131</v>
      </c>
      <c r="C29" s="14">
        <f>16*10^6</f>
        <v>16000000</v>
      </c>
      <c r="D29" s="36">
        <f t="shared" si="0"/>
        <v>7.204119982655925</v>
      </c>
    </row>
    <row r="30" spans="1:4" x14ac:dyDescent="0.35">
      <c r="A30" s="13" t="s">
        <v>56</v>
      </c>
      <c r="B30" s="14" t="s">
        <v>131</v>
      </c>
      <c r="C30" s="14">
        <f>0.3*10^5</f>
        <v>30000</v>
      </c>
      <c r="D30" s="36">
        <f t="shared" si="0"/>
        <v>4.4771212547196626</v>
      </c>
    </row>
    <row r="31" spans="1:4" x14ac:dyDescent="0.35">
      <c r="A31" s="13" t="s">
        <v>57</v>
      </c>
      <c r="B31" s="14" t="s">
        <v>131</v>
      </c>
      <c r="C31" s="14">
        <f>11*10^6</f>
        <v>11000000</v>
      </c>
      <c r="D31" s="36">
        <f t="shared" si="0"/>
        <v>7.0413926851582254</v>
      </c>
    </row>
    <row r="32" spans="1:4" x14ac:dyDescent="0.35">
      <c r="A32" s="14" t="s">
        <v>43</v>
      </c>
      <c r="B32" s="14" t="s">
        <v>132</v>
      </c>
      <c r="C32" s="14">
        <f>2.75*10^5</f>
        <v>275000</v>
      </c>
      <c r="D32" s="36">
        <f t="shared" si="0"/>
        <v>5.4393326938302629</v>
      </c>
    </row>
    <row r="33" spans="1:4" x14ac:dyDescent="0.35">
      <c r="A33" s="14" t="s">
        <v>45</v>
      </c>
      <c r="B33" s="14" t="s">
        <v>132</v>
      </c>
      <c r="C33" s="14">
        <v>0</v>
      </c>
      <c r="D33" s="36"/>
    </row>
    <row r="34" spans="1:4" x14ac:dyDescent="0.35">
      <c r="A34" s="14" t="s">
        <v>47</v>
      </c>
      <c r="B34" s="14" t="s">
        <v>132</v>
      </c>
      <c r="C34" s="14">
        <f>0.5*10^4</f>
        <v>5000</v>
      </c>
      <c r="D34" s="36">
        <f t="shared" si="0"/>
        <v>3.6989700043360187</v>
      </c>
    </row>
    <row r="35" spans="1:4" x14ac:dyDescent="0.35">
      <c r="A35" s="14" t="s">
        <v>48</v>
      </c>
      <c r="B35" s="14" t="s">
        <v>132</v>
      </c>
      <c r="C35" s="14">
        <f>6*10^5</f>
        <v>600000</v>
      </c>
      <c r="D35" s="36">
        <f t="shared" si="0"/>
        <v>5.7781512503836439</v>
      </c>
    </row>
    <row r="36" spans="1:4" x14ac:dyDescent="0.35">
      <c r="A36" s="14" t="s">
        <v>49</v>
      </c>
      <c r="B36" s="14" t="s">
        <v>132</v>
      </c>
      <c r="C36" s="14">
        <v>0</v>
      </c>
      <c r="D36" s="36"/>
    </row>
    <row r="37" spans="1:4" x14ac:dyDescent="0.35">
      <c r="A37" s="14" t="s">
        <v>44</v>
      </c>
      <c r="B37" s="14" t="s">
        <v>132</v>
      </c>
      <c r="C37" s="14">
        <f>19.25*10^5</f>
        <v>1925000</v>
      </c>
      <c r="D37" s="36">
        <f t="shared" si="0"/>
        <v>6.2844307338445198</v>
      </c>
    </row>
    <row r="38" spans="1:4" x14ac:dyDescent="0.35">
      <c r="A38" s="14" t="s">
        <v>46</v>
      </c>
      <c r="B38" s="14" t="s">
        <v>132</v>
      </c>
      <c r="C38" s="14">
        <f>12.75*10^5</f>
        <v>1275000</v>
      </c>
      <c r="D38" s="36">
        <f t="shared" si="0"/>
        <v>6.1055101847699742</v>
      </c>
    </row>
    <row r="39" spans="1:4" x14ac:dyDescent="0.35">
      <c r="A39" s="14" t="s">
        <v>50</v>
      </c>
      <c r="B39" s="14" t="s">
        <v>132</v>
      </c>
      <c r="C39" s="14">
        <f>15*10^5</f>
        <v>1500000</v>
      </c>
      <c r="D39" s="36">
        <f t="shared" si="0"/>
        <v>6.1760912590556813</v>
      </c>
    </row>
    <row r="40" spans="1:4" x14ac:dyDescent="0.35">
      <c r="A40" s="14" t="s">
        <v>51</v>
      </c>
      <c r="B40" s="14" t="s">
        <v>132</v>
      </c>
      <c r="C40" s="14">
        <f>5*10^5</f>
        <v>500000</v>
      </c>
      <c r="D40" s="36">
        <f t="shared" si="0"/>
        <v>5.6989700043360187</v>
      </c>
    </row>
    <row r="41" spans="1:4" x14ac:dyDescent="0.35">
      <c r="A41" s="14" t="s">
        <v>52</v>
      </c>
      <c r="B41" s="14" t="s">
        <v>132</v>
      </c>
      <c r="C41" s="14">
        <f>76.5*10^3</f>
        <v>76500</v>
      </c>
      <c r="D41" s="36">
        <f t="shared" si="0"/>
        <v>4.8836614351536172</v>
      </c>
    </row>
    <row r="42" spans="1:4" x14ac:dyDescent="0.35">
      <c r="A42" s="14" t="s">
        <v>53</v>
      </c>
      <c r="B42" s="14" t="s">
        <v>132</v>
      </c>
      <c r="C42" s="14">
        <f>10.5*10^5</f>
        <v>1050000</v>
      </c>
      <c r="D42" s="36">
        <f t="shared" si="0"/>
        <v>6.0211892990699383</v>
      </c>
    </row>
    <row r="43" spans="1:4" x14ac:dyDescent="0.35">
      <c r="A43" s="14" t="s">
        <v>54</v>
      </c>
      <c r="B43" s="14" t="s">
        <v>132</v>
      </c>
      <c r="C43" s="14">
        <f>3.4*10^5</f>
        <v>340000</v>
      </c>
      <c r="D43" s="36">
        <f t="shared" si="0"/>
        <v>5.5314789170422554</v>
      </c>
    </row>
    <row r="44" spans="1:4" x14ac:dyDescent="0.35">
      <c r="A44" s="14" t="s">
        <v>55</v>
      </c>
      <c r="B44" s="14" t="s">
        <v>132</v>
      </c>
      <c r="C44" s="14">
        <f>28.35*10^5</f>
        <v>2835000</v>
      </c>
      <c r="D44" s="36">
        <f t="shared" si="0"/>
        <v>6.4525530632289252</v>
      </c>
    </row>
    <row r="45" spans="1:4" x14ac:dyDescent="0.35">
      <c r="A45" s="14" t="s">
        <v>56</v>
      </c>
      <c r="B45" s="14" t="s">
        <v>132</v>
      </c>
      <c r="C45" s="14">
        <f>8.75*10^5</f>
        <v>875000</v>
      </c>
      <c r="D45" s="36">
        <f t="shared" si="0"/>
        <v>5.9420080530223132</v>
      </c>
    </row>
    <row r="46" spans="1:4" x14ac:dyDescent="0.35">
      <c r="A46" s="14" t="s">
        <v>57</v>
      </c>
      <c r="B46" s="14" t="s">
        <v>132</v>
      </c>
      <c r="C46" s="14">
        <f>10^5</f>
        <v>100000</v>
      </c>
      <c r="D46" s="36">
        <f t="shared" si="0"/>
        <v>5</v>
      </c>
    </row>
    <row r="47" spans="1:4" x14ac:dyDescent="0.35">
      <c r="A47" s="13" t="s">
        <v>43</v>
      </c>
      <c r="B47" s="14" t="s">
        <v>166</v>
      </c>
      <c r="C47" s="14">
        <v>5000</v>
      </c>
      <c r="D47" s="36">
        <f t="shared" si="0"/>
        <v>3.6989700043360187</v>
      </c>
    </row>
    <row r="48" spans="1:4" x14ac:dyDescent="0.35">
      <c r="A48" s="13" t="s">
        <v>45</v>
      </c>
      <c r="B48" s="14" t="s">
        <v>166</v>
      </c>
      <c r="C48" s="14">
        <v>98000000</v>
      </c>
      <c r="D48" s="36">
        <f t="shared" si="0"/>
        <v>7.9912260756924951</v>
      </c>
    </row>
    <row r="49" spans="1:4" x14ac:dyDescent="0.35">
      <c r="A49" s="13" t="s">
        <v>47</v>
      </c>
      <c r="B49" s="14" t="s">
        <v>166</v>
      </c>
      <c r="C49" s="14">
        <v>55000000</v>
      </c>
      <c r="D49" s="36">
        <f t="shared" si="0"/>
        <v>7.7403626894942441</v>
      </c>
    </row>
    <row r="50" spans="1:4" x14ac:dyDescent="0.35">
      <c r="A50" s="13" t="s">
        <v>48</v>
      </c>
      <c r="B50" s="14" t="s">
        <v>166</v>
      </c>
      <c r="C50" s="14">
        <v>10900000</v>
      </c>
      <c r="D50" s="36">
        <f t="shared" si="0"/>
        <v>7.0374264979406238</v>
      </c>
    </row>
    <row r="51" spans="1:4" x14ac:dyDescent="0.35">
      <c r="A51" s="13" t="s">
        <v>49</v>
      </c>
      <c r="B51" s="14" t="s">
        <v>166</v>
      </c>
      <c r="C51" s="14">
        <v>16100000.000000002</v>
      </c>
      <c r="D51" s="36">
        <f t="shared" si="0"/>
        <v>7.20682587603185</v>
      </c>
    </row>
    <row r="52" spans="1:4" x14ac:dyDescent="0.35">
      <c r="A52" s="13" t="s">
        <v>44</v>
      </c>
      <c r="B52" s="14" t="s">
        <v>166</v>
      </c>
      <c r="C52" s="14">
        <v>3300000</v>
      </c>
      <c r="D52" s="36">
        <f t="shared" si="0"/>
        <v>6.5185139398778871</v>
      </c>
    </row>
    <row r="53" spans="1:4" x14ac:dyDescent="0.35">
      <c r="A53" s="13" t="s">
        <v>46</v>
      </c>
      <c r="B53" s="14" t="s">
        <v>166</v>
      </c>
      <c r="C53" s="14">
        <v>1800</v>
      </c>
      <c r="D53" s="36">
        <f t="shared" si="0"/>
        <v>3.255272505103306</v>
      </c>
    </row>
    <row r="54" spans="1:4" x14ac:dyDescent="0.35">
      <c r="A54" s="13" t="s">
        <v>50</v>
      </c>
      <c r="B54" s="14" t="s">
        <v>166</v>
      </c>
      <c r="C54" s="14">
        <v>2900000</v>
      </c>
      <c r="D54" s="36">
        <f t="shared" si="0"/>
        <v>6.4623979978989565</v>
      </c>
    </row>
    <row r="55" spans="1:4" x14ac:dyDescent="0.35">
      <c r="A55" s="13" t="s">
        <v>51</v>
      </c>
      <c r="B55" s="14" t="s">
        <v>166</v>
      </c>
      <c r="C55" s="14">
        <v>595000000</v>
      </c>
      <c r="D55" s="36">
        <f t="shared" si="0"/>
        <v>8.7745169657285498</v>
      </c>
    </row>
    <row r="56" spans="1:4" x14ac:dyDescent="0.35">
      <c r="A56" s="13" t="s">
        <v>52</v>
      </c>
      <c r="B56" s="14" t="s">
        <v>166</v>
      </c>
      <c r="C56" s="14">
        <v>3400</v>
      </c>
      <c r="D56" s="36">
        <f t="shared" si="0"/>
        <v>3.5314789170422549</v>
      </c>
    </row>
    <row r="57" spans="1:4" x14ac:dyDescent="0.35">
      <c r="A57" s="13" t="s">
        <v>53</v>
      </c>
      <c r="B57" s="14" t="s">
        <v>166</v>
      </c>
      <c r="C57" s="14">
        <v>575000000</v>
      </c>
      <c r="D57" s="36">
        <f t="shared" si="0"/>
        <v>8.7596678446896306</v>
      </c>
    </row>
    <row r="58" spans="1:4" x14ac:dyDescent="0.35">
      <c r="A58" s="13" t="s">
        <v>54</v>
      </c>
      <c r="B58" s="14" t="s">
        <v>166</v>
      </c>
      <c r="C58" s="14">
        <v>6000000</v>
      </c>
      <c r="D58" s="36">
        <f t="shared" si="0"/>
        <v>6.7781512503836439</v>
      </c>
    </row>
    <row r="59" spans="1:4" x14ac:dyDescent="0.35">
      <c r="A59" s="13" t="s">
        <v>55</v>
      </c>
      <c r="B59" s="14" t="s">
        <v>166</v>
      </c>
      <c r="C59" s="14">
        <v>400000</v>
      </c>
      <c r="D59" s="36">
        <f t="shared" si="0"/>
        <v>5.6020599913279625</v>
      </c>
    </row>
    <row r="60" spans="1:4" x14ac:dyDescent="0.35">
      <c r="A60" s="13" t="s">
        <v>56</v>
      </c>
      <c r="B60" s="14" t="s">
        <v>166</v>
      </c>
      <c r="C60" s="14">
        <v>1900000</v>
      </c>
      <c r="D60" s="36">
        <f t="shared" si="0"/>
        <v>6.2787536009528289</v>
      </c>
    </row>
    <row r="61" spans="1:4" x14ac:dyDescent="0.35">
      <c r="A61" s="13" t="s">
        <v>57</v>
      </c>
      <c r="B61" s="14" t="s">
        <v>166</v>
      </c>
      <c r="C61" s="14">
        <v>9500000</v>
      </c>
      <c r="D61" s="36">
        <f t="shared" si="0"/>
        <v>6.9777236052888476</v>
      </c>
    </row>
    <row r="62" spans="1:4" x14ac:dyDescent="0.35">
      <c r="A62" s="14" t="s">
        <v>43</v>
      </c>
      <c r="B62" s="14" t="s">
        <v>210</v>
      </c>
      <c r="C62" s="14">
        <f>12.5*10^3</f>
        <v>12500</v>
      </c>
      <c r="D62" s="36">
        <f t="shared" si="0"/>
        <v>4.0969100130080562</v>
      </c>
    </row>
    <row r="63" spans="1:4" x14ac:dyDescent="0.35">
      <c r="A63" s="14" t="s">
        <v>45</v>
      </c>
      <c r="B63" s="14" t="s">
        <v>210</v>
      </c>
      <c r="C63" s="14">
        <f>1.85*10^5</f>
        <v>185000</v>
      </c>
      <c r="D63" s="36">
        <f t="shared" si="0"/>
        <v>5.2671717284030137</v>
      </c>
    </row>
    <row r="64" spans="1:4" x14ac:dyDescent="0.35">
      <c r="A64" s="14" t="s">
        <v>47</v>
      </c>
      <c r="B64" s="14" t="s">
        <v>210</v>
      </c>
      <c r="C64" s="14">
        <f>1.79*10^7</f>
        <v>17900000</v>
      </c>
      <c r="D64" s="36">
        <f t="shared" si="0"/>
        <v>7.2528530309798933</v>
      </c>
    </row>
    <row r="65" spans="1:4" x14ac:dyDescent="0.35">
      <c r="A65" s="14" t="s">
        <v>48</v>
      </c>
      <c r="B65" s="14" t="s">
        <v>210</v>
      </c>
      <c r="C65" s="14">
        <f>6.85*10^7</f>
        <v>68500000</v>
      </c>
      <c r="D65" s="36">
        <f t="shared" si="0"/>
        <v>7.8356905714924254</v>
      </c>
    </row>
    <row r="66" spans="1:4" x14ac:dyDescent="0.35">
      <c r="A66" s="14" t="s">
        <v>49</v>
      </c>
      <c r="B66" s="14" t="s">
        <v>210</v>
      </c>
      <c r="C66" s="14">
        <f>1.1*10^5</f>
        <v>110000.00000000001</v>
      </c>
      <c r="D66" s="36">
        <f t="shared" si="0"/>
        <v>5.0413926851582254</v>
      </c>
    </row>
    <row r="67" spans="1:4" x14ac:dyDescent="0.35">
      <c r="A67" s="14" t="s">
        <v>44</v>
      </c>
      <c r="B67" s="14" t="s">
        <v>210</v>
      </c>
      <c r="C67" s="14">
        <f>8.6*10^7</f>
        <v>86000000</v>
      </c>
      <c r="D67" s="36">
        <f t="shared" ref="D67:D76" si="1">LOG10(C67)</f>
        <v>7.9344984512435675</v>
      </c>
    </row>
    <row r="68" spans="1:4" x14ac:dyDescent="0.35">
      <c r="A68" s="14" t="s">
        <v>46</v>
      </c>
      <c r="B68" s="14" t="s">
        <v>210</v>
      </c>
      <c r="C68" s="14">
        <f>54.5*10^3</f>
        <v>54500</v>
      </c>
      <c r="D68" s="36">
        <f t="shared" si="1"/>
        <v>4.7363965022766426</v>
      </c>
    </row>
    <row r="69" spans="1:4" x14ac:dyDescent="0.35">
      <c r="A69" s="14" t="s">
        <v>50</v>
      </c>
      <c r="B69" s="14" t="s">
        <v>210</v>
      </c>
      <c r="C69" s="14">
        <f>50.5*10^3</f>
        <v>50500</v>
      </c>
      <c r="D69" s="36">
        <f t="shared" si="1"/>
        <v>4.7032913781186609</v>
      </c>
    </row>
    <row r="70" spans="1:4" x14ac:dyDescent="0.35">
      <c r="A70" s="14" t="s">
        <v>51</v>
      </c>
      <c r="B70" s="14" t="s">
        <v>210</v>
      </c>
      <c r="C70" s="14">
        <f>19*10^3</f>
        <v>19000</v>
      </c>
      <c r="D70" s="36">
        <f t="shared" si="1"/>
        <v>4.2787536009528289</v>
      </c>
    </row>
    <row r="71" spans="1:4" x14ac:dyDescent="0.35">
      <c r="A71" s="14" t="s">
        <v>52</v>
      </c>
      <c r="B71" s="14" t="s">
        <v>210</v>
      </c>
      <c r="C71" s="14">
        <f>56*10^3</f>
        <v>56000</v>
      </c>
      <c r="D71" s="36">
        <f t="shared" si="1"/>
        <v>4.7481880270062007</v>
      </c>
    </row>
    <row r="72" spans="1:4" x14ac:dyDescent="0.35">
      <c r="A72" s="14" t="s">
        <v>53</v>
      </c>
      <c r="B72" s="14" t="s">
        <v>210</v>
      </c>
      <c r="C72" s="14">
        <f>65.5*10^3</f>
        <v>65500</v>
      </c>
      <c r="D72" s="36">
        <f t="shared" si="1"/>
        <v>4.8162412999917832</v>
      </c>
    </row>
    <row r="73" spans="1:4" x14ac:dyDescent="0.35">
      <c r="A73" s="14" t="s">
        <v>54</v>
      </c>
      <c r="B73" s="14" t="s">
        <v>210</v>
      </c>
      <c r="C73" s="14">
        <f>5.25*10^3</f>
        <v>5250</v>
      </c>
      <c r="D73" s="36">
        <f t="shared" si="1"/>
        <v>3.720159303405957</v>
      </c>
    </row>
    <row r="74" spans="1:4" x14ac:dyDescent="0.35">
      <c r="A74" s="14" t="s">
        <v>55</v>
      </c>
      <c r="B74" s="14" t="s">
        <v>210</v>
      </c>
      <c r="C74" s="14">
        <f>1.18*10^3</f>
        <v>1180</v>
      </c>
      <c r="D74" s="36">
        <f t="shared" si="1"/>
        <v>3.0718820073061255</v>
      </c>
    </row>
    <row r="75" spans="1:4" x14ac:dyDescent="0.35">
      <c r="A75" s="14" t="s">
        <v>56</v>
      </c>
      <c r="B75" s="14" t="s">
        <v>210</v>
      </c>
      <c r="C75" s="14">
        <f>4.08*10^3</f>
        <v>4080</v>
      </c>
      <c r="D75" s="36">
        <f t="shared" si="1"/>
        <v>3.61066016308988</v>
      </c>
    </row>
    <row r="76" spans="1:4" x14ac:dyDescent="0.35">
      <c r="A76" s="14" t="s">
        <v>57</v>
      </c>
      <c r="B76" s="14" t="s">
        <v>210</v>
      </c>
      <c r="C76" s="14">
        <f>6*10^3</f>
        <v>6000</v>
      </c>
      <c r="D76" s="36">
        <f t="shared" si="1"/>
        <v>3.7781512503836434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D191-2436-43ED-95F5-3F3A41AB4DD0}">
  <dimension ref="A1:DP28"/>
  <sheetViews>
    <sheetView tabSelected="1" zoomScaleNormal="100" workbookViewId="0">
      <selection activeCell="F12" sqref="F12"/>
    </sheetView>
  </sheetViews>
  <sheetFormatPr defaultRowHeight="14.5" x14ac:dyDescent="0.35"/>
  <cols>
    <col min="1" max="1" width="8.7265625" style="1" customWidth="1"/>
    <col min="2" max="2" width="8.7265625" style="1"/>
    <col min="33" max="33" width="8.7265625" style="31"/>
  </cols>
  <sheetData>
    <row r="1" spans="1:120" s="9" customFormat="1" x14ac:dyDescent="0.35">
      <c r="A1" s="8"/>
      <c r="B1" s="8"/>
      <c r="C1" s="42" t="s">
        <v>67</v>
      </c>
      <c r="D1" s="42" t="s">
        <v>68</v>
      </c>
      <c r="E1" s="42" t="s">
        <v>69</v>
      </c>
      <c r="F1" s="42" t="s">
        <v>70</v>
      </c>
      <c r="G1" s="42" t="s">
        <v>71</v>
      </c>
      <c r="H1" s="42" t="s">
        <v>72</v>
      </c>
      <c r="I1" s="42" t="s">
        <v>73</v>
      </c>
      <c r="J1" s="42" t="s">
        <v>74</v>
      </c>
      <c r="K1" s="42" t="s">
        <v>75</v>
      </c>
      <c r="L1" s="42" t="s">
        <v>76</v>
      </c>
      <c r="M1" s="42" t="s">
        <v>77</v>
      </c>
      <c r="N1" s="42" t="s">
        <v>78</v>
      </c>
      <c r="O1" s="42" t="s">
        <v>79</v>
      </c>
      <c r="P1" s="42" t="s">
        <v>80</v>
      </c>
      <c r="Q1" s="42" t="s">
        <v>81</v>
      </c>
      <c r="R1" s="42" t="s">
        <v>82</v>
      </c>
      <c r="S1" s="42" t="s">
        <v>83</v>
      </c>
      <c r="T1" s="42" t="s">
        <v>84</v>
      </c>
      <c r="U1" s="42" t="s">
        <v>85</v>
      </c>
      <c r="V1" s="42" t="s">
        <v>86</v>
      </c>
      <c r="W1" s="42" t="s">
        <v>87</v>
      </c>
      <c r="X1" s="42" t="s">
        <v>88</v>
      </c>
      <c r="Y1" s="42" t="s">
        <v>89</v>
      </c>
      <c r="Z1" s="42" t="s">
        <v>90</v>
      </c>
      <c r="AA1" s="42" t="s">
        <v>91</v>
      </c>
      <c r="AB1" s="42" t="s">
        <v>92</v>
      </c>
      <c r="AC1" s="42" t="s">
        <v>93</v>
      </c>
      <c r="AD1" s="42" t="s">
        <v>94</v>
      </c>
      <c r="AE1" s="42" t="s">
        <v>95</v>
      </c>
      <c r="AF1" s="42" t="s">
        <v>96</v>
      </c>
      <c r="AG1" s="55" t="s">
        <v>97</v>
      </c>
      <c r="AH1" s="42" t="s">
        <v>98</v>
      </c>
      <c r="AI1" s="42" t="s">
        <v>99</v>
      </c>
      <c r="AJ1" s="42" t="s">
        <v>100</v>
      </c>
      <c r="AK1" s="42" t="s">
        <v>101</v>
      </c>
      <c r="AL1" s="42" t="s">
        <v>102</v>
      </c>
      <c r="AM1" s="42" t="s">
        <v>103</v>
      </c>
      <c r="AN1" s="42" t="s">
        <v>104</v>
      </c>
      <c r="AO1" s="42" t="s">
        <v>105</v>
      </c>
      <c r="AP1" s="42" t="s">
        <v>106</v>
      </c>
      <c r="AQ1" s="42" t="s">
        <v>107</v>
      </c>
      <c r="AR1" s="42" t="s">
        <v>108</v>
      </c>
      <c r="AS1" s="42" t="s">
        <v>109</v>
      </c>
      <c r="AT1" s="42" t="s">
        <v>110</v>
      </c>
      <c r="AU1" s="42" t="s">
        <v>111</v>
      </c>
      <c r="AV1" s="42" t="s">
        <v>112</v>
      </c>
      <c r="AW1" s="42" t="s">
        <v>113</v>
      </c>
      <c r="AX1" s="42" t="s">
        <v>114</v>
      </c>
      <c r="AY1" s="42" t="s">
        <v>115</v>
      </c>
      <c r="AZ1" s="42" t="s">
        <v>116</v>
      </c>
      <c r="BA1" s="42" t="s">
        <v>117</v>
      </c>
      <c r="BB1" s="42" t="s">
        <v>118</v>
      </c>
      <c r="BC1" s="42" t="s">
        <v>119</v>
      </c>
      <c r="BD1" s="42" t="s">
        <v>120</v>
      </c>
      <c r="BE1" s="42" t="s">
        <v>121</v>
      </c>
      <c r="BF1" s="42" t="s">
        <v>122</v>
      </c>
      <c r="BG1" s="42" t="s">
        <v>123</v>
      </c>
      <c r="BH1" s="42" t="s">
        <v>124</v>
      </c>
      <c r="BI1" s="42" t="s">
        <v>145</v>
      </c>
      <c r="BJ1" s="42" t="s">
        <v>146</v>
      </c>
      <c r="BK1" s="42" t="s">
        <v>147</v>
      </c>
      <c r="BL1" s="42" t="s">
        <v>148</v>
      </c>
      <c r="BM1" s="42" t="s">
        <v>149</v>
      </c>
      <c r="BN1" s="42" t="s">
        <v>150</v>
      </c>
      <c r="BO1" s="42" t="s">
        <v>151</v>
      </c>
      <c r="BP1" s="42" t="s">
        <v>152</v>
      </c>
      <c r="BQ1" s="42" t="s">
        <v>153</v>
      </c>
      <c r="BR1" s="42" t="s">
        <v>154</v>
      </c>
      <c r="BS1" s="42" t="s">
        <v>155</v>
      </c>
      <c r="BT1" s="42" t="s">
        <v>156</v>
      </c>
      <c r="BU1" s="42" t="s">
        <v>157</v>
      </c>
      <c r="BV1" s="42" t="s">
        <v>158</v>
      </c>
      <c r="BW1" s="42" t="s">
        <v>159</v>
      </c>
      <c r="BX1" s="42" t="s">
        <v>160</v>
      </c>
      <c r="BY1" s="42" t="s">
        <v>161</v>
      </c>
      <c r="BZ1" s="42" t="s">
        <v>167</v>
      </c>
      <c r="CA1" s="42" t="s">
        <v>168</v>
      </c>
      <c r="CB1" s="42" t="s">
        <v>169</v>
      </c>
      <c r="CC1" s="42" t="s">
        <v>170</v>
      </c>
      <c r="CD1" s="42" t="s">
        <v>171</v>
      </c>
      <c r="CE1" s="42" t="s">
        <v>172</v>
      </c>
      <c r="CF1" s="42" t="s">
        <v>173</v>
      </c>
      <c r="CG1" s="42" t="s">
        <v>174</v>
      </c>
      <c r="CH1" s="42" t="s">
        <v>175</v>
      </c>
      <c r="CI1" s="42" t="s">
        <v>176</v>
      </c>
      <c r="CJ1" s="42" t="s">
        <v>177</v>
      </c>
      <c r="CK1" s="42" t="s">
        <v>178</v>
      </c>
      <c r="CL1" s="42" t="s">
        <v>179</v>
      </c>
      <c r="CM1" s="42" t="s">
        <v>180</v>
      </c>
      <c r="CN1" s="42" t="s">
        <v>181</v>
      </c>
      <c r="CO1" s="42" t="s">
        <v>182</v>
      </c>
      <c r="CP1" s="42" t="s">
        <v>183</v>
      </c>
      <c r="CQ1" s="42" t="s">
        <v>184</v>
      </c>
      <c r="CR1" s="42" t="s">
        <v>185</v>
      </c>
      <c r="CS1" s="42" t="s">
        <v>186</v>
      </c>
      <c r="CT1" s="42" t="s">
        <v>187</v>
      </c>
      <c r="CU1" s="42" t="s">
        <v>188</v>
      </c>
      <c r="CV1" s="42" t="s">
        <v>189</v>
      </c>
      <c r="CW1" s="42" t="s">
        <v>190</v>
      </c>
      <c r="CX1" s="42" t="s">
        <v>191</v>
      </c>
      <c r="CY1" s="42" t="s">
        <v>192</v>
      </c>
      <c r="CZ1" s="42" t="s">
        <v>193</v>
      </c>
      <c r="DA1" s="42" t="s">
        <v>194</v>
      </c>
      <c r="DB1" s="42" t="s">
        <v>195</v>
      </c>
      <c r="DC1" s="42" t="s">
        <v>196</v>
      </c>
      <c r="DD1" s="42" t="s">
        <v>197</v>
      </c>
      <c r="DE1" s="42" t="s">
        <v>198</v>
      </c>
      <c r="DF1" s="42" t="s">
        <v>199</v>
      </c>
      <c r="DG1" s="42" t="s">
        <v>200</v>
      </c>
      <c r="DH1" s="42" t="s">
        <v>201</v>
      </c>
      <c r="DI1" s="42" t="s">
        <v>202</v>
      </c>
      <c r="DJ1" s="42" t="s">
        <v>203</v>
      </c>
      <c r="DK1" s="42" t="s">
        <v>204</v>
      </c>
      <c r="DL1" s="42" t="s">
        <v>205</v>
      </c>
      <c r="DM1" s="42" t="s">
        <v>206</v>
      </c>
      <c r="DN1" s="42" t="s">
        <v>207</v>
      </c>
      <c r="DO1" s="42" t="s">
        <v>208</v>
      </c>
      <c r="DP1" s="42" t="s">
        <v>209</v>
      </c>
    </row>
    <row r="2" spans="1:120" s="9" customFormat="1" x14ac:dyDescent="0.35">
      <c r="A2" s="8" t="s">
        <v>2</v>
      </c>
      <c r="B2" s="8" t="s">
        <v>66</v>
      </c>
      <c r="C2" s="42" t="s">
        <v>125</v>
      </c>
      <c r="D2" s="42" t="s">
        <v>126</v>
      </c>
      <c r="E2" s="56">
        <v>44197</v>
      </c>
      <c r="F2" s="56">
        <v>44198</v>
      </c>
      <c r="G2" s="56">
        <v>44199</v>
      </c>
      <c r="H2" s="56">
        <v>44200</v>
      </c>
      <c r="I2" s="56">
        <v>44201</v>
      </c>
      <c r="J2" s="56">
        <v>44202</v>
      </c>
      <c r="K2" s="56">
        <v>44203</v>
      </c>
      <c r="L2" s="56">
        <v>44204</v>
      </c>
      <c r="M2" s="56">
        <v>44205</v>
      </c>
      <c r="N2" s="56">
        <v>44206</v>
      </c>
      <c r="O2" s="56">
        <v>44207</v>
      </c>
      <c r="P2" s="56">
        <v>44208</v>
      </c>
      <c r="Q2" s="56">
        <v>44209</v>
      </c>
      <c r="R2" s="56">
        <v>44210</v>
      </c>
      <c r="S2" s="56">
        <v>44211</v>
      </c>
      <c r="T2" s="56">
        <v>44212</v>
      </c>
      <c r="U2" s="56">
        <v>44213</v>
      </c>
      <c r="V2" s="56">
        <v>44214</v>
      </c>
      <c r="W2" s="56">
        <v>44215</v>
      </c>
      <c r="X2" s="56">
        <v>44216</v>
      </c>
      <c r="Y2" s="56">
        <v>44217</v>
      </c>
      <c r="Z2" s="56">
        <v>44218</v>
      </c>
      <c r="AA2" s="56">
        <v>44219</v>
      </c>
      <c r="AB2" s="56">
        <v>44220</v>
      </c>
      <c r="AC2" s="56">
        <v>44221</v>
      </c>
      <c r="AD2" s="56">
        <v>44222</v>
      </c>
      <c r="AE2" s="56">
        <v>44223</v>
      </c>
      <c r="AF2" s="56">
        <v>44224</v>
      </c>
      <c r="AG2" s="57">
        <v>44225</v>
      </c>
      <c r="AH2" s="56">
        <v>44226</v>
      </c>
      <c r="AI2" s="56">
        <v>44227</v>
      </c>
      <c r="AJ2" s="56">
        <v>44228</v>
      </c>
      <c r="AK2" s="56">
        <v>44229</v>
      </c>
      <c r="AL2" s="56">
        <v>44230</v>
      </c>
      <c r="AM2" s="56">
        <v>44231</v>
      </c>
      <c r="AN2" s="56">
        <v>44232</v>
      </c>
      <c r="AO2" s="56">
        <v>44233</v>
      </c>
      <c r="AP2" s="56">
        <v>44234</v>
      </c>
      <c r="AQ2" s="56">
        <v>44235</v>
      </c>
      <c r="AR2" s="56">
        <v>44236</v>
      </c>
      <c r="AS2" s="56">
        <v>44237</v>
      </c>
      <c r="AT2" s="56">
        <v>44238</v>
      </c>
      <c r="AU2" s="56">
        <v>44239</v>
      </c>
      <c r="AV2" s="56">
        <v>44240</v>
      </c>
      <c r="AW2" s="56">
        <v>44241</v>
      </c>
      <c r="AX2" s="56">
        <v>44242</v>
      </c>
      <c r="AY2" s="56">
        <v>44243</v>
      </c>
      <c r="AZ2" s="56">
        <v>44244</v>
      </c>
      <c r="BA2" s="56">
        <v>44245</v>
      </c>
      <c r="BB2" s="56">
        <v>44246</v>
      </c>
      <c r="BC2" s="56">
        <v>44247</v>
      </c>
      <c r="BD2" s="56">
        <v>44248</v>
      </c>
      <c r="BE2" s="56">
        <v>44249</v>
      </c>
      <c r="BF2" s="56">
        <v>44250</v>
      </c>
      <c r="BG2" s="56">
        <v>44251</v>
      </c>
      <c r="BH2" s="56">
        <v>44252</v>
      </c>
      <c r="BI2" s="56">
        <v>44253</v>
      </c>
      <c r="BJ2" s="56">
        <v>44254</v>
      </c>
      <c r="BK2" s="56">
        <v>44255</v>
      </c>
      <c r="BL2" s="56">
        <v>44256</v>
      </c>
      <c r="BM2" s="56">
        <v>44257</v>
      </c>
      <c r="BN2" s="56">
        <v>44258</v>
      </c>
      <c r="BO2" s="56">
        <v>44259</v>
      </c>
      <c r="BP2" s="56">
        <v>44260</v>
      </c>
      <c r="BQ2" s="56">
        <v>44261</v>
      </c>
      <c r="BR2" s="56">
        <v>44262</v>
      </c>
      <c r="BS2" s="56">
        <v>44263</v>
      </c>
      <c r="BT2" s="56">
        <v>44264</v>
      </c>
      <c r="BU2" s="56">
        <v>44265</v>
      </c>
      <c r="BV2" s="56">
        <v>44266</v>
      </c>
      <c r="BW2" s="56">
        <v>44267</v>
      </c>
      <c r="BX2" s="56">
        <v>44268</v>
      </c>
      <c r="BY2" s="56">
        <v>44269</v>
      </c>
      <c r="BZ2" s="56">
        <v>44270</v>
      </c>
      <c r="CA2" s="56">
        <v>44271</v>
      </c>
      <c r="CB2" s="56">
        <v>44272</v>
      </c>
      <c r="CC2" s="56">
        <v>44273</v>
      </c>
      <c r="CD2" s="56">
        <v>44274</v>
      </c>
      <c r="CE2" s="56">
        <v>44275</v>
      </c>
      <c r="CF2" s="56">
        <v>44276</v>
      </c>
      <c r="CG2" s="56">
        <v>44277</v>
      </c>
      <c r="CH2" s="56">
        <v>44278</v>
      </c>
      <c r="CI2" s="56">
        <v>44279</v>
      </c>
      <c r="CJ2" s="56">
        <v>44280</v>
      </c>
      <c r="CK2" s="56">
        <v>44281</v>
      </c>
      <c r="CL2" s="56">
        <v>44282</v>
      </c>
      <c r="CM2" s="56">
        <v>44283</v>
      </c>
      <c r="CN2" s="56">
        <v>44284</v>
      </c>
      <c r="CO2" s="56">
        <v>44285</v>
      </c>
      <c r="CP2" s="56">
        <v>44286</v>
      </c>
      <c r="CQ2" s="56">
        <v>44287</v>
      </c>
      <c r="CR2" s="56">
        <v>44288</v>
      </c>
      <c r="CS2" s="56">
        <v>44289</v>
      </c>
      <c r="CT2" s="56">
        <v>44290</v>
      </c>
      <c r="CU2" s="56">
        <v>44291</v>
      </c>
      <c r="CV2" s="56">
        <v>44292</v>
      </c>
      <c r="CW2" s="56">
        <v>44293</v>
      </c>
      <c r="CX2" s="56">
        <v>44294</v>
      </c>
      <c r="CY2" s="56">
        <v>44295</v>
      </c>
      <c r="CZ2" s="56">
        <v>44296</v>
      </c>
      <c r="DA2" s="56">
        <v>44297</v>
      </c>
      <c r="DB2" s="56">
        <v>44298</v>
      </c>
      <c r="DC2" s="56">
        <v>44299</v>
      </c>
      <c r="DD2" s="56">
        <v>44300</v>
      </c>
      <c r="DE2" s="56">
        <v>44301</v>
      </c>
      <c r="DF2" s="56">
        <v>44302</v>
      </c>
      <c r="DG2" s="56">
        <v>44303</v>
      </c>
      <c r="DH2" s="56">
        <v>44304</v>
      </c>
      <c r="DI2" s="56">
        <v>44305</v>
      </c>
      <c r="DJ2" s="56">
        <v>44306</v>
      </c>
      <c r="DK2" s="56">
        <v>44307</v>
      </c>
      <c r="DL2" s="56">
        <v>44308</v>
      </c>
      <c r="DM2" s="56">
        <v>44309</v>
      </c>
      <c r="DN2" s="56">
        <v>44310</v>
      </c>
      <c r="DO2" s="56">
        <v>44311</v>
      </c>
      <c r="DP2" s="56">
        <v>44312</v>
      </c>
    </row>
    <row r="3" spans="1:120" s="34" customFormat="1" x14ac:dyDescent="0.35">
      <c r="A3" s="58" t="s">
        <v>3</v>
      </c>
      <c r="B3" s="58">
        <v>1</v>
      </c>
      <c r="C3" s="59">
        <v>1.8</v>
      </c>
      <c r="D3" s="59">
        <v>2.1</v>
      </c>
      <c r="E3" s="59">
        <v>2.4</v>
      </c>
      <c r="F3" s="59">
        <v>3.4</v>
      </c>
      <c r="G3" s="59">
        <v>2.5499999999999998</v>
      </c>
      <c r="H3" s="59">
        <v>3.4</v>
      </c>
      <c r="I3" s="59">
        <v>3.5</v>
      </c>
      <c r="J3" s="59">
        <v>3.85</v>
      </c>
      <c r="K3" s="59">
        <v>3.85</v>
      </c>
      <c r="L3" s="59">
        <v>4.5999999999999996</v>
      </c>
      <c r="M3" s="59">
        <v>3.4</v>
      </c>
      <c r="N3" s="59">
        <v>4.25</v>
      </c>
      <c r="O3" s="59">
        <v>4.6500000000000004</v>
      </c>
      <c r="P3" s="59">
        <v>4.8</v>
      </c>
      <c r="Q3" s="59">
        <v>5.0999999999999996</v>
      </c>
      <c r="R3" s="59">
        <v>5.0999999999999996</v>
      </c>
      <c r="S3" s="59">
        <v>5.95</v>
      </c>
      <c r="T3" s="59">
        <v>5.95</v>
      </c>
      <c r="U3" s="59">
        <v>6.8</v>
      </c>
      <c r="V3" s="59">
        <v>6.8</v>
      </c>
      <c r="W3" s="59">
        <v>6.8</v>
      </c>
      <c r="X3" s="59">
        <v>6.8</v>
      </c>
      <c r="Y3" s="59">
        <v>6.8</v>
      </c>
      <c r="Z3" s="59">
        <v>6.8</v>
      </c>
      <c r="AA3" s="59">
        <v>6.8</v>
      </c>
      <c r="AB3" s="59">
        <v>6.8</v>
      </c>
      <c r="AC3" s="59">
        <v>7.65</v>
      </c>
      <c r="AD3" s="59">
        <v>8.1999999999999993</v>
      </c>
      <c r="AE3" s="59">
        <v>7.8</v>
      </c>
      <c r="AF3" s="59">
        <v>6.2</v>
      </c>
      <c r="AG3" s="60">
        <v>6</v>
      </c>
      <c r="AH3" s="59">
        <v>8.1</v>
      </c>
      <c r="AI3" s="59">
        <v>7.75</v>
      </c>
      <c r="AJ3" s="59">
        <v>7.95</v>
      </c>
      <c r="AK3" s="59">
        <v>7.45</v>
      </c>
      <c r="AL3" s="59">
        <v>7.85</v>
      </c>
      <c r="AM3" s="59">
        <v>8.5</v>
      </c>
      <c r="AN3" s="59">
        <v>6.8</v>
      </c>
      <c r="AO3" s="59">
        <v>7.65</v>
      </c>
      <c r="AP3" s="59">
        <v>9.35</v>
      </c>
      <c r="AQ3" s="59">
        <v>8.5</v>
      </c>
      <c r="AR3" s="59">
        <v>9.35</v>
      </c>
      <c r="AS3" s="59">
        <v>9.35</v>
      </c>
      <c r="AT3" s="59">
        <v>10.199999999999999</v>
      </c>
      <c r="AU3" s="59">
        <v>10.17</v>
      </c>
      <c r="AV3" s="59">
        <v>9.25</v>
      </c>
      <c r="AW3" s="59">
        <v>9.25</v>
      </c>
      <c r="AX3" s="59">
        <v>9.4499999999999993</v>
      </c>
      <c r="AY3" s="59">
        <v>10.199999999999999</v>
      </c>
      <c r="AZ3" s="59">
        <v>11.1</v>
      </c>
      <c r="BA3" s="59">
        <v>11.2</v>
      </c>
      <c r="BB3" s="59">
        <v>11.5</v>
      </c>
      <c r="BC3" s="59">
        <v>11.1</v>
      </c>
      <c r="BD3" s="59">
        <v>11.1</v>
      </c>
      <c r="BE3" s="59">
        <v>12.02</v>
      </c>
      <c r="BF3" s="59">
        <v>12.2</v>
      </c>
      <c r="BG3" s="59">
        <v>12.2</v>
      </c>
      <c r="BH3" s="59">
        <v>11.5</v>
      </c>
      <c r="BI3" s="59">
        <v>12.3</v>
      </c>
      <c r="BJ3" s="59">
        <v>12.3</v>
      </c>
      <c r="BK3" s="59">
        <v>12.95</v>
      </c>
      <c r="BL3" s="59">
        <v>13</v>
      </c>
      <c r="BM3" s="59">
        <v>13</v>
      </c>
      <c r="BN3" s="59">
        <v>13.2</v>
      </c>
      <c r="BO3" s="59">
        <v>11.5</v>
      </c>
      <c r="BP3" s="59">
        <v>13.8</v>
      </c>
      <c r="BQ3" s="59">
        <v>14.8</v>
      </c>
      <c r="BR3" s="59">
        <v>12.05</v>
      </c>
      <c r="BS3" s="59">
        <v>14.24</v>
      </c>
      <c r="BT3" s="59">
        <v>13.35</v>
      </c>
      <c r="BU3" s="59">
        <v>14.24</v>
      </c>
      <c r="BV3" s="59">
        <v>14.24</v>
      </c>
      <c r="BW3" s="59">
        <v>15.13</v>
      </c>
      <c r="BX3" s="59">
        <v>15.2</v>
      </c>
      <c r="BY3" s="59">
        <v>15.2</v>
      </c>
      <c r="BZ3" s="59">
        <v>15.3</v>
      </c>
      <c r="CA3" s="59">
        <v>16.2</v>
      </c>
      <c r="CB3" s="59">
        <v>16.2</v>
      </c>
      <c r="CC3" s="59">
        <v>16.2</v>
      </c>
      <c r="CD3" s="59">
        <v>16.2</v>
      </c>
      <c r="CE3" s="59">
        <v>16.2</v>
      </c>
      <c r="CF3" s="59">
        <v>16.2</v>
      </c>
      <c r="CG3" s="59">
        <v>16.7</v>
      </c>
      <c r="CH3" s="59">
        <v>14.8</v>
      </c>
      <c r="CI3" s="59">
        <v>14.1</v>
      </c>
      <c r="CJ3" s="59">
        <v>15.9</v>
      </c>
      <c r="CK3" s="59">
        <v>15.3</v>
      </c>
      <c r="CL3" s="59">
        <v>16.2</v>
      </c>
      <c r="CM3" s="59">
        <v>16.2</v>
      </c>
      <c r="CN3" s="59">
        <v>18</v>
      </c>
      <c r="CO3" s="59">
        <v>18</v>
      </c>
      <c r="CP3" s="59">
        <v>18</v>
      </c>
      <c r="CQ3" s="59">
        <v>17.100000000000001</v>
      </c>
      <c r="CR3" s="59">
        <v>17.100000000000001</v>
      </c>
      <c r="CS3" s="59">
        <v>17.100000000000001</v>
      </c>
      <c r="CT3" s="59">
        <v>16.2</v>
      </c>
      <c r="CU3" s="59">
        <v>18</v>
      </c>
      <c r="CV3" s="59">
        <v>18</v>
      </c>
      <c r="CW3" s="59">
        <v>17.100000000000001</v>
      </c>
      <c r="CX3" s="59">
        <v>18</v>
      </c>
      <c r="CY3" s="59">
        <v>18</v>
      </c>
      <c r="CZ3" s="59">
        <v>17.100000000000001</v>
      </c>
      <c r="DA3" s="59">
        <v>17.100000000000001</v>
      </c>
      <c r="DB3" s="59">
        <v>17.100000000000001</v>
      </c>
      <c r="DC3" s="59">
        <v>17.100000000000001</v>
      </c>
      <c r="DD3" s="59">
        <v>18</v>
      </c>
      <c r="DE3" s="59">
        <v>18.899999999999999</v>
      </c>
      <c r="DF3" s="59">
        <v>18.899999999999999</v>
      </c>
      <c r="DG3" s="59">
        <v>18.899999999999999</v>
      </c>
      <c r="DH3" s="59">
        <v>18</v>
      </c>
      <c r="DI3" s="59">
        <v>17.7</v>
      </c>
      <c r="DJ3" s="59">
        <v>18.899999999999999</v>
      </c>
      <c r="DK3" s="59">
        <v>18.899999999999999</v>
      </c>
      <c r="DL3" s="59">
        <v>18.899999999999999</v>
      </c>
      <c r="DM3" s="61"/>
      <c r="DN3" s="61"/>
      <c r="DO3" s="61"/>
      <c r="DP3" s="61"/>
    </row>
    <row r="4" spans="1:120" s="34" customFormat="1" x14ac:dyDescent="0.35">
      <c r="A4" s="58" t="s">
        <v>3</v>
      </c>
      <c r="B4" s="58">
        <v>2</v>
      </c>
      <c r="C4" s="59">
        <v>1.8</v>
      </c>
      <c r="D4" s="59">
        <v>2.1</v>
      </c>
      <c r="E4" s="59">
        <v>2.4</v>
      </c>
      <c r="F4" s="59">
        <v>3.5</v>
      </c>
      <c r="G4" s="59">
        <v>2.85</v>
      </c>
      <c r="H4" s="59">
        <v>3.4</v>
      </c>
      <c r="I4" s="59">
        <v>3.5</v>
      </c>
      <c r="J4" s="59">
        <v>3.85</v>
      </c>
      <c r="K4" s="59">
        <v>3.85</v>
      </c>
      <c r="L4" s="59">
        <v>4.3</v>
      </c>
      <c r="M4" s="59">
        <v>3.4</v>
      </c>
      <c r="N4" s="59">
        <v>4.6500000000000004</v>
      </c>
      <c r="O4" s="59">
        <v>4.55</v>
      </c>
      <c r="P4" s="59">
        <v>4.6500000000000004</v>
      </c>
      <c r="Q4" s="59">
        <v>4.7</v>
      </c>
      <c r="R4" s="59">
        <v>5.0999999999999996</v>
      </c>
      <c r="S4" s="59">
        <v>5.0999999999999996</v>
      </c>
      <c r="T4" s="59">
        <v>4.25</v>
      </c>
      <c r="U4" s="59">
        <v>5.65</v>
      </c>
      <c r="V4" s="59">
        <v>5.45</v>
      </c>
      <c r="W4" s="59">
        <v>5.6</v>
      </c>
      <c r="X4" s="59">
        <v>5.95</v>
      </c>
      <c r="Y4" s="59">
        <v>6.35</v>
      </c>
      <c r="Z4" s="59">
        <v>5.55</v>
      </c>
      <c r="AA4" s="59">
        <v>6.1</v>
      </c>
      <c r="AB4" s="59">
        <v>6.5</v>
      </c>
      <c r="AC4" s="59">
        <v>6.3</v>
      </c>
      <c r="AD4" s="59">
        <v>6.1</v>
      </c>
      <c r="AE4" s="59">
        <v>6.2</v>
      </c>
      <c r="AF4" s="59">
        <v>6.2</v>
      </c>
      <c r="AG4" s="60">
        <v>6</v>
      </c>
      <c r="AH4" s="59">
        <v>6.93</v>
      </c>
      <c r="AI4" s="59">
        <v>7.03</v>
      </c>
      <c r="AJ4" s="59">
        <v>7.75</v>
      </c>
      <c r="AK4" s="59">
        <v>6.8</v>
      </c>
      <c r="AL4" s="59">
        <v>7.2</v>
      </c>
      <c r="AM4" s="59">
        <v>7.35</v>
      </c>
      <c r="AN4" s="59">
        <v>7.1</v>
      </c>
      <c r="AO4" s="59">
        <v>7.65</v>
      </c>
      <c r="AP4" s="59">
        <v>7.65</v>
      </c>
      <c r="AQ4" s="59">
        <v>8.1999999999999993</v>
      </c>
      <c r="AR4" s="59">
        <v>9.25</v>
      </c>
      <c r="AS4" s="59">
        <v>9</v>
      </c>
      <c r="AT4" s="59">
        <v>8.33</v>
      </c>
      <c r="AU4" s="59">
        <v>10</v>
      </c>
      <c r="AV4" s="59">
        <v>8.4</v>
      </c>
      <c r="AW4" s="62">
        <v>6.4</v>
      </c>
      <c r="AX4" s="59">
        <v>8.6999999999999993</v>
      </c>
      <c r="AY4" s="59">
        <v>9.25</v>
      </c>
      <c r="AZ4" s="59">
        <v>10.1</v>
      </c>
      <c r="BA4" s="59">
        <v>9.25</v>
      </c>
      <c r="BB4" s="59">
        <v>9.5</v>
      </c>
      <c r="BC4" s="59">
        <v>11.1</v>
      </c>
      <c r="BD4" s="59">
        <v>11.1</v>
      </c>
      <c r="BE4" s="59">
        <v>10.5</v>
      </c>
      <c r="BF4" s="59">
        <v>11.1</v>
      </c>
      <c r="BG4" s="59">
        <v>11.3</v>
      </c>
      <c r="BH4" s="59">
        <v>11.5</v>
      </c>
      <c r="BI4" s="59">
        <v>12.2</v>
      </c>
      <c r="BJ4" s="59">
        <v>12.2</v>
      </c>
      <c r="BK4" s="59">
        <v>11.1</v>
      </c>
      <c r="BL4" s="59">
        <v>12.2</v>
      </c>
      <c r="BM4" s="59">
        <v>11.5</v>
      </c>
      <c r="BN4" s="59">
        <v>12.5</v>
      </c>
      <c r="BO4" s="59">
        <v>11.5</v>
      </c>
      <c r="BP4" s="59">
        <v>13.8</v>
      </c>
      <c r="BQ4" s="59">
        <v>14.8</v>
      </c>
      <c r="BR4" s="59">
        <v>12.68</v>
      </c>
      <c r="BS4" s="59">
        <v>14.24</v>
      </c>
      <c r="BT4" s="59">
        <v>13.35</v>
      </c>
      <c r="BU4" s="59">
        <v>13</v>
      </c>
      <c r="BV4" s="59">
        <v>13.25</v>
      </c>
      <c r="BW4" s="59">
        <v>14.1</v>
      </c>
      <c r="BX4" s="59">
        <v>13.5</v>
      </c>
      <c r="BY4" s="59">
        <v>14.3</v>
      </c>
      <c r="BZ4" s="59">
        <v>11.9</v>
      </c>
      <c r="CA4" s="59">
        <v>13.5</v>
      </c>
      <c r="CB4" s="59">
        <v>13.5</v>
      </c>
      <c r="CC4" s="59">
        <v>14.4</v>
      </c>
      <c r="CD4" s="59">
        <v>14.4</v>
      </c>
      <c r="CE4" s="59">
        <v>14.4</v>
      </c>
      <c r="CF4" s="59">
        <v>15.3</v>
      </c>
      <c r="CG4" s="59">
        <v>15.6</v>
      </c>
      <c r="CH4" s="59">
        <v>12.8</v>
      </c>
      <c r="CI4" s="59">
        <v>13</v>
      </c>
      <c r="CJ4" s="59">
        <v>13.9</v>
      </c>
      <c r="CK4" s="59">
        <v>15</v>
      </c>
      <c r="CL4" s="59">
        <v>15.7</v>
      </c>
      <c r="CM4" s="59">
        <v>15</v>
      </c>
      <c r="CN4" s="59">
        <v>16.2</v>
      </c>
      <c r="CO4" s="59">
        <v>15.7</v>
      </c>
      <c r="CP4" s="59">
        <v>14.8</v>
      </c>
      <c r="CQ4" s="59">
        <v>15.5</v>
      </c>
      <c r="CR4" s="59">
        <v>15</v>
      </c>
      <c r="CS4" s="59">
        <v>16.2</v>
      </c>
      <c r="CT4" s="59">
        <v>15.3</v>
      </c>
      <c r="CU4" s="59">
        <v>17.7</v>
      </c>
      <c r="CV4" s="59">
        <v>16.8</v>
      </c>
      <c r="CW4" s="59">
        <v>16.2</v>
      </c>
      <c r="CX4" s="59">
        <v>16.8</v>
      </c>
      <c r="CY4" s="59">
        <v>17.100000000000001</v>
      </c>
      <c r="CZ4" s="59">
        <v>17.100000000000001</v>
      </c>
      <c r="DA4" s="59">
        <v>17.100000000000001</v>
      </c>
      <c r="DB4" s="59">
        <v>17.100000000000001</v>
      </c>
      <c r="DC4" s="59">
        <v>18</v>
      </c>
      <c r="DD4" s="59">
        <v>18</v>
      </c>
      <c r="DE4" s="59">
        <v>18</v>
      </c>
      <c r="DF4" s="59">
        <v>18</v>
      </c>
      <c r="DG4" s="59">
        <v>18.600000000000001</v>
      </c>
      <c r="DH4" s="59">
        <v>17.899999999999999</v>
      </c>
      <c r="DI4" s="59">
        <v>17.5</v>
      </c>
      <c r="DJ4" s="59">
        <v>18.899999999999999</v>
      </c>
      <c r="DK4" s="59">
        <v>18.899999999999999</v>
      </c>
      <c r="DL4" s="59">
        <v>18.399999999999999</v>
      </c>
      <c r="DM4" s="61"/>
      <c r="DN4" s="61"/>
      <c r="DO4" s="61"/>
      <c r="DP4" s="61"/>
    </row>
    <row r="5" spans="1:120" s="34" customFormat="1" x14ac:dyDescent="0.35">
      <c r="A5" s="58" t="s">
        <v>3</v>
      </c>
      <c r="B5" s="58">
        <v>3</v>
      </c>
      <c r="C5" s="59">
        <v>1.8</v>
      </c>
      <c r="D5" s="59">
        <v>2.1</v>
      </c>
      <c r="E5" s="59">
        <v>2.4</v>
      </c>
      <c r="F5" s="59">
        <v>3.4</v>
      </c>
      <c r="G5" s="59">
        <v>2.5499999999999998</v>
      </c>
      <c r="H5" s="59">
        <v>3.4</v>
      </c>
      <c r="I5" s="59">
        <v>3.5</v>
      </c>
      <c r="J5" s="59">
        <v>3.85</v>
      </c>
      <c r="K5" s="59">
        <v>3.85</v>
      </c>
      <c r="L5" s="59">
        <v>4.3</v>
      </c>
      <c r="M5" s="59">
        <v>3.4</v>
      </c>
      <c r="N5" s="59">
        <v>4.3</v>
      </c>
      <c r="O5" s="59">
        <v>4.6500000000000004</v>
      </c>
      <c r="P5" s="59">
        <v>4.8</v>
      </c>
      <c r="Q5" s="59">
        <v>5.0999999999999996</v>
      </c>
      <c r="R5" s="59">
        <v>5.0999999999999996</v>
      </c>
      <c r="S5" s="59">
        <v>5.0999999999999996</v>
      </c>
      <c r="T5" s="59">
        <v>5.0999999999999996</v>
      </c>
      <c r="U5" s="59">
        <v>5.75</v>
      </c>
      <c r="V5" s="59">
        <v>6.6</v>
      </c>
      <c r="W5" s="59">
        <v>6.25</v>
      </c>
      <c r="X5" s="59">
        <v>5.95</v>
      </c>
      <c r="Y5" s="59">
        <v>6.6</v>
      </c>
      <c r="Z5" s="59">
        <v>6.35</v>
      </c>
      <c r="AA5" s="59">
        <v>6.6</v>
      </c>
      <c r="AB5" s="59">
        <v>6.1</v>
      </c>
      <c r="AC5" s="59">
        <v>6.3</v>
      </c>
      <c r="AD5" s="59">
        <v>6.5</v>
      </c>
      <c r="AE5" s="59">
        <v>6</v>
      </c>
      <c r="AF5" s="59">
        <v>6</v>
      </c>
      <c r="AG5" s="60">
        <v>6</v>
      </c>
      <c r="AH5" s="59">
        <v>7.35</v>
      </c>
      <c r="AI5" s="59">
        <v>6.8</v>
      </c>
      <c r="AJ5" s="59">
        <v>7.95</v>
      </c>
      <c r="AK5" s="59">
        <v>7.65</v>
      </c>
      <c r="AL5" s="59">
        <v>7.65</v>
      </c>
      <c r="AM5" s="59">
        <v>8.5</v>
      </c>
      <c r="AN5" s="59">
        <v>6.8</v>
      </c>
      <c r="AO5" s="59">
        <v>7.65</v>
      </c>
      <c r="AP5" s="59">
        <v>8.5</v>
      </c>
      <c r="AQ5" s="59">
        <v>8.1</v>
      </c>
      <c r="AR5" s="59">
        <v>9.35</v>
      </c>
      <c r="AS5" s="59">
        <v>9.35</v>
      </c>
      <c r="AT5" s="59">
        <v>8.33</v>
      </c>
      <c r="AU5" s="59">
        <v>10.1</v>
      </c>
      <c r="AV5" s="59">
        <v>9.25</v>
      </c>
      <c r="AW5" s="62">
        <v>7.4</v>
      </c>
      <c r="AX5" s="59">
        <v>9.25</v>
      </c>
      <c r="AY5" s="59">
        <v>10.1</v>
      </c>
      <c r="AZ5" s="59">
        <v>10.199999999999999</v>
      </c>
      <c r="BA5" s="59">
        <v>10.5</v>
      </c>
      <c r="BB5" s="59">
        <v>10.3</v>
      </c>
      <c r="BC5" s="59">
        <v>11</v>
      </c>
      <c r="BD5" s="59">
        <v>11.1</v>
      </c>
      <c r="BE5" s="59">
        <v>11.2</v>
      </c>
      <c r="BF5" s="59">
        <v>11.1</v>
      </c>
      <c r="BG5" s="59">
        <v>11.3</v>
      </c>
      <c r="BH5" s="59">
        <v>12.02</v>
      </c>
      <c r="BI5" s="59">
        <v>12.2</v>
      </c>
      <c r="BJ5" s="59">
        <v>12.02</v>
      </c>
      <c r="BK5" s="59">
        <v>11.1</v>
      </c>
      <c r="BL5" s="59">
        <v>12.02</v>
      </c>
      <c r="BM5" s="59">
        <v>12.3</v>
      </c>
      <c r="BN5" s="59">
        <v>12</v>
      </c>
      <c r="BO5" s="59">
        <v>11.5</v>
      </c>
      <c r="BP5" s="59">
        <v>13.8</v>
      </c>
      <c r="BQ5" s="59">
        <v>14.8</v>
      </c>
      <c r="BR5" s="59">
        <v>12.76</v>
      </c>
      <c r="BS5" s="59">
        <v>14.24</v>
      </c>
      <c r="BT5" s="59">
        <v>13.35</v>
      </c>
      <c r="BU5" s="59">
        <v>14.24</v>
      </c>
      <c r="BV5" s="59">
        <v>14</v>
      </c>
      <c r="BW5" s="59">
        <v>14.24</v>
      </c>
      <c r="BX5" s="59">
        <v>13.5</v>
      </c>
      <c r="BY5" s="59">
        <v>14.8</v>
      </c>
      <c r="BZ5" s="59">
        <v>13</v>
      </c>
      <c r="CA5" s="59">
        <v>14.4</v>
      </c>
      <c r="CB5" s="59">
        <v>15.3</v>
      </c>
      <c r="CC5" s="59">
        <v>14.4</v>
      </c>
      <c r="CD5" s="59">
        <v>14.4</v>
      </c>
      <c r="CE5" s="59">
        <v>15.3</v>
      </c>
      <c r="CF5" s="59">
        <v>15.3</v>
      </c>
      <c r="CG5" s="59">
        <v>15.2</v>
      </c>
      <c r="CH5" s="59">
        <v>14.8</v>
      </c>
      <c r="CI5" s="59">
        <v>14.4</v>
      </c>
      <c r="CJ5" s="59">
        <v>15</v>
      </c>
      <c r="CK5" s="59">
        <v>15.3</v>
      </c>
      <c r="CL5" s="59">
        <v>16.2</v>
      </c>
      <c r="CM5" s="59">
        <v>15.3</v>
      </c>
      <c r="CN5" s="59">
        <v>16.2</v>
      </c>
      <c r="CO5" s="59">
        <v>16.2</v>
      </c>
      <c r="CP5" s="59">
        <v>16.3</v>
      </c>
      <c r="CQ5" s="59">
        <v>16</v>
      </c>
      <c r="CR5" s="59">
        <v>16.2</v>
      </c>
      <c r="CS5" s="59">
        <v>16.2</v>
      </c>
      <c r="CT5" s="59">
        <v>16.2</v>
      </c>
      <c r="CU5" s="59">
        <v>18</v>
      </c>
      <c r="CV5" s="59">
        <v>17.7</v>
      </c>
      <c r="CW5" s="59">
        <v>16.2</v>
      </c>
      <c r="CX5" s="59">
        <v>17.100000000000001</v>
      </c>
      <c r="CY5" s="59">
        <v>18</v>
      </c>
      <c r="CZ5" s="59">
        <v>17.100000000000001</v>
      </c>
      <c r="DA5" s="59">
        <v>17.100000000000001</v>
      </c>
      <c r="DB5" s="59">
        <v>17.100000000000001</v>
      </c>
      <c r="DC5" s="59">
        <v>18</v>
      </c>
      <c r="DD5" s="59">
        <v>18</v>
      </c>
      <c r="DE5" s="59">
        <v>18</v>
      </c>
      <c r="DF5" s="59">
        <v>18</v>
      </c>
      <c r="DG5" s="59">
        <v>18.600000000000001</v>
      </c>
      <c r="DH5" s="59">
        <v>17.7</v>
      </c>
      <c r="DI5" s="59">
        <v>17.5</v>
      </c>
      <c r="DJ5" s="59">
        <v>18.899999999999999</v>
      </c>
      <c r="DK5" s="59">
        <v>18.899999999999999</v>
      </c>
      <c r="DL5" s="59">
        <v>18.399999999999999</v>
      </c>
      <c r="DM5" s="61"/>
      <c r="DN5" s="61"/>
      <c r="DO5" s="61"/>
      <c r="DP5" s="61"/>
    </row>
    <row r="6" spans="1:120" s="34" customFormat="1" x14ac:dyDescent="0.35">
      <c r="A6" s="58" t="s">
        <v>3</v>
      </c>
      <c r="B6" s="58">
        <v>4</v>
      </c>
      <c r="C6" s="59">
        <v>1.8</v>
      </c>
      <c r="D6" s="59">
        <v>2.1</v>
      </c>
      <c r="E6" s="59">
        <v>2.4</v>
      </c>
      <c r="F6" s="59">
        <v>4.25</v>
      </c>
      <c r="G6" s="59">
        <v>2.5499999999999998</v>
      </c>
      <c r="H6" s="59">
        <v>3.4</v>
      </c>
      <c r="I6" s="59">
        <v>3.5</v>
      </c>
      <c r="J6" s="59">
        <v>3.85</v>
      </c>
      <c r="K6" s="59">
        <v>3.45</v>
      </c>
      <c r="L6" s="59">
        <v>4.25</v>
      </c>
      <c r="M6" s="59">
        <v>3.7</v>
      </c>
      <c r="N6" s="59">
        <v>4.3</v>
      </c>
      <c r="O6" s="59">
        <v>4.3499999999999996</v>
      </c>
      <c r="P6" s="59">
        <v>4.8</v>
      </c>
      <c r="Q6" s="59">
        <v>5.0999999999999996</v>
      </c>
      <c r="R6" s="59">
        <v>5.0999999999999996</v>
      </c>
      <c r="S6" s="59">
        <v>5.0999999999999996</v>
      </c>
      <c r="T6" s="59">
        <v>5.0999999999999996</v>
      </c>
      <c r="U6" s="59">
        <v>5.95</v>
      </c>
      <c r="V6" s="59">
        <v>6.8</v>
      </c>
      <c r="W6" s="59">
        <v>6.3</v>
      </c>
      <c r="X6" s="59">
        <v>6.1</v>
      </c>
      <c r="Y6" s="63">
        <v>6.1</v>
      </c>
      <c r="Z6" s="59">
        <v>6.15</v>
      </c>
      <c r="AA6" s="59">
        <v>6.1</v>
      </c>
      <c r="AB6" s="59">
        <v>6.6</v>
      </c>
      <c r="AC6" s="59">
        <v>6.5</v>
      </c>
      <c r="AD6" s="59">
        <v>6.4</v>
      </c>
      <c r="AE6" s="59">
        <v>6</v>
      </c>
      <c r="AF6" s="59">
        <v>6</v>
      </c>
      <c r="AG6" s="60">
        <v>6</v>
      </c>
      <c r="AH6" s="59">
        <v>6.3</v>
      </c>
      <c r="AI6" s="59">
        <v>6</v>
      </c>
      <c r="AJ6" s="59">
        <v>6.5</v>
      </c>
      <c r="AK6" s="59">
        <v>6.8</v>
      </c>
      <c r="AL6" s="59">
        <v>6.8</v>
      </c>
      <c r="AM6" s="59">
        <v>8.1</v>
      </c>
      <c r="AN6" s="59">
        <v>7.2</v>
      </c>
      <c r="AO6" s="59">
        <v>6.8</v>
      </c>
      <c r="AP6" s="59">
        <v>7.65</v>
      </c>
      <c r="AQ6" s="59">
        <v>8.5</v>
      </c>
      <c r="AR6" s="59">
        <v>8.5500000000000007</v>
      </c>
      <c r="AS6" s="59">
        <v>8.8000000000000007</v>
      </c>
      <c r="AT6" s="59">
        <v>7.9</v>
      </c>
      <c r="AU6" s="59">
        <v>9.5500000000000007</v>
      </c>
      <c r="AV6" s="59">
        <v>9.25</v>
      </c>
      <c r="AW6" s="59">
        <v>9.25</v>
      </c>
      <c r="AX6" s="59">
        <v>9.5</v>
      </c>
      <c r="AY6" s="59">
        <v>10.1</v>
      </c>
      <c r="AZ6" s="59">
        <v>10.199999999999999</v>
      </c>
      <c r="BA6" s="59">
        <v>11.2</v>
      </c>
      <c r="BB6" s="59">
        <v>9.25</v>
      </c>
      <c r="BC6" s="59">
        <v>11.1</v>
      </c>
      <c r="BD6" s="59">
        <v>11.1</v>
      </c>
      <c r="BE6" s="59">
        <v>12.02</v>
      </c>
      <c r="BF6" s="59">
        <v>11.1</v>
      </c>
      <c r="BG6" s="59">
        <v>11.1</v>
      </c>
      <c r="BH6" s="59">
        <v>12.02</v>
      </c>
      <c r="BI6" s="59">
        <v>12.2</v>
      </c>
      <c r="BJ6" s="59">
        <v>12.2</v>
      </c>
      <c r="BK6" s="59">
        <v>12.2</v>
      </c>
      <c r="BL6" s="59">
        <v>12.2</v>
      </c>
      <c r="BM6" s="59">
        <v>12.3</v>
      </c>
      <c r="BN6" s="59">
        <v>12.5</v>
      </c>
      <c r="BO6" s="59">
        <v>11.5</v>
      </c>
      <c r="BP6" s="59">
        <v>13.8</v>
      </c>
      <c r="BQ6" s="59">
        <v>14.8</v>
      </c>
      <c r="BR6" s="59">
        <v>13.35</v>
      </c>
      <c r="BS6" s="59">
        <v>14.24</v>
      </c>
      <c r="BT6" s="59">
        <v>13.35</v>
      </c>
      <c r="BU6" s="59">
        <v>14.24</v>
      </c>
      <c r="BV6" s="59">
        <v>14.24</v>
      </c>
      <c r="BW6" s="59">
        <v>14.24</v>
      </c>
      <c r="BX6" s="59">
        <v>15.2</v>
      </c>
      <c r="BY6" s="59">
        <v>14.8</v>
      </c>
      <c r="BZ6" s="59">
        <v>13.5</v>
      </c>
      <c r="CA6" s="59">
        <v>14.4</v>
      </c>
      <c r="CB6" s="59">
        <v>15.3</v>
      </c>
      <c r="CC6" s="59">
        <v>14.4</v>
      </c>
      <c r="CD6" s="59">
        <v>14.4</v>
      </c>
      <c r="CE6" s="59">
        <v>16.2</v>
      </c>
      <c r="CF6" s="59">
        <v>16.2</v>
      </c>
      <c r="CG6" s="59">
        <v>16.2</v>
      </c>
      <c r="CH6" s="59">
        <v>15.3</v>
      </c>
      <c r="CI6" s="59">
        <v>15.3</v>
      </c>
      <c r="CJ6" s="59">
        <v>15.3</v>
      </c>
      <c r="CK6" s="59">
        <v>15.3</v>
      </c>
      <c r="CL6" s="59">
        <v>16.2</v>
      </c>
      <c r="CM6" s="59">
        <v>16.2</v>
      </c>
      <c r="CN6" s="59">
        <v>15.9</v>
      </c>
      <c r="CO6" s="59">
        <v>16.2</v>
      </c>
      <c r="CP6" s="59">
        <v>16.2</v>
      </c>
      <c r="CQ6" s="59">
        <v>16</v>
      </c>
      <c r="CR6" s="59">
        <v>16.2</v>
      </c>
      <c r="CS6" s="59">
        <v>16.2</v>
      </c>
      <c r="CT6" s="59">
        <v>16.2</v>
      </c>
      <c r="CU6" s="59">
        <v>18</v>
      </c>
      <c r="CV6" s="59">
        <v>18</v>
      </c>
      <c r="CW6" s="59">
        <v>17.100000000000001</v>
      </c>
      <c r="CX6" s="59">
        <v>17.100000000000001</v>
      </c>
      <c r="CY6" s="59">
        <v>18</v>
      </c>
      <c r="CZ6" s="59">
        <v>16.8</v>
      </c>
      <c r="DA6" s="59">
        <v>17.100000000000001</v>
      </c>
      <c r="DB6" s="59">
        <v>17.100000000000001</v>
      </c>
      <c r="DC6" s="59">
        <v>17.100000000000001</v>
      </c>
      <c r="DD6" s="59">
        <v>18</v>
      </c>
      <c r="DE6" s="59">
        <v>18</v>
      </c>
      <c r="DF6" s="59">
        <v>18</v>
      </c>
      <c r="DG6" s="59">
        <v>18.600000000000001</v>
      </c>
      <c r="DH6" s="59">
        <v>17.7</v>
      </c>
      <c r="DI6" s="59">
        <v>17.5</v>
      </c>
      <c r="DJ6" s="59">
        <v>18.899999999999999</v>
      </c>
      <c r="DK6" s="59">
        <v>18.899999999999999</v>
      </c>
      <c r="DL6" s="59">
        <v>18.399999999999999</v>
      </c>
      <c r="DM6" s="61"/>
      <c r="DN6" s="61"/>
      <c r="DO6" s="61"/>
      <c r="DP6" s="61"/>
    </row>
    <row r="7" spans="1:120" s="34" customFormat="1" x14ac:dyDescent="0.35">
      <c r="A7" s="58" t="s">
        <v>3</v>
      </c>
      <c r="B7" s="58">
        <v>5</v>
      </c>
      <c r="C7" s="59">
        <v>1.8</v>
      </c>
      <c r="D7" s="59">
        <v>2.1</v>
      </c>
      <c r="E7" s="59">
        <v>2.4</v>
      </c>
      <c r="F7" s="59">
        <v>3.4</v>
      </c>
      <c r="G7" s="59">
        <v>2.5499999999999998</v>
      </c>
      <c r="H7" s="59">
        <v>3.4</v>
      </c>
      <c r="I7" s="59">
        <v>3.5</v>
      </c>
      <c r="J7" s="59">
        <v>3.85</v>
      </c>
      <c r="K7" s="59">
        <v>3.85</v>
      </c>
      <c r="L7" s="59">
        <v>4.3</v>
      </c>
      <c r="M7" s="59">
        <v>3.4</v>
      </c>
      <c r="N7" s="59">
        <v>3.8</v>
      </c>
      <c r="O7" s="59">
        <v>4.6500000000000004</v>
      </c>
      <c r="P7" s="59">
        <v>4.8</v>
      </c>
      <c r="Q7" s="59">
        <v>5.0999999999999996</v>
      </c>
      <c r="R7" s="59">
        <v>5.0999999999999996</v>
      </c>
      <c r="S7" s="59">
        <v>5.0999999999999996</v>
      </c>
      <c r="T7" s="59">
        <v>5.0999999999999996</v>
      </c>
      <c r="U7" s="59">
        <v>5.95</v>
      </c>
      <c r="V7" s="59">
        <v>6.8</v>
      </c>
      <c r="W7" s="59">
        <v>6.3</v>
      </c>
      <c r="X7" s="59">
        <v>5.95</v>
      </c>
      <c r="Y7" s="59">
        <v>6.8</v>
      </c>
      <c r="Z7" s="59">
        <v>5.95</v>
      </c>
      <c r="AA7" s="59">
        <v>6.4</v>
      </c>
      <c r="AB7" s="59">
        <v>6.4</v>
      </c>
      <c r="AC7" s="59">
        <v>6.4</v>
      </c>
      <c r="AD7" s="59">
        <v>6.4</v>
      </c>
      <c r="AE7" s="59">
        <v>6</v>
      </c>
      <c r="AF7" s="59">
        <v>6</v>
      </c>
      <c r="AG7" s="60">
        <v>6</v>
      </c>
      <c r="AH7" s="59">
        <v>7.65</v>
      </c>
      <c r="AI7" s="59">
        <v>7.03</v>
      </c>
      <c r="AJ7" s="59">
        <v>7.85</v>
      </c>
      <c r="AK7" s="59">
        <v>6</v>
      </c>
      <c r="AL7" s="59">
        <v>6</v>
      </c>
      <c r="AM7" s="59">
        <v>8.5</v>
      </c>
      <c r="AN7" s="59">
        <v>6.8</v>
      </c>
      <c r="AO7" s="59">
        <v>6.8</v>
      </c>
      <c r="AP7" s="59">
        <v>7.35</v>
      </c>
      <c r="AQ7" s="59">
        <v>7.95</v>
      </c>
      <c r="AR7" s="59">
        <v>7.5</v>
      </c>
      <c r="AS7" s="59">
        <v>8.5</v>
      </c>
      <c r="AT7" s="59">
        <v>6.78</v>
      </c>
      <c r="AU7" s="59">
        <v>8.65</v>
      </c>
      <c r="AV7" s="59">
        <v>8.7899999999999991</v>
      </c>
      <c r="AW7" s="62">
        <v>6.48</v>
      </c>
      <c r="AX7" s="59">
        <v>9.5</v>
      </c>
      <c r="AY7" s="59">
        <v>10</v>
      </c>
      <c r="AZ7" s="59">
        <v>9.25</v>
      </c>
      <c r="BA7" s="59">
        <v>9.5</v>
      </c>
      <c r="BB7" s="59">
        <v>9.25</v>
      </c>
      <c r="BC7" s="59">
        <v>10.3</v>
      </c>
      <c r="BD7" s="59">
        <v>11.1</v>
      </c>
      <c r="BE7" s="59">
        <v>10</v>
      </c>
      <c r="BF7" s="59">
        <v>11.1</v>
      </c>
      <c r="BG7" s="59">
        <v>11.1</v>
      </c>
      <c r="BH7" s="59">
        <v>12.02</v>
      </c>
      <c r="BI7" s="59">
        <v>11.1</v>
      </c>
      <c r="BJ7" s="59">
        <v>11.5</v>
      </c>
      <c r="BK7" s="59">
        <v>12.2</v>
      </c>
      <c r="BL7" s="59">
        <v>11.5</v>
      </c>
      <c r="BM7" s="59">
        <v>12.3</v>
      </c>
      <c r="BN7" s="59">
        <v>11.5</v>
      </c>
      <c r="BO7" s="59">
        <v>11.5</v>
      </c>
      <c r="BP7" s="59">
        <v>13.8</v>
      </c>
      <c r="BQ7" s="59">
        <v>14.8</v>
      </c>
      <c r="BR7" s="59">
        <v>12.84</v>
      </c>
      <c r="BS7" s="59">
        <v>14.24</v>
      </c>
      <c r="BT7" s="59">
        <v>12.85</v>
      </c>
      <c r="BU7" s="59">
        <v>13.85</v>
      </c>
      <c r="BV7" s="59">
        <v>13.85</v>
      </c>
      <c r="BW7" s="59">
        <v>13.5</v>
      </c>
      <c r="BX7" s="59">
        <v>13.8</v>
      </c>
      <c r="BY7" s="59">
        <v>14.8</v>
      </c>
      <c r="BZ7" s="59">
        <v>15.3</v>
      </c>
      <c r="CA7" s="59">
        <v>14.4</v>
      </c>
      <c r="CB7" s="59">
        <v>15.3</v>
      </c>
      <c r="CC7" s="59">
        <v>14.4</v>
      </c>
      <c r="CD7" s="59">
        <v>14.4</v>
      </c>
      <c r="CE7" s="59">
        <v>15.3</v>
      </c>
      <c r="CF7" s="59">
        <v>16.2</v>
      </c>
      <c r="CG7" s="59">
        <v>14.2</v>
      </c>
      <c r="CH7" s="59">
        <v>13.45</v>
      </c>
      <c r="CI7" s="59">
        <v>14.1</v>
      </c>
      <c r="CJ7" s="59">
        <v>14.8</v>
      </c>
      <c r="CK7" s="59">
        <v>15</v>
      </c>
      <c r="CL7" s="59">
        <v>14.8</v>
      </c>
      <c r="CM7" s="59">
        <v>14.8</v>
      </c>
      <c r="CN7" s="59">
        <v>16.2</v>
      </c>
      <c r="CO7" s="59">
        <v>16.2</v>
      </c>
      <c r="CP7" s="59">
        <v>15.7</v>
      </c>
      <c r="CQ7" s="59">
        <v>16</v>
      </c>
      <c r="CR7" s="59">
        <v>16.2</v>
      </c>
      <c r="CS7" s="59">
        <v>16.2</v>
      </c>
      <c r="CT7" s="59">
        <v>16.2</v>
      </c>
      <c r="CU7" s="59">
        <v>18</v>
      </c>
      <c r="CV7" s="59">
        <v>18</v>
      </c>
      <c r="CW7" s="59">
        <v>17.100000000000001</v>
      </c>
      <c r="CX7" s="59">
        <v>17.100000000000001</v>
      </c>
      <c r="CY7" s="59">
        <v>18</v>
      </c>
      <c r="CZ7" s="59">
        <v>17.100000000000001</v>
      </c>
      <c r="DA7" s="59">
        <v>17.100000000000001</v>
      </c>
      <c r="DB7" s="59">
        <v>17.100000000000001</v>
      </c>
      <c r="DC7" s="59">
        <v>17.100000000000001</v>
      </c>
      <c r="DD7" s="59">
        <v>18</v>
      </c>
      <c r="DE7" s="59">
        <v>17.7</v>
      </c>
      <c r="DF7" s="59">
        <v>18</v>
      </c>
      <c r="DG7" s="59">
        <v>18</v>
      </c>
      <c r="DH7" s="59">
        <v>17.7</v>
      </c>
      <c r="DI7" s="59">
        <v>17.7</v>
      </c>
      <c r="DJ7" s="59">
        <v>18.899999999999999</v>
      </c>
      <c r="DK7" s="59">
        <v>18.899999999999999</v>
      </c>
      <c r="DL7" s="59">
        <v>18.899999999999999</v>
      </c>
      <c r="DM7" s="61"/>
      <c r="DN7" s="61"/>
      <c r="DO7" s="61"/>
      <c r="DP7" s="61"/>
    </row>
    <row r="8" spans="1:120" s="32" customFormat="1" x14ac:dyDescent="0.35">
      <c r="A8" s="41" t="s">
        <v>4</v>
      </c>
      <c r="B8" s="41">
        <v>1</v>
      </c>
      <c r="C8" s="45">
        <v>1.8</v>
      </c>
      <c r="D8" s="45">
        <v>2.1</v>
      </c>
      <c r="E8" s="45">
        <v>2.4</v>
      </c>
      <c r="F8" s="45">
        <v>3.4</v>
      </c>
      <c r="G8" s="45">
        <v>2.5499999999999998</v>
      </c>
      <c r="H8" s="45">
        <v>3.4</v>
      </c>
      <c r="I8" s="45">
        <v>3.5</v>
      </c>
      <c r="J8" s="45">
        <v>3.85</v>
      </c>
      <c r="K8" s="45">
        <v>3.85</v>
      </c>
      <c r="L8" s="45">
        <v>3.8</v>
      </c>
      <c r="M8" s="45">
        <v>3.8</v>
      </c>
      <c r="N8" s="45">
        <v>4.3</v>
      </c>
      <c r="O8" s="45">
        <v>4.6500000000000004</v>
      </c>
      <c r="P8" s="45">
        <v>4.8</v>
      </c>
      <c r="Q8" s="45">
        <v>5.0999999999999996</v>
      </c>
      <c r="R8" s="45">
        <v>5.0999999999999996</v>
      </c>
      <c r="S8" s="45">
        <v>5.0999999999999996</v>
      </c>
      <c r="T8" s="45">
        <v>5.55</v>
      </c>
      <c r="U8" s="45">
        <v>5.95</v>
      </c>
      <c r="V8" s="45">
        <v>6.8</v>
      </c>
      <c r="W8" s="45">
        <v>6.7</v>
      </c>
      <c r="X8" s="45">
        <v>6.5</v>
      </c>
      <c r="Y8" s="45">
        <v>6.7</v>
      </c>
      <c r="Z8" s="45">
        <v>5.75</v>
      </c>
      <c r="AA8" s="45">
        <v>6.4</v>
      </c>
      <c r="AB8" s="45">
        <v>6.7</v>
      </c>
      <c r="AC8" s="45">
        <v>6.4</v>
      </c>
      <c r="AD8" s="45">
        <v>6.4</v>
      </c>
      <c r="AE8" s="45">
        <v>6.4</v>
      </c>
      <c r="AF8" s="45">
        <v>6</v>
      </c>
      <c r="AG8" s="64">
        <v>6</v>
      </c>
      <c r="AH8" s="45">
        <v>7.65</v>
      </c>
      <c r="AI8" s="45">
        <v>7.35</v>
      </c>
      <c r="AJ8" s="45">
        <v>7.95</v>
      </c>
      <c r="AK8" s="45">
        <v>7.65</v>
      </c>
      <c r="AL8" s="45">
        <v>7.65</v>
      </c>
      <c r="AM8" s="45">
        <v>8.5</v>
      </c>
      <c r="AN8" s="45">
        <v>6.8</v>
      </c>
      <c r="AO8" s="45">
        <v>6.8</v>
      </c>
      <c r="AP8" s="45">
        <v>9.0500000000000007</v>
      </c>
      <c r="AQ8" s="45">
        <v>7.95</v>
      </c>
      <c r="AR8" s="45">
        <v>9.35</v>
      </c>
      <c r="AS8" s="45">
        <v>8.5</v>
      </c>
      <c r="AT8" s="45">
        <v>8.6199999999999992</v>
      </c>
      <c r="AU8" s="45">
        <v>9.7200000000000006</v>
      </c>
      <c r="AV8" s="45">
        <v>9.25</v>
      </c>
      <c r="AW8" s="45">
        <v>9.25</v>
      </c>
      <c r="AX8" s="45">
        <v>10</v>
      </c>
      <c r="AY8" s="45">
        <v>10.199999999999999</v>
      </c>
      <c r="AZ8" s="45">
        <v>10.1</v>
      </c>
      <c r="BA8" s="45">
        <v>11.1</v>
      </c>
      <c r="BB8" s="45">
        <v>10</v>
      </c>
      <c r="BC8" s="45">
        <v>11.1</v>
      </c>
      <c r="BD8" s="45">
        <v>11.1</v>
      </c>
      <c r="BE8" s="45">
        <v>12.02</v>
      </c>
      <c r="BF8" s="45">
        <v>11.5</v>
      </c>
      <c r="BG8" s="45">
        <v>12.02</v>
      </c>
      <c r="BH8" s="45">
        <v>11.1</v>
      </c>
      <c r="BI8" s="45">
        <v>12.2</v>
      </c>
      <c r="BJ8" s="45">
        <v>12.2</v>
      </c>
      <c r="BK8" s="45">
        <v>12.2</v>
      </c>
      <c r="BL8" s="45">
        <v>12.5</v>
      </c>
      <c r="BM8" s="45">
        <v>12.02</v>
      </c>
      <c r="BN8" s="45">
        <v>12.3</v>
      </c>
      <c r="BO8" s="45">
        <v>11.5</v>
      </c>
      <c r="BP8" s="45">
        <v>13.8</v>
      </c>
      <c r="BQ8" s="45">
        <v>14.8</v>
      </c>
      <c r="BR8" s="45">
        <v>13.35</v>
      </c>
      <c r="BS8" s="45">
        <v>12.46</v>
      </c>
      <c r="BT8" s="45">
        <v>12.46</v>
      </c>
      <c r="BU8" s="45">
        <v>14.24</v>
      </c>
      <c r="BV8" s="45">
        <v>13.85</v>
      </c>
      <c r="BW8" s="45">
        <v>13</v>
      </c>
      <c r="BX8" s="45">
        <v>14.24</v>
      </c>
      <c r="BY8" s="45">
        <v>14.2</v>
      </c>
      <c r="BZ8" s="45">
        <v>14.4</v>
      </c>
      <c r="CA8" s="45">
        <v>14.4</v>
      </c>
      <c r="CB8" s="45">
        <v>15.3</v>
      </c>
      <c r="CC8" s="45">
        <v>15.3</v>
      </c>
      <c r="CD8" s="45">
        <v>12.6</v>
      </c>
      <c r="CE8" s="45">
        <v>16.2</v>
      </c>
      <c r="CF8" s="45">
        <v>16.2</v>
      </c>
      <c r="CG8" s="45">
        <v>14.4</v>
      </c>
      <c r="CH8" s="45">
        <v>13</v>
      </c>
      <c r="CI8" s="45">
        <v>14.1</v>
      </c>
      <c r="CJ8" s="45">
        <v>15</v>
      </c>
      <c r="CK8" s="45">
        <v>14.8</v>
      </c>
      <c r="CL8" s="45">
        <v>14.8</v>
      </c>
      <c r="CM8" s="45">
        <v>15.3</v>
      </c>
      <c r="CN8" s="45">
        <v>15.7</v>
      </c>
      <c r="CO8" s="45">
        <v>15.3</v>
      </c>
      <c r="CP8" s="45">
        <v>16.2</v>
      </c>
      <c r="CQ8" s="45">
        <v>16</v>
      </c>
      <c r="CR8" s="45">
        <v>16.2</v>
      </c>
      <c r="CS8" s="45">
        <v>15.7</v>
      </c>
      <c r="CT8" s="45">
        <v>16.2</v>
      </c>
      <c r="CU8" s="45">
        <v>17.100000000000001</v>
      </c>
      <c r="CV8" s="45">
        <v>18</v>
      </c>
      <c r="CW8" s="45">
        <v>17.100000000000001</v>
      </c>
      <c r="CX8" s="45">
        <v>17.100000000000001</v>
      </c>
      <c r="CY8" s="45">
        <v>18</v>
      </c>
      <c r="CZ8" s="45">
        <v>16.8</v>
      </c>
      <c r="DA8" s="45">
        <v>17.100000000000001</v>
      </c>
      <c r="DB8" s="45">
        <v>17.100000000000001</v>
      </c>
      <c r="DC8" s="45">
        <v>17.100000000000001</v>
      </c>
      <c r="DD8" s="45">
        <v>18</v>
      </c>
      <c r="DE8" s="45">
        <v>17.7</v>
      </c>
      <c r="DF8" s="45">
        <v>18</v>
      </c>
      <c r="DG8" s="45">
        <v>18</v>
      </c>
      <c r="DH8" s="45">
        <v>18</v>
      </c>
      <c r="DI8" s="45">
        <v>17.7</v>
      </c>
      <c r="DJ8" s="45">
        <v>18.899999999999999</v>
      </c>
      <c r="DK8" s="45">
        <v>18.899999999999999</v>
      </c>
      <c r="DL8" s="45">
        <v>18.399999999999999</v>
      </c>
      <c r="DM8" s="65"/>
      <c r="DN8" s="65"/>
      <c r="DO8" s="65"/>
      <c r="DP8" s="65"/>
    </row>
    <row r="9" spans="1:120" s="32" customFormat="1" x14ac:dyDescent="0.35">
      <c r="A9" s="41" t="s">
        <v>4</v>
      </c>
      <c r="B9" s="41">
        <v>2</v>
      </c>
      <c r="C9" s="45">
        <v>1.8</v>
      </c>
      <c r="D9" s="45">
        <v>2.1</v>
      </c>
      <c r="E9" s="45">
        <v>2.4</v>
      </c>
      <c r="F9" s="45">
        <v>4.67</v>
      </c>
      <c r="G9" s="45">
        <v>2.65</v>
      </c>
      <c r="H9" s="45">
        <v>3.4</v>
      </c>
      <c r="I9" s="45">
        <v>3.5</v>
      </c>
      <c r="J9" s="45">
        <v>3.85</v>
      </c>
      <c r="K9" s="45">
        <v>3.85</v>
      </c>
      <c r="L9" s="45">
        <v>4.5999999999999996</v>
      </c>
      <c r="M9" s="45">
        <v>3.8</v>
      </c>
      <c r="N9" s="45">
        <v>4.6500000000000004</v>
      </c>
      <c r="O9" s="45">
        <v>4.6500000000000004</v>
      </c>
      <c r="P9" s="45">
        <v>4.8</v>
      </c>
      <c r="Q9" s="45">
        <v>5.0999999999999996</v>
      </c>
      <c r="R9" s="45">
        <v>5.0999999999999996</v>
      </c>
      <c r="S9" s="45">
        <v>5.0999999999999996</v>
      </c>
      <c r="T9" s="45">
        <v>5.95</v>
      </c>
      <c r="U9" s="45">
        <v>5.95</v>
      </c>
      <c r="V9" s="45">
        <v>6.3</v>
      </c>
      <c r="W9" s="45">
        <v>6.5</v>
      </c>
      <c r="X9" s="45">
        <v>6.5</v>
      </c>
      <c r="Y9" s="45">
        <v>6.3</v>
      </c>
      <c r="Z9" s="45">
        <v>6.1</v>
      </c>
      <c r="AA9" s="45">
        <v>6.4</v>
      </c>
      <c r="AB9" s="45">
        <v>6.4</v>
      </c>
      <c r="AC9" s="45">
        <v>6.4</v>
      </c>
      <c r="AD9" s="45">
        <v>6.7</v>
      </c>
      <c r="AE9" s="45">
        <v>6.4</v>
      </c>
      <c r="AF9" s="45">
        <v>6</v>
      </c>
      <c r="AG9" s="64">
        <v>6</v>
      </c>
      <c r="AH9" s="45">
        <v>8.5</v>
      </c>
      <c r="AI9" s="45">
        <v>7.65</v>
      </c>
      <c r="AJ9" s="45">
        <v>8.5</v>
      </c>
      <c r="AK9" s="45">
        <v>7.65</v>
      </c>
      <c r="AL9" s="45">
        <v>7.65</v>
      </c>
      <c r="AM9" s="45">
        <v>8.5</v>
      </c>
      <c r="AN9" s="45">
        <v>6.8</v>
      </c>
      <c r="AO9" s="45">
        <v>6</v>
      </c>
      <c r="AP9" s="45">
        <v>9.35</v>
      </c>
      <c r="AQ9" s="45">
        <v>8.5</v>
      </c>
      <c r="AR9" s="45">
        <v>9.35</v>
      </c>
      <c r="AS9" s="45">
        <v>8.5</v>
      </c>
      <c r="AT9" s="45">
        <v>8.32</v>
      </c>
      <c r="AU9" s="45">
        <v>9.5</v>
      </c>
      <c r="AV9" s="45">
        <v>9.25</v>
      </c>
      <c r="AW9" s="45">
        <v>10</v>
      </c>
      <c r="AX9" s="45">
        <v>10</v>
      </c>
      <c r="AY9" s="45">
        <v>10.199999999999999</v>
      </c>
      <c r="AZ9" s="45">
        <v>11.1</v>
      </c>
      <c r="BA9" s="45">
        <v>11.1</v>
      </c>
      <c r="BB9" s="45">
        <v>11.2</v>
      </c>
      <c r="BC9" s="45">
        <v>11.1</v>
      </c>
      <c r="BD9" s="45">
        <v>11.1</v>
      </c>
      <c r="BE9" s="45">
        <v>12.02</v>
      </c>
      <c r="BF9" s="45">
        <v>11.1</v>
      </c>
      <c r="BG9" s="45">
        <v>12.02</v>
      </c>
      <c r="BH9" s="45">
        <v>12.2</v>
      </c>
      <c r="BI9" s="45">
        <v>12.02</v>
      </c>
      <c r="BJ9" s="45">
        <v>12.02</v>
      </c>
      <c r="BK9" s="45">
        <v>12.5</v>
      </c>
      <c r="BL9" s="45">
        <v>12.3</v>
      </c>
      <c r="BM9" s="45">
        <v>12.02</v>
      </c>
      <c r="BN9" s="45">
        <v>12.5</v>
      </c>
      <c r="BO9" s="45">
        <v>11.5</v>
      </c>
      <c r="BP9" s="45">
        <v>13.8</v>
      </c>
      <c r="BQ9" s="45">
        <v>14.8</v>
      </c>
      <c r="BR9" s="45">
        <v>12.96</v>
      </c>
      <c r="BS9" s="45">
        <v>14.24</v>
      </c>
      <c r="BT9" s="45">
        <v>13.35</v>
      </c>
      <c r="BU9" s="45">
        <v>13.74</v>
      </c>
      <c r="BV9" s="45">
        <v>13.85</v>
      </c>
      <c r="BW9" s="45">
        <v>13.85</v>
      </c>
      <c r="BX9" s="45">
        <v>13.35</v>
      </c>
      <c r="BY9" s="45">
        <v>13.67</v>
      </c>
      <c r="BZ9" s="45">
        <v>13</v>
      </c>
      <c r="CA9" s="45">
        <v>12.6</v>
      </c>
      <c r="CB9" s="45">
        <v>14.4</v>
      </c>
      <c r="CC9" s="45">
        <v>12.6</v>
      </c>
      <c r="CD9" s="45">
        <v>14.4</v>
      </c>
      <c r="CE9" s="45">
        <v>15.3</v>
      </c>
      <c r="CF9" s="45">
        <v>16.2</v>
      </c>
      <c r="CG9" s="45">
        <v>16.2</v>
      </c>
      <c r="CH9" s="45">
        <v>14.1</v>
      </c>
      <c r="CI9" s="45">
        <v>13.9</v>
      </c>
      <c r="CJ9" s="45">
        <v>14.4</v>
      </c>
      <c r="CK9" s="45">
        <v>15</v>
      </c>
      <c r="CL9" s="45">
        <v>16.2</v>
      </c>
      <c r="CM9" s="45">
        <v>16.2</v>
      </c>
      <c r="CN9" s="45">
        <v>16.2</v>
      </c>
      <c r="CO9" s="45">
        <v>15.3</v>
      </c>
      <c r="CP9" s="45">
        <v>16.2</v>
      </c>
      <c r="CQ9" s="45">
        <v>16</v>
      </c>
      <c r="CR9" s="45">
        <v>16.2</v>
      </c>
      <c r="CS9" s="45">
        <v>15.3</v>
      </c>
      <c r="CT9" s="45">
        <v>15.7</v>
      </c>
      <c r="CU9" s="45">
        <v>18</v>
      </c>
      <c r="CV9" s="45">
        <v>18</v>
      </c>
      <c r="CW9" s="45">
        <v>17.100000000000001</v>
      </c>
      <c r="CX9" s="45">
        <v>17.100000000000001</v>
      </c>
      <c r="CY9" s="45">
        <v>18</v>
      </c>
      <c r="CZ9" s="45">
        <v>16.8</v>
      </c>
      <c r="DA9" s="45">
        <v>17.100000000000001</v>
      </c>
      <c r="DB9" s="45">
        <v>16.8</v>
      </c>
      <c r="DC9" s="45">
        <v>18</v>
      </c>
      <c r="DD9" s="45">
        <v>18</v>
      </c>
      <c r="DE9" s="45">
        <v>18</v>
      </c>
      <c r="DF9" s="45">
        <v>18</v>
      </c>
      <c r="DG9" s="45">
        <v>18.600000000000001</v>
      </c>
      <c r="DH9" s="45">
        <v>18</v>
      </c>
      <c r="DI9" s="45">
        <v>18</v>
      </c>
      <c r="DJ9" s="45">
        <v>18</v>
      </c>
      <c r="DK9" s="45">
        <v>18.899999999999999</v>
      </c>
      <c r="DL9" s="45">
        <v>18.399999999999999</v>
      </c>
      <c r="DM9" s="65"/>
      <c r="DN9" s="65"/>
      <c r="DO9" s="65"/>
      <c r="DP9" s="65"/>
    </row>
    <row r="10" spans="1:120" s="32" customFormat="1" x14ac:dyDescent="0.35">
      <c r="A10" s="41" t="s">
        <v>4</v>
      </c>
      <c r="B10" s="41">
        <v>3</v>
      </c>
      <c r="C10" s="45">
        <v>1.8</v>
      </c>
      <c r="D10" s="45">
        <v>2.1</v>
      </c>
      <c r="E10" s="45">
        <v>2.4</v>
      </c>
      <c r="F10" s="45">
        <v>4.25</v>
      </c>
      <c r="G10" s="45">
        <v>2.85</v>
      </c>
      <c r="H10" s="45">
        <v>3.4</v>
      </c>
      <c r="I10" s="45">
        <v>3.5</v>
      </c>
      <c r="J10" s="45">
        <v>4.25</v>
      </c>
      <c r="K10" s="45">
        <v>3.75</v>
      </c>
      <c r="L10" s="45">
        <v>4.5</v>
      </c>
      <c r="M10" s="45">
        <v>3.8</v>
      </c>
      <c r="N10" s="45">
        <v>4.3</v>
      </c>
      <c r="O10" s="45">
        <v>4.6500000000000004</v>
      </c>
      <c r="P10" s="45">
        <v>4.8</v>
      </c>
      <c r="Q10" s="45">
        <v>5.0999999999999996</v>
      </c>
      <c r="R10" s="45">
        <v>5.0999999999999996</v>
      </c>
      <c r="S10" s="45">
        <v>5.0999999999999996</v>
      </c>
      <c r="T10" s="45">
        <v>5.95</v>
      </c>
      <c r="U10" s="45">
        <v>5.95</v>
      </c>
      <c r="V10" s="45">
        <v>6.8</v>
      </c>
      <c r="W10" s="45">
        <v>6.4</v>
      </c>
      <c r="X10" s="45">
        <v>6.1</v>
      </c>
      <c r="Y10" s="45">
        <v>6.5</v>
      </c>
      <c r="Z10" s="45">
        <v>6.4</v>
      </c>
      <c r="AA10" s="45">
        <v>6.4</v>
      </c>
      <c r="AB10" s="45">
        <v>6.1</v>
      </c>
      <c r="AC10" s="45">
        <v>6.5</v>
      </c>
      <c r="AD10" s="45">
        <v>6.1</v>
      </c>
      <c r="AE10" s="45">
        <v>6.3</v>
      </c>
      <c r="AF10" s="45">
        <v>6</v>
      </c>
      <c r="AG10" s="64">
        <v>6</v>
      </c>
      <c r="AH10" s="45">
        <v>6.83</v>
      </c>
      <c r="AI10" s="45">
        <v>7.13</v>
      </c>
      <c r="AJ10" s="45">
        <v>7.75</v>
      </c>
      <c r="AK10" s="45">
        <v>7.55</v>
      </c>
      <c r="AL10" s="45">
        <v>7</v>
      </c>
      <c r="AM10" s="45">
        <v>8.5</v>
      </c>
      <c r="AN10" s="45">
        <v>7.1</v>
      </c>
      <c r="AO10" s="45">
        <v>5.0999999999999996</v>
      </c>
      <c r="AP10" s="45">
        <v>7.65</v>
      </c>
      <c r="AQ10" s="45">
        <v>8.5</v>
      </c>
      <c r="AR10" s="45">
        <v>9.35</v>
      </c>
      <c r="AS10" s="45">
        <v>9.35</v>
      </c>
      <c r="AT10" s="45">
        <v>9.25</v>
      </c>
      <c r="AU10" s="45">
        <v>10.050000000000001</v>
      </c>
      <c r="AV10" s="45">
        <v>9.25</v>
      </c>
      <c r="AW10" s="45">
        <v>10</v>
      </c>
      <c r="AX10" s="45">
        <v>10.1</v>
      </c>
      <c r="AY10" s="45">
        <v>9.9</v>
      </c>
      <c r="AZ10" s="45">
        <v>10.5</v>
      </c>
      <c r="BA10" s="45">
        <v>10.1</v>
      </c>
      <c r="BB10" s="45">
        <v>10.3</v>
      </c>
      <c r="BC10" s="45">
        <v>11.1</v>
      </c>
      <c r="BD10" s="45">
        <v>11.1</v>
      </c>
      <c r="BE10" s="45">
        <v>11.2</v>
      </c>
      <c r="BF10" s="45">
        <v>11.1</v>
      </c>
      <c r="BG10" s="45">
        <v>12.02</v>
      </c>
      <c r="BH10" s="45">
        <v>12.02</v>
      </c>
      <c r="BI10" s="45">
        <v>12.02</v>
      </c>
      <c r="BJ10" s="45">
        <v>12.2</v>
      </c>
      <c r="BK10" s="45">
        <v>12.2</v>
      </c>
      <c r="BL10" s="45">
        <v>12.02</v>
      </c>
      <c r="BM10" s="45">
        <v>12.3</v>
      </c>
      <c r="BN10" s="45">
        <v>12.5</v>
      </c>
      <c r="BO10" s="45">
        <v>11.5</v>
      </c>
      <c r="BP10" s="45">
        <v>13.8</v>
      </c>
      <c r="BQ10" s="45">
        <v>14.8</v>
      </c>
      <c r="BR10" s="45">
        <v>12.96</v>
      </c>
      <c r="BS10" s="45">
        <v>14.24</v>
      </c>
      <c r="BT10" s="45">
        <v>13.35</v>
      </c>
      <c r="BU10" s="45">
        <v>14.24</v>
      </c>
      <c r="BV10" s="45">
        <v>14.24</v>
      </c>
      <c r="BW10" s="45">
        <v>13.5</v>
      </c>
      <c r="BX10" s="45">
        <v>14</v>
      </c>
      <c r="BY10" s="45">
        <v>14.6</v>
      </c>
      <c r="BZ10" s="45">
        <v>13.2</v>
      </c>
      <c r="CA10" s="45">
        <v>14.4</v>
      </c>
      <c r="CB10" s="45">
        <v>15.3</v>
      </c>
      <c r="CC10" s="45">
        <v>14.4</v>
      </c>
      <c r="CD10" s="45">
        <v>14.4</v>
      </c>
      <c r="CE10" s="45">
        <v>16.2</v>
      </c>
      <c r="CF10" s="45">
        <v>16.2</v>
      </c>
      <c r="CG10" s="45">
        <v>16.2</v>
      </c>
      <c r="CH10" s="45">
        <v>14.5</v>
      </c>
      <c r="CI10" s="45">
        <v>13.5</v>
      </c>
      <c r="CJ10" s="45">
        <v>15.9</v>
      </c>
      <c r="CK10" s="45">
        <v>14.8</v>
      </c>
      <c r="CL10" s="45">
        <v>16.2</v>
      </c>
      <c r="CM10" s="45">
        <v>15.3</v>
      </c>
      <c r="CN10" s="45">
        <v>16.2</v>
      </c>
      <c r="CO10" s="45">
        <v>15.9</v>
      </c>
      <c r="CP10" s="45">
        <v>15</v>
      </c>
      <c r="CQ10" s="45">
        <v>16</v>
      </c>
      <c r="CR10" s="45">
        <v>16.2</v>
      </c>
      <c r="CS10" s="45">
        <v>16.2</v>
      </c>
      <c r="CT10" s="45">
        <v>16.2</v>
      </c>
      <c r="CU10" s="45">
        <v>16.8</v>
      </c>
      <c r="CV10" s="45">
        <v>15.9</v>
      </c>
      <c r="CW10" s="45">
        <v>17.100000000000001</v>
      </c>
      <c r="CX10" s="45">
        <v>17.100000000000001</v>
      </c>
      <c r="CY10" s="45">
        <v>18</v>
      </c>
      <c r="CZ10" s="45">
        <v>17.100000000000001</v>
      </c>
      <c r="DA10" s="45">
        <v>17.100000000000001</v>
      </c>
      <c r="DB10" s="45">
        <v>16.2</v>
      </c>
      <c r="DC10" s="45">
        <v>18</v>
      </c>
      <c r="DD10" s="45">
        <v>18</v>
      </c>
      <c r="DE10" s="45">
        <v>18</v>
      </c>
      <c r="DF10" s="45">
        <v>18</v>
      </c>
      <c r="DG10" s="45">
        <v>18.600000000000001</v>
      </c>
      <c r="DH10" s="45">
        <v>18</v>
      </c>
      <c r="DI10" s="45">
        <v>18.600000000000001</v>
      </c>
      <c r="DJ10" s="45">
        <v>18.600000000000001</v>
      </c>
      <c r="DK10" s="45">
        <v>18.899999999999999</v>
      </c>
      <c r="DL10" s="45">
        <v>18.399999999999999</v>
      </c>
      <c r="DM10" s="65"/>
      <c r="DN10" s="65"/>
      <c r="DO10" s="65"/>
      <c r="DP10" s="65"/>
    </row>
    <row r="11" spans="1:120" s="32" customFormat="1" x14ac:dyDescent="0.35">
      <c r="A11" s="41" t="s">
        <v>4</v>
      </c>
      <c r="B11" s="41">
        <v>4</v>
      </c>
      <c r="C11" s="45">
        <v>1.8</v>
      </c>
      <c r="D11" s="45">
        <v>2.1</v>
      </c>
      <c r="E11" s="45">
        <v>2.4</v>
      </c>
      <c r="F11" s="45">
        <v>3.4</v>
      </c>
      <c r="G11" s="45">
        <v>2.65</v>
      </c>
      <c r="H11" s="45">
        <v>3.4</v>
      </c>
      <c r="I11" s="45">
        <v>3.5</v>
      </c>
      <c r="J11" s="45">
        <v>3.85</v>
      </c>
      <c r="K11" s="45">
        <v>3.75</v>
      </c>
      <c r="L11" s="45">
        <v>4</v>
      </c>
      <c r="M11" s="45">
        <v>3.9</v>
      </c>
      <c r="N11" s="45">
        <v>4.3</v>
      </c>
      <c r="O11" s="45">
        <v>4.55</v>
      </c>
      <c r="P11" s="45">
        <v>4.7</v>
      </c>
      <c r="Q11" s="45">
        <v>4.8</v>
      </c>
      <c r="R11" s="45">
        <v>4.8</v>
      </c>
      <c r="S11" s="45">
        <v>4.25</v>
      </c>
      <c r="T11" s="45">
        <v>5.0999999999999996</v>
      </c>
      <c r="U11" s="45">
        <v>5.0999999999999996</v>
      </c>
      <c r="V11" s="45">
        <v>6.4</v>
      </c>
      <c r="W11" s="45">
        <v>6.5</v>
      </c>
      <c r="X11" s="45">
        <v>6.1</v>
      </c>
      <c r="Y11" s="45">
        <v>5.85</v>
      </c>
      <c r="Z11" s="45">
        <v>5.95</v>
      </c>
      <c r="AA11" s="45">
        <v>6.1</v>
      </c>
      <c r="AB11" s="45">
        <v>6.4</v>
      </c>
      <c r="AC11" s="45">
        <v>6.4</v>
      </c>
      <c r="AD11" s="45">
        <v>6.7</v>
      </c>
      <c r="AE11" s="45">
        <v>6</v>
      </c>
      <c r="AF11" s="45">
        <v>6</v>
      </c>
      <c r="AG11" s="64">
        <v>6</v>
      </c>
      <c r="AH11" s="45">
        <v>7.83</v>
      </c>
      <c r="AI11" s="45">
        <v>6.6</v>
      </c>
      <c r="AJ11" s="45">
        <v>7.75</v>
      </c>
      <c r="AK11" s="45">
        <v>7.65</v>
      </c>
      <c r="AL11" s="45">
        <v>7.1</v>
      </c>
      <c r="AM11" s="45">
        <v>8.5</v>
      </c>
      <c r="AN11" s="45">
        <v>6.8</v>
      </c>
      <c r="AO11" s="45">
        <v>5.0999999999999996</v>
      </c>
      <c r="AP11" s="45">
        <v>7.65</v>
      </c>
      <c r="AQ11" s="45">
        <v>7.65</v>
      </c>
      <c r="AR11" s="45">
        <v>9.35</v>
      </c>
      <c r="AS11" s="45">
        <v>9.35</v>
      </c>
      <c r="AT11" s="45">
        <v>8.32</v>
      </c>
      <c r="AU11" s="45">
        <v>9.3000000000000007</v>
      </c>
      <c r="AV11" s="45">
        <v>9.25</v>
      </c>
      <c r="AW11" s="45">
        <v>10</v>
      </c>
      <c r="AX11" s="45">
        <v>9.9</v>
      </c>
      <c r="AY11" s="45">
        <v>9.8000000000000007</v>
      </c>
      <c r="AZ11" s="45">
        <v>10.1</v>
      </c>
      <c r="BA11" s="45">
        <v>10.1</v>
      </c>
      <c r="BB11" s="45">
        <v>9.25</v>
      </c>
      <c r="BC11" s="45">
        <v>11.1</v>
      </c>
      <c r="BD11" s="45">
        <v>11.1</v>
      </c>
      <c r="BE11" s="45">
        <v>10</v>
      </c>
      <c r="BF11" s="45">
        <v>11.1</v>
      </c>
      <c r="BG11" s="45">
        <v>12.02</v>
      </c>
      <c r="BH11" s="45">
        <v>12.02</v>
      </c>
      <c r="BI11" s="45">
        <v>12.02</v>
      </c>
      <c r="BJ11" s="45">
        <v>12.02</v>
      </c>
      <c r="BK11" s="45">
        <v>12.2</v>
      </c>
      <c r="BL11" s="45">
        <v>12.02</v>
      </c>
      <c r="BM11" s="45">
        <v>12.02</v>
      </c>
      <c r="BN11" s="45">
        <v>12.02</v>
      </c>
      <c r="BO11" s="45">
        <v>11.5</v>
      </c>
      <c r="BP11" s="45">
        <v>13.8</v>
      </c>
      <c r="BQ11" s="45">
        <v>14.8</v>
      </c>
      <c r="BR11" s="45">
        <v>13.35</v>
      </c>
      <c r="BS11" s="45">
        <v>14.24</v>
      </c>
      <c r="BT11" s="45">
        <v>13.35</v>
      </c>
      <c r="BU11" s="45">
        <v>14.24</v>
      </c>
      <c r="BV11" s="45">
        <v>13.5</v>
      </c>
      <c r="BW11" s="45">
        <v>14</v>
      </c>
      <c r="BX11" s="45">
        <v>14.24</v>
      </c>
      <c r="BY11" s="45">
        <v>14.8</v>
      </c>
      <c r="BZ11" s="45">
        <v>14.4</v>
      </c>
      <c r="CA11" s="45">
        <v>15.3</v>
      </c>
      <c r="CB11" s="45">
        <v>15.3</v>
      </c>
      <c r="CC11" s="45">
        <v>14.4</v>
      </c>
      <c r="CD11" s="45">
        <v>11.7</v>
      </c>
      <c r="CE11" s="45">
        <v>16.2</v>
      </c>
      <c r="CF11" s="45">
        <v>16.2</v>
      </c>
      <c r="CG11" s="45">
        <v>16.2</v>
      </c>
      <c r="CH11" s="45">
        <v>15.3</v>
      </c>
      <c r="CI11" s="45">
        <v>15.3</v>
      </c>
      <c r="CJ11" s="45">
        <v>14.8</v>
      </c>
      <c r="CK11" s="45">
        <v>15.3</v>
      </c>
      <c r="CL11" s="45">
        <v>15.9</v>
      </c>
      <c r="CM11" s="45">
        <v>16.2</v>
      </c>
      <c r="CN11" s="45">
        <v>16.2</v>
      </c>
      <c r="CO11" s="45">
        <v>15.9</v>
      </c>
      <c r="CP11" s="45">
        <v>15.9</v>
      </c>
      <c r="CQ11" s="45">
        <v>16</v>
      </c>
      <c r="CR11" s="45">
        <v>16.2</v>
      </c>
      <c r="CS11" s="45">
        <v>15.7</v>
      </c>
      <c r="CT11" s="45">
        <v>16.2</v>
      </c>
      <c r="CU11" s="45">
        <v>17.5</v>
      </c>
      <c r="CV11" s="45">
        <v>18</v>
      </c>
      <c r="CW11" s="45">
        <v>17.100000000000001</v>
      </c>
      <c r="CX11" s="45">
        <v>17.100000000000001</v>
      </c>
      <c r="CY11" s="45">
        <v>18</v>
      </c>
      <c r="CZ11" s="45">
        <v>17.100000000000001</v>
      </c>
      <c r="DA11" s="45">
        <v>17.100000000000001</v>
      </c>
      <c r="DB11" s="45">
        <v>18</v>
      </c>
      <c r="DC11" s="45">
        <v>18</v>
      </c>
      <c r="DD11" s="45">
        <v>18</v>
      </c>
      <c r="DE11" s="45">
        <v>18</v>
      </c>
      <c r="DF11" s="45">
        <v>18</v>
      </c>
      <c r="DG11" s="45">
        <v>18</v>
      </c>
      <c r="DH11" s="45">
        <v>18</v>
      </c>
      <c r="DI11" s="45">
        <v>17</v>
      </c>
      <c r="DJ11" s="45">
        <v>18</v>
      </c>
      <c r="DK11" s="45">
        <v>18.899999999999999</v>
      </c>
      <c r="DL11" s="45">
        <v>18.899999999999999</v>
      </c>
      <c r="DM11" s="65"/>
      <c r="DN11" s="65"/>
      <c r="DO11" s="65"/>
      <c r="DP11" s="65"/>
    </row>
    <row r="12" spans="1:120" s="32" customFormat="1" x14ac:dyDescent="0.35">
      <c r="A12" s="41" t="s">
        <v>4</v>
      </c>
      <c r="B12" s="41">
        <v>5</v>
      </c>
      <c r="C12" s="45">
        <v>1.8</v>
      </c>
      <c r="D12" s="45">
        <v>2.1</v>
      </c>
      <c r="E12" s="45">
        <v>2.4</v>
      </c>
      <c r="F12" s="45">
        <v>3.4</v>
      </c>
      <c r="G12" s="45">
        <v>2.65</v>
      </c>
      <c r="H12" s="45">
        <v>3.45</v>
      </c>
      <c r="I12" s="45">
        <v>3.5</v>
      </c>
      <c r="J12" s="45">
        <v>3.4</v>
      </c>
      <c r="K12" s="45">
        <v>3.75</v>
      </c>
      <c r="L12" s="45">
        <v>4</v>
      </c>
      <c r="M12" s="45">
        <v>3.8</v>
      </c>
      <c r="N12" s="45">
        <v>4.3</v>
      </c>
      <c r="O12" s="45">
        <v>4.6500000000000004</v>
      </c>
      <c r="P12" s="45">
        <v>4.8</v>
      </c>
      <c r="Q12" s="45">
        <v>5.0999999999999996</v>
      </c>
      <c r="R12" s="45">
        <v>5.0999999999999996</v>
      </c>
      <c r="S12" s="45">
        <v>5.0999999999999996</v>
      </c>
      <c r="T12" s="45">
        <v>5.0999999999999996</v>
      </c>
      <c r="U12" s="45">
        <v>5.65</v>
      </c>
      <c r="V12" s="45">
        <v>6.3</v>
      </c>
      <c r="W12" s="45">
        <v>6.5</v>
      </c>
      <c r="X12" s="45">
        <v>6.35</v>
      </c>
      <c r="Y12" s="45">
        <v>5.55</v>
      </c>
      <c r="Z12" s="45">
        <v>5.6</v>
      </c>
      <c r="AA12" s="45">
        <v>6.1</v>
      </c>
      <c r="AB12" s="45">
        <v>6.6</v>
      </c>
      <c r="AC12" s="45">
        <v>6.3</v>
      </c>
      <c r="AD12" s="45">
        <v>6.2</v>
      </c>
      <c r="AE12" s="45">
        <v>6.2</v>
      </c>
      <c r="AF12" s="45">
        <v>6.2</v>
      </c>
      <c r="AG12" s="64">
        <v>6</v>
      </c>
      <c r="AH12" s="45">
        <v>8.08</v>
      </c>
      <c r="AI12" s="45">
        <v>6.4</v>
      </c>
      <c r="AJ12" s="45">
        <v>7.63</v>
      </c>
      <c r="AK12" s="45">
        <v>7.65</v>
      </c>
      <c r="AL12" s="45">
        <v>6.8</v>
      </c>
      <c r="AM12" s="45">
        <v>8.1999999999999993</v>
      </c>
      <c r="AN12" s="45">
        <v>7.1</v>
      </c>
      <c r="AO12" s="45">
        <v>5.0999999999999996</v>
      </c>
      <c r="AP12" s="45">
        <v>7.35</v>
      </c>
      <c r="AQ12" s="45">
        <v>7.95</v>
      </c>
      <c r="AR12" s="45">
        <v>7.5</v>
      </c>
      <c r="AS12" s="45">
        <v>8.0500000000000007</v>
      </c>
      <c r="AT12" s="45">
        <v>8.7200000000000006</v>
      </c>
      <c r="AU12" s="45">
        <v>9.75</v>
      </c>
      <c r="AV12" s="45">
        <v>8.7899999999999991</v>
      </c>
      <c r="AW12" s="45">
        <v>10</v>
      </c>
      <c r="AX12" s="45">
        <v>10.1</v>
      </c>
      <c r="AY12" s="66">
        <v>7.4</v>
      </c>
      <c r="AZ12" s="45">
        <v>9</v>
      </c>
      <c r="BA12" s="45">
        <v>9.25</v>
      </c>
      <c r="BB12" s="45">
        <v>9.25</v>
      </c>
      <c r="BC12" s="45">
        <v>11.1</v>
      </c>
      <c r="BD12" s="45">
        <v>11.1</v>
      </c>
      <c r="BE12" s="45">
        <v>10</v>
      </c>
      <c r="BF12" s="45">
        <v>11.1</v>
      </c>
      <c r="BG12" s="45">
        <v>11</v>
      </c>
      <c r="BH12" s="45">
        <v>12.02</v>
      </c>
      <c r="BI12" s="45">
        <v>11.1</v>
      </c>
      <c r="BJ12" s="45">
        <v>11.5</v>
      </c>
      <c r="BK12" s="45">
        <v>12</v>
      </c>
      <c r="BL12" s="45">
        <v>12.02</v>
      </c>
      <c r="BM12" s="45">
        <v>12.1</v>
      </c>
      <c r="BN12" s="45">
        <v>12</v>
      </c>
      <c r="BO12" s="45">
        <v>11.5</v>
      </c>
      <c r="BP12" s="45">
        <v>13.8</v>
      </c>
      <c r="BQ12" s="45">
        <v>14.8</v>
      </c>
      <c r="BR12" s="45">
        <v>12.96</v>
      </c>
      <c r="BS12" s="45">
        <v>12.46</v>
      </c>
      <c r="BT12" s="45">
        <v>12</v>
      </c>
      <c r="BU12" s="45">
        <v>13.5</v>
      </c>
      <c r="BV12" s="45">
        <v>13.9</v>
      </c>
      <c r="BW12" s="45">
        <v>13</v>
      </c>
      <c r="BX12" s="45">
        <v>13</v>
      </c>
      <c r="BY12" s="45">
        <v>14.8</v>
      </c>
      <c r="BZ12" s="45">
        <v>12.1</v>
      </c>
      <c r="CA12" s="45">
        <v>12.5</v>
      </c>
      <c r="CB12" s="45">
        <v>14.4</v>
      </c>
      <c r="CC12" s="45">
        <v>14.4</v>
      </c>
      <c r="CD12" s="45">
        <v>15.3</v>
      </c>
      <c r="CE12" s="45">
        <v>15.3</v>
      </c>
      <c r="CF12" s="45">
        <v>16.2</v>
      </c>
      <c r="CG12" s="45">
        <v>15.2</v>
      </c>
      <c r="CH12" s="45">
        <v>12.1</v>
      </c>
      <c r="CI12" s="45">
        <v>13.5</v>
      </c>
      <c r="CJ12" s="45">
        <v>15.3</v>
      </c>
      <c r="CK12" s="45">
        <v>15.3</v>
      </c>
      <c r="CL12" s="45">
        <v>15.7</v>
      </c>
      <c r="CM12" s="45">
        <v>15</v>
      </c>
      <c r="CN12" s="45">
        <v>16.2</v>
      </c>
      <c r="CO12" s="45">
        <v>15.9</v>
      </c>
      <c r="CP12" s="45">
        <v>15</v>
      </c>
      <c r="CQ12" s="45">
        <v>16</v>
      </c>
      <c r="CR12" s="45">
        <v>16.2</v>
      </c>
      <c r="CS12" s="45">
        <v>16.2</v>
      </c>
      <c r="CT12" s="45">
        <v>16.2</v>
      </c>
      <c r="CU12" s="45">
        <v>17.5</v>
      </c>
      <c r="CV12" s="45">
        <v>16.8</v>
      </c>
      <c r="CW12" s="45">
        <v>17.100000000000001</v>
      </c>
      <c r="CX12" s="45">
        <v>17.100000000000001</v>
      </c>
      <c r="CY12" s="45">
        <v>18</v>
      </c>
      <c r="CZ12" s="45">
        <v>17.100000000000001</v>
      </c>
      <c r="DA12" s="45">
        <v>17.100000000000001</v>
      </c>
      <c r="DB12" s="45">
        <v>18</v>
      </c>
      <c r="DC12" s="45">
        <v>17.100000000000001</v>
      </c>
      <c r="DD12" s="45">
        <v>18</v>
      </c>
      <c r="DE12" s="45">
        <v>18</v>
      </c>
      <c r="DF12" s="45">
        <v>18</v>
      </c>
      <c r="DG12" s="45">
        <v>17.7</v>
      </c>
      <c r="DH12" s="45">
        <v>18.600000000000001</v>
      </c>
      <c r="DI12" s="45">
        <v>18</v>
      </c>
      <c r="DJ12" s="45">
        <v>18</v>
      </c>
      <c r="DK12" s="45">
        <v>18.899999999999999</v>
      </c>
      <c r="DL12" s="45">
        <v>18.399999999999999</v>
      </c>
      <c r="DM12" s="65"/>
      <c r="DN12" s="65"/>
      <c r="DO12" s="65"/>
      <c r="DP12" s="65"/>
    </row>
    <row r="13" spans="1:120" s="33" customFormat="1" x14ac:dyDescent="0.35">
      <c r="A13" s="67" t="s">
        <v>5</v>
      </c>
      <c r="B13" s="67">
        <v>1</v>
      </c>
      <c r="C13" s="68">
        <v>1.8</v>
      </c>
      <c r="D13" s="68">
        <v>2.1</v>
      </c>
      <c r="E13" s="68">
        <v>2.4</v>
      </c>
      <c r="F13" s="68">
        <v>3.4</v>
      </c>
      <c r="G13" s="68">
        <v>2.6</v>
      </c>
      <c r="H13" s="68">
        <v>3.4</v>
      </c>
      <c r="I13" s="68">
        <v>3.5</v>
      </c>
      <c r="J13" s="68">
        <v>3.4</v>
      </c>
      <c r="K13" s="68">
        <v>3.8</v>
      </c>
      <c r="L13" s="68">
        <v>3.9</v>
      </c>
      <c r="M13" s="68">
        <v>3.4</v>
      </c>
      <c r="N13" s="68">
        <v>4.3</v>
      </c>
      <c r="O13" s="68">
        <v>4.6500000000000004</v>
      </c>
      <c r="P13" s="68">
        <v>4.8</v>
      </c>
      <c r="Q13" s="68">
        <v>4.3</v>
      </c>
      <c r="R13" s="68">
        <v>5.3</v>
      </c>
      <c r="S13" s="68">
        <v>5.0999999999999996</v>
      </c>
      <c r="T13" s="68">
        <v>5.0999999999999996</v>
      </c>
      <c r="U13" s="68">
        <v>5.75</v>
      </c>
      <c r="V13" s="68">
        <v>5.8</v>
      </c>
      <c r="W13" s="68">
        <v>6.1</v>
      </c>
      <c r="X13" s="68">
        <v>6.1</v>
      </c>
      <c r="Y13" s="68">
        <v>5.85</v>
      </c>
      <c r="Z13" s="68">
        <v>5.25</v>
      </c>
      <c r="AA13" s="68">
        <v>5.9</v>
      </c>
      <c r="AB13" s="68">
        <v>6</v>
      </c>
      <c r="AC13" s="68">
        <v>5.8</v>
      </c>
      <c r="AD13" s="68">
        <v>5.0999999999999996</v>
      </c>
      <c r="AE13" s="68">
        <v>4.95</v>
      </c>
      <c r="AF13" s="68">
        <v>6.3</v>
      </c>
      <c r="AG13" s="69">
        <v>6</v>
      </c>
      <c r="AH13" s="68">
        <v>6.83</v>
      </c>
      <c r="AI13" s="68">
        <v>6.7</v>
      </c>
      <c r="AJ13" s="68">
        <v>5.7</v>
      </c>
      <c r="AK13" s="68">
        <v>6.6</v>
      </c>
      <c r="AL13" s="70">
        <v>3</v>
      </c>
      <c r="AM13" s="68">
        <v>6.6</v>
      </c>
      <c r="AN13" s="68">
        <v>6.2</v>
      </c>
      <c r="AO13" s="68">
        <v>7.65</v>
      </c>
      <c r="AP13" s="68">
        <v>8.1999999999999993</v>
      </c>
      <c r="AQ13" s="68">
        <v>7.65</v>
      </c>
      <c r="AR13" s="68">
        <v>9.15</v>
      </c>
      <c r="AS13" s="71">
        <v>8.5</v>
      </c>
      <c r="AT13" s="68">
        <v>8.6199999999999992</v>
      </c>
      <c r="AU13" s="68">
        <v>9.1999999999999993</v>
      </c>
      <c r="AV13" s="68">
        <v>9.25</v>
      </c>
      <c r="AW13" s="68">
        <v>9.0500000000000007</v>
      </c>
      <c r="AX13" s="68">
        <v>10.1</v>
      </c>
      <c r="AY13" s="68">
        <v>10.3</v>
      </c>
      <c r="AZ13" s="68">
        <v>9.25</v>
      </c>
      <c r="BA13" s="68">
        <v>9.25</v>
      </c>
      <c r="BB13" s="68">
        <v>10.5</v>
      </c>
      <c r="BC13" s="68">
        <v>11.1</v>
      </c>
      <c r="BD13" s="68">
        <v>11.1</v>
      </c>
      <c r="BE13" s="68">
        <v>11.2</v>
      </c>
      <c r="BF13" s="68">
        <v>11.1</v>
      </c>
      <c r="BG13" s="68">
        <v>12.02</v>
      </c>
      <c r="BH13" s="68">
        <v>12.02</v>
      </c>
      <c r="BI13" s="68">
        <v>12.2</v>
      </c>
      <c r="BJ13" s="68">
        <v>11.5</v>
      </c>
      <c r="BK13" s="68">
        <v>10.1</v>
      </c>
      <c r="BL13" s="68">
        <v>11.1</v>
      </c>
      <c r="BM13" s="68">
        <v>13</v>
      </c>
      <c r="BN13" s="68">
        <v>12.5</v>
      </c>
      <c r="BO13" s="68">
        <v>11.5</v>
      </c>
      <c r="BP13" s="68">
        <v>13.8</v>
      </c>
      <c r="BQ13" s="68">
        <v>14.8</v>
      </c>
      <c r="BR13" s="68">
        <v>12.66</v>
      </c>
      <c r="BS13" s="68">
        <v>14.24</v>
      </c>
      <c r="BT13" s="68">
        <v>12</v>
      </c>
      <c r="BU13" s="68">
        <v>13.65</v>
      </c>
      <c r="BV13" s="68">
        <v>14.24</v>
      </c>
      <c r="BW13" s="68">
        <v>15.5</v>
      </c>
      <c r="BX13" s="68">
        <v>14.24</v>
      </c>
      <c r="BY13" s="68">
        <v>14.8</v>
      </c>
      <c r="BZ13" s="68">
        <v>13.2</v>
      </c>
      <c r="CA13" s="68">
        <v>16.2</v>
      </c>
      <c r="CB13" s="68">
        <v>15.3</v>
      </c>
      <c r="CC13" s="68">
        <v>14.4</v>
      </c>
      <c r="CD13" s="68">
        <v>15.3</v>
      </c>
      <c r="CE13" s="68">
        <v>16.2</v>
      </c>
      <c r="CF13" s="68">
        <v>16.2</v>
      </c>
      <c r="CG13" s="68">
        <v>15.7</v>
      </c>
      <c r="CH13" s="68">
        <v>15.9</v>
      </c>
      <c r="CI13" s="68">
        <v>14.4</v>
      </c>
      <c r="CJ13" s="68">
        <v>15.3</v>
      </c>
      <c r="CK13" s="68">
        <v>15.3</v>
      </c>
      <c r="CL13" s="68">
        <v>15.9</v>
      </c>
      <c r="CM13" s="68">
        <v>14.8</v>
      </c>
      <c r="CN13" s="68">
        <v>14.4</v>
      </c>
      <c r="CO13" s="68">
        <v>15.7</v>
      </c>
      <c r="CP13" s="68">
        <v>14.8</v>
      </c>
      <c r="CQ13" s="68">
        <v>15</v>
      </c>
      <c r="CR13" s="68">
        <v>16.2</v>
      </c>
      <c r="CS13" s="68">
        <v>16.2</v>
      </c>
      <c r="CT13" s="68">
        <v>16.2</v>
      </c>
      <c r="CU13" s="68">
        <v>17.5</v>
      </c>
      <c r="CV13" s="68">
        <v>16.8</v>
      </c>
      <c r="CW13" s="68">
        <v>17.100000000000001</v>
      </c>
      <c r="CX13" s="68">
        <v>17.100000000000001</v>
      </c>
      <c r="CY13" s="68">
        <v>18</v>
      </c>
      <c r="CZ13" s="68">
        <v>17.100000000000001</v>
      </c>
      <c r="DA13" s="68">
        <v>17.100000000000001</v>
      </c>
      <c r="DB13" s="68">
        <v>16.8</v>
      </c>
      <c r="DC13" s="68">
        <v>16.2</v>
      </c>
      <c r="DD13" s="68">
        <v>18</v>
      </c>
      <c r="DE13" s="68">
        <v>18</v>
      </c>
      <c r="DF13" s="68">
        <v>18</v>
      </c>
      <c r="DG13" s="68">
        <v>18</v>
      </c>
      <c r="DH13" s="68">
        <v>17.7</v>
      </c>
      <c r="DI13" s="68">
        <v>18</v>
      </c>
      <c r="DJ13" s="68">
        <v>18.600000000000001</v>
      </c>
      <c r="DK13" s="68">
        <v>18.899999999999999</v>
      </c>
      <c r="DL13" s="68">
        <v>18.899999999999999</v>
      </c>
      <c r="DM13" s="72"/>
      <c r="DN13" s="72"/>
      <c r="DO13" s="72"/>
      <c r="DP13" s="72"/>
    </row>
    <row r="14" spans="1:120" s="33" customFormat="1" x14ac:dyDescent="0.35">
      <c r="A14" s="67" t="s">
        <v>5</v>
      </c>
      <c r="B14" s="67">
        <v>2</v>
      </c>
      <c r="C14" s="68">
        <v>1.8</v>
      </c>
      <c r="D14" s="68">
        <v>2.1</v>
      </c>
      <c r="E14" s="68">
        <v>2.4</v>
      </c>
      <c r="F14" s="68">
        <v>4.25</v>
      </c>
      <c r="G14" s="68">
        <v>2.5499999999999998</v>
      </c>
      <c r="H14" s="68">
        <v>3.4</v>
      </c>
      <c r="I14" s="68">
        <v>3.5</v>
      </c>
      <c r="J14" s="68">
        <v>3.4</v>
      </c>
      <c r="K14" s="68">
        <v>3.85</v>
      </c>
      <c r="L14" s="68">
        <v>4.3</v>
      </c>
      <c r="M14" s="68">
        <v>3.4</v>
      </c>
      <c r="N14" s="68">
        <v>4</v>
      </c>
      <c r="O14" s="68">
        <v>4.6500000000000004</v>
      </c>
      <c r="P14" s="68">
        <v>4.8</v>
      </c>
      <c r="Q14" s="68">
        <v>5.0999999999999996</v>
      </c>
      <c r="R14" s="68">
        <v>5.0999999999999996</v>
      </c>
      <c r="S14" s="68">
        <v>5.0999999999999996</v>
      </c>
      <c r="T14" s="68">
        <v>5.0999999999999996</v>
      </c>
      <c r="U14" s="68">
        <v>5.95</v>
      </c>
      <c r="V14" s="68">
        <v>6.6</v>
      </c>
      <c r="W14" s="68">
        <v>6.35</v>
      </c>
      <c r="X14" s="68">
        <v>6.5</v>
      </c>
      <c r="Y14" s="68">
        <v>6.05</v>
      </c>
      <c r="Z14" s="68">
        <v>5.95</v>
      </c>
      <c r="AA14" s="68">
        <v>5.9</v>
      </c>
      <c r="AB14" s="68">
        <v>6.5</v>
      </c>
      <c r="AC14" s="68">
        <v>5.8</v>
      </c>
      <c r="AD14" s="68">
        <v>6.1</v>
      </c>
      <c r="AE14" s="68">
        <v>5.6</v>
      </c>
      <c r="AF14" s="68">
        <v>6.4</v>
      </c>
      <c r="AG14" s="69">
        <v>6</v>
      </c>
      <c r="AH14" s="68">
        <v>8.5</v>
      </c>
      <c r="AI14" s="68">
        <v>7.23</v>
      </c>
      <c r="AJ14" s="68">
        <v>7.25</v>
      </c>
      <c r="AK14" s="68">
        <v>7.75</v>
      </c>
      <c r="AL14" s="70">
        <v>3.7</v>
      </c>
      <c r="AM14" s="68">
        <v>6.8</v>
      </c>
      <c r="AN14" s="68">
        <v>6</v>
      </c>
      <c r="AO14" s="68">
        <v>7.65</v>
      </c>
      <c r="AP14" s="68">
        <v>7.35</v>
      </c>
      <c r="AQ14" s="68">
        <v>7.95</v>
      </c>
      <c r="AR14" s="68">
        <v>9.0500000000000007</v>
      </c>
      <c r="AS14" s="68">
        <v>8.8000000000000007</v>
      </c>
      <c r="AT14" s="68">
        <v>7.7</v>
      </c>
      <c r="AU14" s="68">
        <v>9</v>
      </c>
      <c r="AV14" s="68">
        <v>9.25</v>
      </c>
      <c r="AW14" s="68">
        <v>9.25</v>
      </c>
      <c r="AX14" s="68">
        <v>9.8000000000000007</v>
      </c>
      <c r="AY14" s="68">
        <v>10.199999999999999</v>
      </c>
      <c r="AZ14" s="68">
        <v>10.1</v>
      </c>
      <c r="BA14" s="68">
        <v>9.25</v>
      </c>
      <c r="BB14" s="68">
        <v>10.1</v>
      </c>
      <c r="BC14" s="68">
        <v>11.1</v>
      </c>
      <c r="BD14" s="68">
        <v>11.1</v>
      </c>
      <c r="BE14" s="68">
        <v>12.02</v>
      </c>
      <c r="BF14" s="68">
        <v>11.1</v>
      </c>
      <c r="BG14" s="68">
        <v>11.1</v>
      </c>
      <c r="BH14" s="68">
        <v>12.1</v>
      </c>
      <c r="BI14" s="68">
        <v>12.02</v>
      </c>
      <c r="BJ14" s="68">
        <v>10</v>
      </c>
      <c r="BK14" s="68">
        <v>12.02</v>
      </c>
      <c r="BL14" s="68">
        <v>12.2</v>
      </c>
      <c r="BM14" s="68">
        <v>12.5</v>
      </c>
      <c r="BN14" s="68">
        <v>12.2</v>
      </c>
      <c r="BO14" s="68">
        <v>11.5</v>
      </c>
      <c r="BP14" s="68">
        <v>13.8</v>
      </c>
      <c r="BQ14" s="68">
        <v>14.8</v>
      </c>
      <c r="BR14" s="68">
        <v>13.35</v>
      </c>
      <c r="BS14" s="68">
        <v>14.24</v>
      </c>
      <c r="BT14" s="68">
        <v>12.55</v>
      </c>
      <c r="BU14" s="68">
        <v>13.35</v>
      </c>
      <c r="BV14" s="68">
        <v>13.75</v>
      </c>
      <c r="BW14" s="68">
        <v>14.65</v>
      </c>
      <c r="BX14" s="68">
        <v>13.85</v>
      </c>
      <c r="BY14" s="68">
        <v>14.8</v>
      </c>
      <c r="BZ14" s="68">
        <v>13.9</v>
      </c>
      <c r="CA14" s="68">
        <v>15.3</v>
      </c>
      <c r="CB14" s="68">
        <v>15.3</v>
      </c>
      <c r="CC14" s="68">
        <v>14.4</v>
      </c>
      <c r="CD14" s="68">
        <v>14.4</v>
      </c>
      <c r="CE14" s="68">
        <v>16.2</v>
      </c>
      <c r="CF14" s="68">
        <v>16.2</v>
      </c>
      <c r="CG14" s="68">
        <v>16.2</v>
      </c>
      <c r="CH14" s="68">
        <v>15</v>
      </c>
      <c r="CI14" s="68">
        <v>14.4</v>
      </c>
      <c r="CJ14" s="68">
        <v>14.8</v>
      </c>
      <c r="CK14" s="68">
        <v>15</v>
      </c>
      <c r="CL14" s="68">
        <v>14.8</v>
      </c>
      <c r="CM14" s="68">
        <v>14.1</v>
      </c>
      <c r="CN14" s="68">
        <v>15</v>
      </c>
      <c r="CO14" s="68">
        <v>16.3</v>
      </c>
      <c r="CP14" s="68">
        <v>15.7</v>
      </c>
      <c r="CQ14" s="68">
        <v>14.4</v>
      </c>
      <c r="CR14" s="68">
        <v>16.2</v>
      </c>
      <c r="CS14" s="68">
        <v>15.9</v>
      </c>
      <c r="CT14" s="68">
        <v>16.2</v>
      </c>
      <c r="CU14" s="68">
        <v>18</v>
      </c>
      <c r="CV14" s="68">
        <v>16.5</v>
      </c>
      <c r="CW14" s="68">
        <v>16.2</v>
      </c>
      <c r="CX14" s="68">
        <v>17.100000000000001</v>
      </c>
      <c r="CY14" s="68">
        <v>17.100000000000001</v>
      </c>
      <c r="CZ14" s="68">
        <v>17.100000000000001</v>
      </c>
      <c r="DA14" s="68">
        <v>17.100000000000001</v>
      </c>
      <c r="DB14" s="68">
        <v>16.8</v>
      </c>
      <c r="DC14" s="68">
        <v>16.8</v>
      </c>
      <c r="DD14" s="68">
        <v>17.7</v>
      </c>
      <c r="DE14" s="68">
        <v>18</v>
      </c>
      <c r="DF14" s="68">
        <v>18</v>
      </c>
      <c r="DG14" s="68">
        <v>17.7</v>
      </c>
      <c r="DH14" s="68">
        <v>18.600000000000001</v>
      </c>
      <c r="DI14" s="68">
        <v>18</v>
      </c>
      <c r="DJ14" s="68">
        <v>18.600000000000001</v>
      </c>
      <c r="DK14" s="68">
        <v>18.899999999999999</v>
      </c>
      <c r="DL14" s="68">
        <v>18</v>
      </c>
      <c r="DM14" s="72"/>
      <c r="DN14" s="72"/>
      <c r="DO14" s="72"/>
      <c r="DP14" s="72"/>
    </row>
    <row r="15" spans="1:120" s="33" customFormat="1" x14ac:dyDescent="0.35">
      <c r="A15" s="67" t="s">
        <v>5</v>
      </c>
      <c r="B15" s="67">
        <v>3</v>
      </c>
      <c r="C15" s="68">
        <v>1.8</v>
      </c>
      <c r="D15" s="68">
        <v>2.1</v>
      </c>
      <c r="E15" s="68">
        <v>2.4</v>
      </c>
      <c r="F15" s="68">
        <v>4.25</v>
      </c>
      <c r="G15" s="68">
        <v>2.65</v>
      </c>
      <c r="H15" s="68">
        <v>3.4</v>
      </c>
      <c r="I15" s="68">
        <v>3.5</v>
      </c>
      <c r="J15" s="68">
        <v>3.4</v>
      </c>
      <c r="K15" s="68">
        <v>3.85</v>
      </c>
      <c r="L15" s="68">
        <v>3.8</v>
      </c>
      <c r="M15" s="68">
        <v>3.4</v>
      </c>
      <c r="N15" s="68">
        <v>4.3</v>
      </c>
      <c r="O15" s="68">
        <v>4.6500000000000004</v>
      </c>
      <c r="P15" s="68">
        <v>4.7</v>
      </c>
      <c r="Q15" s="68">
        <v>4.8</v>
      </c>
      <c r="R15" s="68">
        <v>5.4</v>
      </c>
      <c r="S15" s="68">
        <v>5.0999999999999996</v>
      </c>
      <c r="T15" s="68">
        <v>5.95</v>
      </c>
      <c r="U15" s="68">
        <v>5.95</v>
      </c>
      <c r="V15" s="68">
        <v>6.5</v>
      </c>
      <c r="W15" s="68">
        <v>6.5</v>
      </c>
      <c r="X15" s="68">
        <v>6.1</v>
      </c>
      <c r="Y15" s="68">
        <v>5.95</v>
      </c>
      <c r="Z15" s="68">
        <v>5.7</v>
      </c>
      <c r="AA15" s="68">
        <v>6.1</v>
      </c>
      <c r="AB15" s="68">
        <v>6.4</v>
      </c>
      <c r="AC15" s="68">
        <v>6.2</v>
      </c>
      <c r="AD15" s="68">
        <v>6.2</v>
      </c>
      <c r="AE15" s="68">
        <v>6</v>
      </c>
      <c r="AF15" s="68">
        <v>6</v>
      </c>
      <c r="AG15" s="69">
        <v>6</v>
      </c>
      <c r="AH15" s="68">
        <v>8.5</v>
      </c>
      <c r="AI15" s="68">
        <v>6.93</v>
      </c>
      <c r="AJ15" s="68">
        <v>7.1</v>
      </c>
      <c r="AK15" s="68">
        <v>6.23</v>
      </c>
      <c r="AL15" s="70">
        <v>3.5</v>
      </c>
      <c r="AM15" s="68">
        <v>6.8</v>
      </c>
      <c r="AN15" s="68">
        <v>6</v>
      </c>
      <c r="AO15" s="68">
        <v>7.65</v>
      </c>
      <c r="AP15" s="68">
        <v>8.5</v>
      </c>
      <c r="AQ15" s="68">
        <v>8.1</v>
      </c>
      <c r="AR15" s="68">
        <v>8.6999999999999993</v>
      </c>
      <c r="AS15" s="68">
        <v>8.8000000000000007</v>
      </c>
      <c r="AT15" s="68">
        <v>7.5</v>
      </c>
      <c r="AU15" s="68">
        <v>9</v>
      </c>
      <c r="AV15" s="68">
        <v>9.25</v>
      </c>
      <c r="AW15" s="68">
        <v>10</v>
      </c>
      <c r="AX15" s="68">
        <v>10.1</v>
      </c>
      <c r="AY15" s="68">
        <v>10.199999999999999</v>
      </c>
      <c r="AZ15" s="68">
        <v>10.1</v>
      </c>
      <c r="BA15" s="68">
        <v>10.1</v>
      </c>
      <c r="BB15" s="68">
        <v>10.3</v>
      </c>
      <c r="BC15" s="68">
        <v>11.1</v>
      </c>
      <c r="BD15" s="68">
        <v>11.1</v>
      </c>
      <c r="BE15" s="68">
        <v>11.2</v>
      </c>
      <c r="BF15" s="68">
        <v>12.02</v>
      </c>
      <c r="BG15" s="68">
        <v>11.1</v>
      </c>
      <c r="BH15" s="68">
        <v>12.02</v>
      </c>
      <c r="BI15" s="68">
        <v>11.1</v>
      </c>
      <c r="BJ15" s="68">
        <v>10</v>
      </c>
      <c r="BK15" s="68">
        <v>12.02</v>
      </c>
      <c r="BL15" s="68">
        <v>10.6</v>
      </c>
      <c r="BM15" s="68">
        <v>11.1</v>
      </c>
      <c r="BN15" s="68">
        <v>12.2</v>
      </c>
      <c r="BO15" s="68">
        <v>11.5</v>
      </c>
      <c r="BP15" s="68">
        <v>13.8</v>
      </c>
      <c r="BQ15" s="68">
        <v>14.8</v>
      </c>
      <c r="BR15" s="68">
        <v>12.86</v>
      </c>
      <c r="BS15" s="68">
        <v>14.24</v>
      </c>
      <c r="BT15" s="68">
        <v>12.55</v>
      </c>
      <c r="BU15" s="68">
        <v>11.57</v>
      </c>
      <c r="BV15" s="68">
        <v>13.75</v>
      </c>
      <c r="BW15" s="68">
        <v>14.25</v>
      </c>
      <c r="BX15" s="68">
        <v>13.85</v>
      </c>
      <c r="BY15" s="68">
        <v>14.55</v>
      </c>
      <c r="BZ15" s="68">
        <v>14.1</v>
      </c>
      <c r="CA15" s="68">
        <v>15.3</v>
      </c>
      <c r="CB15" s="68">
        <v>15.3</v>
      </c>
      <c r="CC15" s="68">
        <v>14.4</v>
      </c>
      <c r="CD15" s="68">
        <v>15.3</v>
      </c>
      <c r="CE15" s="68">
        <v>16.2</v>
      </c>
      <c r="CF15" s="68">
        <v>16.2</v>
      </c>
      <c r="CG15" s="68">
        <v>15.2</v>
      </c>
      <c r="CH15" s="68">
        <v>15</v>
      </c>
      <c r="CI15" s="68">
        <v>14.4</v>
      </c>
      <c r="CJ15" s="68">
        <v>15</v>
      </c>
      <c r="CK15" s="68">
        <v>14.8</v>
      </c>
      <c r="CL15" s="68">
        <v>14.8</v>
      </c>
      <c r="CM15" s="68">
        <v>14.1</v>
      </c>
      <c r="CN15" s="68">
        <v>15.9</v>
      </c>
      <c r="CO15" s="68">
        <v>16.3</v>
      </c>
      <c r="CP15" s="68">
        <v>15.4</v>
      </c>
      <c r="CQ15" s="68">
        <v>14.4</v>
      </c>
      <c r="CR15" s="68">
        <v>15.9</v>
      </c>
      <c r="CS15" s="68">
        <v>15.9</v>
      </c>
      <c r="CT15" s="68">
        <v>16.2</v>
      </c>
      <c r="CU15" s="68">
        <v>18</v>
      </c>
      <c r="CV15" s="68">
        <v>18</v>
      </c>
      <c r="CW15" s="68">
        <v>16.2</v>
      </c>
      <c r="CX15" s="68">
        <v>17.7</v>
      </c>
      <c r="CY15" s="68">
        <v>15.3</v>
      </c>
      <c r="CZ15" s="68">
        <v>17.100000000000001</v>
      </c>
      <c r="DA15" s="68">
        <v>17.100000000000001</v>
      </c>
      <c r="DB15" s="68">
        <v>16.8</v>
      </c>
      <c r="DC15" s="68" t="s">
        <v>135</v>
      </c>
      <c r="DD15" s="68">
        <v>17.7</v>
      </c>
      <c r="DE15" s="68">
        <v>17.7</v>
      </c>
      <c r="DF15" s="68">
        <v>18</v>
      </c>
      <c r="DG15" s="68">
        <v>17.7</v>
      </c>
      <c r="DH15" s="68">
        <v>18</v>
      </c>
      <c r="DI15" s="68">
        <v>18</v>
      </c>
      <c r="DJ15" s="68">
        <v>18.899999999999999</v>
      </c>
      <c r="DK15" s="68">
        <v>18.899999999999999</v>
      </c>
      <c r="DL15" s="68">
        <v>18</v>
      </c>
      <c r="DM15" s="72"/>
      <c r="DN15" s="72"/>
      <c r="DO15" s="72"/>
      <c r="DP15" s="72"/>
    </row>
    <row r="16" spans="1:120" s="33" customFormat="1" x14ac:dyDescent="0.35">
      <c r="A16" s="67" t="s">
        <v>5</v>
      </c>
      <c r="B16" s="67">
        <v>4</v>
      </c>
      <c r="C16" s="68">
        <v>1.8</v>
      </c>
      <c r="D16" s="68">
        <v>2.1</v>
      </c>
      <c r="E16" s="68">
        <v>2.4</v>
      </c>
      <c r="F16" s="68">
        <v>3.4</v>
      </c>
      <c r="G16" s="68">
        <v>2.65</v>
      </c>
      <c r="H16" s="68">
        <v>3.4</v>
      </c>
      <c r="I16" s="68">
        <v>3.5</v>
      </c>
      <c r="J16" s="68">
        <v>3.4</v>
      </c>
      <c r="K16" s="68">
        <v>3.65</v>
      </c>
      <c r="L16" s="68">
        <v>3.6</v>
      </c>
      <c r="M16" s="68">
        <v>3.4</v>
      </c>
      <c r="N16" s="68">
        <v>4.3</v>
      </c>
      <c r="O16" s="68">
        <v>4.55</v>
      </c>
      <c r="P16" s="68">
        <v>4.8</v>
      </c>
      <c r="Q16" s="68">
        <v>4.3</v>
      </c>
      <c r="R16" s="68">
        <v>5.7</v>
      </c>
      <c r="S16" s="68">
        <v>5.0999999999999996</v>
      </c>
      <c r="T16" s="68">
        <v>4.3</v>
      </c>
      <c r="U16" s="68">
        <v>5.15</v>
      </c>
      <c r="V16" s="68">
        <v>6.1</v>
      </c>
      <c r="W16" s="68">
        <v>6.5</v>
      </c>
      <c r="X16" s="68">
        <v>6.1</v>
      </c>
      <c r="Y16" s="68">
        <v>6.05</v>
      </c>
      <c r="Z16" s="68">
        <v>5.7</v>
      </c>
      <c r="AA16" s="68">
        <v>6.1</v>
      </c>
      <c r="AB16" s="68">
        <v>6.4</v>
      </c>
      <c r="AC16" s="68">
        <v>5.2</v>
      </c>
      <c r="AD16" s="68">
        <v>6.5</v>
      </c>
      <c r="AE16" s="68">
        <v>6</v>
      </c>
      <c r="AF16" s="68">
        <v>6.3</v>
      </c>
      <c r="AG16" s="69">
        <v>6</v>
      </c>
      <c r="AH16" s="68">
        <v>7.35</v>
      </c>
      <c r="AI16" s="68">
        <v>7.13</v>
      </c>
      <c r="AJ16" s="68">
        <v>6.7</v>
      </c>
      <c r="AK16" s="68">
        <v>6.15</v>
      </c>
      <c r="AL16" s="70">
        <v>3.5</v>
      </c>
      <c r="AM16" s="68">
        <v>6.9</v>
      </c>
      <c r="AN16" s="68">
        <v>6.3</v>
      </c>
      <c r="AO16" s="68">
        <v>7.65</v>
      </c>
      <c r="AP16" s="68">
        <v>7.55</v>
      </c>
      <c r="AQ16" s="68">
        <v>7.75</v>
      </c>
      <c r="AR16" s="68">
        <v>9.0500000000000007</v>
      </c>
      <c r="AS16" s="68">
        <v>8.8000000000000007</v>
      </c>
      <c r="AT16" s="68">
        <v>7.6</v>
      </c>
      <c r="AU16" s="68">
        <v>9</v>
      </c>
      <c r="AV16" s="68">
        <v>9.25</v>
      </c>
      <c r="AW16" s="68">
        <v>10</v>
      </c>
      <c r="AX16" s="68">
        <v>10.1</v>
      </c>
      <c r="AY16" s="68">
        <v>10</v>
      </c>
      <c r="AZ16" s="68">
        <v>10.1</v>
      </c>
      <c r="BA16" s="68">
        <v>9.25</v>
      </c>
      <c r="BB16" s="68">
        <v>9.5</v>
      </c>
      <c r="BC16" s="68">
        <v>11.1</v>
      </c>
      <c r="BD16" s="68">
        <v>11.1</v>
      </c>
      <c r="BE16" s="68">
        <v>10.3</v>
      </c>
      <c r="BF16" s="68">
        <v>12.02</v>
      </c>
      <c r="BG16" s="68">
        <v>11.5</v>
      </c>
      <c r="BH16" s="68">
        <v>11.5</v>
      </c>
      <c r="BI16" s="68">
        <v>11.1</v>
      </c>
      <c r="BJ16" s="68">
        <v>9.5</v>
      </c>
      <c r="BK16" s="68">
        <v>10.1</v>
      </c>
      <c r="BL16" s="68">
        <v>10.7</v>
      </c>
      <c r="BM16" s="68">
        <v>11.1</v>
      </c>
      <c r="BN16" s="68">
        <v>12.2</v>
      </c>
      <c r="BO16" s="68">
        <v>11.5</v>
      </c>
      <c r="BP16" s="68">
        <v>12.5</v>
      </c>
      <c r="BQ16" s="68">
        <v>12.8</v>
      </c>
      <c r="BR16" s="68">
        <v>12.96</v>
      </c>
      <c r="BS16" s="68">
        <v>14.24</v>
      </c>
      <c r="BT16" s="68">
        <v>12.55</v>
      </c>
      <c r="BU16" s="68">
        <v>13</v>
      </c>
      <c r="BV16" s="68">
        <v>13.75</v>
      </c>
      <c r="BW16" s="68">
        <v>13.85</v>
      </c>
      <c r="BX16" s="68">
        <v>13.85</v>
      </c>
      <c r="BY16" s="68">
        <v>14.8</v>
      </c>
      <c r="BZ16" s="68">
        <v>13.9</v>
      </c>
      <c r="CA16" s="68">
        <v>13.9</v>
      </c>
      <c r="CB16" s="68">
        <v>14.8</v>
      </c>
      <c r="CC16" s="68">
        <v>13.5</v>
      </c>
      <c r="CD16" s="68">
        <v>14.4</v>
      </c>
      <c r="CE16" s="68">
        <v>14.4</v>
      </c>
      <c r="CF16" s="68">
        <v>16.2</v>
      </c>
      <c r="CG16" s="68">
        <v>15.2</v>
      </c>
      <c r="CH16" s="68">
        <v>11.6</v>
      </c>
      <c r="CI16" s="68">
        <v>14.1</v>
      </c>
      <c r="CJ16" s="68">
        <v>13.9</v>
      </c>
      <c r="CK16" s="68">
        <v>14.8</v>
      </c>
      <c r="CL16" s="68">
        <v>14.6</v>
      </c>
      <c r="CM16" s="68">
        <v>14</v>
      </c>
      <c r="CN16" s="68">
        <v>15.9</v>
      </c>
      <c r="CO16" s="68">
        <v>16.2</v>
      </c>
      <c r="CP16" s="68">
        <v>14</v>
      </c>
      <c r="CQ16" s="68">
        <v>14</v>
      </c>
      <c r="CR16" s="68">
        <v>15.9</v>
      </c>
      <c r="CS16" s="68">
        <v>15.7</v>
      </c>
      <c r="CT16" s="68">
        <v>15.7</v>
      </c>
      <c r="CU16" s="68">
        <v>17.7</v>
      </c>
      <c r="CV16" s="68">
        <v>18</v>
      </c>
      <c r="CW16" s="68">
        <v>16.2</v>
      </c>
      <c r="CX16" s="68">
        <v>17.100000000000001</v>
      </c>
      <c r="CY16" s="68">
        <v>15.3</v>
      </c>
      <c r="CZ16" s="68">
        <v>16.8</v>
      </c>
      <c r="DA16" s="68">
        <v>17.100000000000001</v>
      </c>
      <c r="DB16" s="68">
        <v>16.8</v>
      </c>
      <c r="DC16" s="68">
        <v>17.100000000000001</v>
      </c>
      <c r="DD16" s="68">
        <v>17.7</v>
      </c>
      <c r="DE16" s="68">
        <v>17.7</v>
      </c>
      <c r="DF16" s="68">
        <v>18</v>
      </c>
      <c r="DG16" s="68">
        <v>17.5</v>
      </c>
      <c r="DH16" s="68">
        <v>17.7</v>
      </c>
      <c r="DI16" s="68">
        <v>17.7</v>
      </c>
      <c r="DJ16" s="68">
        <v>18.600000000000001</v>
      </c>
      <c r="DK16" s="68">
        <v>18.899999999999999</v>
      </c>
      <c r="DL16" s="68">
        <v>18</v>
      </c>
      <c r="DM16" s="72"/>
      <c r="DN16" s="72"/>
      <c r="DO16" s="72"/>
      <c r="DP16" s="72"/>
    </row>
    <row r="17" spans="1:120" s="33" customFormat="1" x14ac:dyDescent="0.35">
      <c r="A17" s="67" t="s">
        <v>5</v>
      </c>
      <c r="B17" s="67">
        <v>5</v>
      </c>
      <c r="C17" s="68">
        <v>1.8</v>
      </c>
      <c r="D17" s="68">
        <v>2.1</v>
      </c>
      <c r="E17" s="68">
        <v>2.4</v>
      </c>
      <c r="F17" s="68">
        <v>3.4</v>
      </c>
      <c r="G17" s="68">
        <v>2.5499999999999998</v>
      </c>
      <c r="H17" s="68">
        <v>3.4</v>
      </c>
      <c r="I17" s="68">
        <v>3.5</v>
      </c>
      <c r="J17" s="68">
        <v>3.4</v>
      </c>
      <c r="K17" s="68">
        <v>3.85</v>
      </c>
      <c r="L17" s="68">
        <v>3.9</v>
      </c>
      <c r="M17" s="68">
        <v>3.4</v>
      </c>
      <c r="N17" s="68">
        <v>4.3</v>
      </c>
      <c r="O17" s="68">
        <v>4.6500000000000004</v>
      </c>
      <c r="P17" s="68">
        <v>4.8</v>
      </c>
      <c r="Q17" s="68">
        <v>5.0999999999999996</v>
      </c>
      <c r="R17" s="68">
        <v>5.0999999999999996</v>
      </c>
      <c r="S17" s="68">
        <v>5.0999999999999996</v>
      </c>
      <c r="T17" s="68">
        <v>5.0999999999999996</v>
      </c>
      <c r="U17" s="68">
        <v>5.95</v>
      </c>
      <c r="V17" s="68">
        <v>6.1</v>
      </c>
      <c r="W17" s="68">
        <v>6.5</v>
      </c>
      <c r="X17" s="68">
        <v>6.1</v>
      </c>
      <c r="Y17" s="68">
        <v>5.85</v>
      </c>
      <c r="Z17" s="68">
        <v>5.7</v>
      </c>
      <c r="AA17" s="68">
        <v>6.2</v>
      </c>
      <c r="AB17" s="68">
        <v>6.6</v>
      </c>
      <c r="AC17" s="68">
        <v>6.4</v>
      </c>
      <c r="AD17" s="68">
        <v>6.8</v>
      </c>
      <c r="AE17" s="68">
        <v>6</v>
      </c>
      <c r="AF17" s="68">
        <v>6</v>
      </c>
      <c r="AG17" s="69">
        <v>6</v>
      </c>
      <c r="AH17" s="68">
        <v>8.08</v>
      </c>
      <c r="AI17" s="68">
        <v>7.65</v>
      </c>
      <c r="AJ17" s="68">
        <v>6.8</v>
      </c>
      <c r="AK17" s="68">
        <v>8.35</v>
      </c>
      <c r="AL17" s="70">
        <v>3</v>
      </c>
      <c r="AM17" s="68">
        <v>6.8</v>
      </c>
      <c r="AN17" s="68">
        <v>6</v>
      </c>
      <c r="AO17" s="68">
        <v>7.65</v>
      </c>
      <c r="AP17" s="68">
        <v>8.3000000000000007</v>
      </c>
      <c r="AQ17" s="68">
        <v>7.85</v>
      </c>
      <c r="AR17" s="68">
        <v>8.5</v>
      </c>
      <c r="AS17" s="68">
        <v>8.5</v>
      </c>
      <c r="AT17" s="68">
        <v>9.25</v>
      </c>
      <c r="AU17" s="68">
        <v>10.1</v>
      </c>
      <c r="AV17" s="68">
        <v>9.25</v>
      </c>
      <c r="AW17" s="68">
        <v>10</v>
      </c>
      <c r="AX17" s="68">
        <v>10.199999999999999</v>
      </c>
      <c r="AY17" s="68">
        <v>10.199999999999999</v>
      </c>
      <c r="AZ17" s="68">
        <v>10.199999999999999</v>
      </c>
      <c r="BA17" s="68">
        <v>9.25</v>
      </c>
      <c r="BB17" s="68">
        <v>9.5</v>
      </c>
      <c r="BC17" s="68">
        <v>11.1</v>
      </c>
      <c r="BD17" s="68">
        <v>11.1</v>
      </c>
      <c r="BE17" s="68">
        <v>10.3</v>
      </c>
      <c r="BF17" s="68">
        <v>12.02</v>
      </c>
      <c r="BG17" s="68">
        <v>11.5</v>
      </c>
      <c r="BH17" s="68">
        <v>11.5</v>
      </c>
      <c r="BI17" s="68">
        <v>12.02</v>
      </c>
      <c r="BJ17" s="68">
        <v>12.2</v>
      </c>
      <c r="BK17" s="68">
        <v>10.1</v>
      </c>
      <c r="BL17" s="68">
        <v>12.02</v>
      </c>
      <c r="BM17" s="68">
        <v>12.02</v>
      </c>
      <c r="BN17" s="68">
        <v>12.2</v>
      </c>
      <c r="BO17" s="68">
        <v>11.5</v>
      </c>
      <c r="BP17" s="68">
        <v>13.8</v>
      </c>
      <c r="BQ17" s="68">
        <v>14.8</v>
      </c>
      <c r="BR17" s="68">
        <v>12.96</v>
      </c>
      <c r="BS17" s="68">
        <v>14.24</v>
      </c>
      <c r="BT17" s="68">
        <v>12.55</v>
      </c>
      <c r="BU17" s="68">
        <v>13</v>
      </c>
      <c r="BV17" s="68">
        <v>13.75</v>
      </c>
      <c r="BW17" s="68">
        <v>13.85</v>
      </c>
      <c r="BX17" s="68">
        <v>13.5</v>
      </c>
      <c r="BY17" s="68">
        <v>14</v>
      </c>
      <c r="BZ17" s="68">
        <v>14.4</v>
      </c>
      <c r="CA17" s="68">
        <v>14.4</v>
      </c>
      <c r="CB17" s="68">
        <v>15.3</v>
      </c>
      <c r="CC17" s="68">
        <v>14.4</v>
      </c>
      <c r="CD17" s="68">
        <v>14.4</v>
      </c>
      <c r="CE17" s="68">
        <v>16.2</v>
      </c>
      <c r="CF17" s="68">
        <v>16.2</v>
      </c>
      <c r="CG17" s="68">
        <v>14.7</v>
      </c>
      <c r="CH17" s="68">
        <v>9.6999999999999993</v>
      </c>
      <c r="CI17" s="68">
        <v>13</v>
      </c>
      <c r="CJ17" s="68">
        <v>13.9</v>
      </c>
      <c r="CK17" s="68">
        <v>14.8</v>
      </c>
      <c r="CL17" s="68">
        <v>14.3</v>
      </c>
      <c r="CM17" s="68">
        <v>14.1</v>
      </c>
      <c r="CN17" s="68">
        <v>15.7</v>
      </c>
      <c r="CO17" s="68">
        <v>14.4</v>
      </c>
      <c r="CP17" s="68">
        <v>15</v>
      </c>
      <c r="CQ17" s="68">
        <v>14</v>
      </c>
      <c r="CR17" s="68">
        <v>15.7</v>
      </c>
      <c r="CS17" s="68">
        <v>15.7</v>
      </c>
      <c r="CT17" s="68">
        <v>15.7</v>
      </c>
      <c r="CU17" s="68">
        <v>17.7</v>
      </c>
      <c r="CV17" s="68">
        <v>18</v>
      </c>
      <c r="CW17" s="68">
        <v>16.2</v>
      </c>
      <c r="CX17" s="68">
        <v>16.8</v>
      </c>
      <c r="CY17" s="68">
        <v>17.100000000000001</v>
      </c>
      <c r="CZ17" s="68">
        <v>16.8</v>
      </c>
      <c r="DA17" s="68">
        <v>17.100000000000001</v>
      </c>
      <c r="DB17" s="68">
        <v>16.8</v>
      </c>
      <c r="DC17" s="68">
        <v>17.100000000000001</v>
      </c>
      <c r="DD17" s="68">
        <v>17.7</v>
      </c>
      <c r="DE17" s="68">
        <v>17.7</v>
      </c>
      <c r="DF17" s="68">
        <v>18</v>
      </c>
      <c r="DG17" s="68">
        <v>17.5</v>
      </c>
      <c r="DH17" s="68">
        <v>17.7</v>
      </c>
      <c r="DI17" s="68">
        <v>17.7</v>
      </c>
      <c r="DJ17" s="68">
        <v>18</v>
      </c>
      <c r="DK17" s="68">
        <v>18.899999999999999</v>
      </c>
      <c r="DL17" s="68">
        <v>18</v>
      </c>
      <c r="DM17" s="72"/>
      <c r="DN17" s="72"/>
      <c r="DO17" s="72"/>
      <c r="DP17" s="72"/>
    </row>
    <row r="19" spans="1:120" x14ac:dyDescent="0.35">
      <c r="B19" s="1" t="s">
        <v>127</v>
      </c>
    </row>
    <row r="21" spans="1:120" x14ac:dyDescent="0.35">
      <c r="A21" s="1">
        <f>SUM(C3:DL7)</f>
        <v>6321.5500000000029</v>
      </c>
      <c r="B21" s="1" t="s">
        <v>128</v>
      </c>
      <c r="C21">
        <f>AVERAGE(C3:C7)</f>
        <v>1.8</v>
      </c>
      <c r="D21">
        <f t="shared" ref="D21:BO21" si="0">AVERAGE(D3:D7)</f>
        <v>2.1</v>
      </c>
      <c r="E21">
        <f t="shared" si="0"/>
        <v>2.4</v>
      </c>
      <c r="F21">
        <f t="shared" si="0"/>
        <v>3.59</v>
      </c>
      <c r="G21">
        <f t="shared" si="0"/>
        <v>2.6100000000000003</v>
      </c>
      <c r="H21">
        <f t="shared" si="0"/>
        <v>3.4</v>
      </c>
      <c r="I21">
        <f t="shared" si="0"/>
        <v>3.5</v>
      </c>
      <c r="J21">
        <f t="shared" si="0"/>
        <v>3.85</v>
      </c>
      <c r="K21">
        <f t="shared" si="0"/>
        <v>3.7700000000000005</v>
      </c>
      <c r="L21">
        <f t="shared" si="0"/>
        <v>4.3499999999999996</v>
      </c>
      <c r="M21">
        <f t="shared" si="0"/>
        <v>3.4599999999999995</v>
      </c>
      <c r="N21">
        <f t="shared" si="0"/>
        <v>4.26</v>
      </c>
      <c r="O21">
        <f t="shared" si="0"/>
        <v>4.57</v>
      </c>
      <c r="P21">
        <f t="shared" si="0"/>
        <v>4.7700000000000005</v>
      </c>
      <c r="Q21">
        <f t="shared" si="0"/>
        <v>5.0200000000000005</v>
      </c>
      <c r="R21">
        <f t="shared" si="0"/>
        <v>5.0999999999999996</v>
      </c>
      <c r="S21">
        <f t="shared" si="0"/>
        <v>5.2700000000000005</v>
      </c>
      <c r="T21">
        <f t="shared" si="0"/>
        <v>5.0999999999999996</v>
      </c>
      <c r="U21">
        <f t="shared" si="0"/>
        <v>6.02</v>
      </c>
      <c r="V21">
        <f t="shared" si="0"/>
        <v>6.49</v>
      </c>
      <c r="W21">
        <f t="shared" si="0"/>
        <v>6.25</v>
      </c>
      <c r="X21">
        <f t="shared" si="0"/>
        <v>6.1499999999999995</v>
      </c>
      <c r="Y21">
        <f t="shared" si="0"/>
        <v>6.5299999999999994</v>
      </c>
      <c r="Z21">
        <f t="shared" si="0"/>
        <v>6.16</v>
      </c>
      <c r="AA21">
        <f t="shared" si="0"/>
        <v>6.4</v>
      </c>
      <c r="AB21">
        <f t="shared" si="0"/>
        <v>6.4799999999999995</v>
      </c>
      <c r="AC21">
        <f t="shared" si="0"/>
        <v>6.63</v>
      </c>
      <c r="AD21">
        <f t="shared" si="0"/>
        <v>6.7199999999999989</v>
      </c>
      <c r="AE21">
        <f t="shared" si="0"/>
        <v>6.4</v>
      </c>
      <c r="AF21">
        <f t="shared" si="0"/>
        <v>6.08</v>
      </c>
      <c r="AG21" s="31">
        <f t="shared" si="0"/>
        <v>6</v>
      </c>
      <c r="AH21">
        <f t="shared" si="0"/>
        <v>7.266</v>
      </c>
      <c r="AI21">
        <f t="shared" si="0"/>
        <v>6.9219999999999997</v>
      </c>
      <c r="AJ21">
        <f t="shared" si="0"/>
        <v>7.6</v>
      </c>
      <c r="AK21">
        <f t="shared" si="0"/>
        <v>6.94</v>
      </c>
      <c r="AL21">
        <f t="shared" si="0"/>
        <v>7.1</v>
      </c>
      <c r="AM21">
        <f t="shared" si="0"/>
        <v>8.1900000000000013</v>
      </c>
      <c r="AN21">
        <f t="shared" si="0"/>
        <v>6.9399999999999995</v>
      </c>
      <c r="AO21">
        <f t="shared" si="0"/>
        <v>7.3100000000000005</v>
      </c>
      <c r="AP21">
        <f t="shared" si="0"/>
        <v>8.1</v>
      </c>
      <c r="AQ21">
        <f t="shared" si="0"/>
        <v>8.25</v>
      </c>
      <c r="AR21">
        <f t="shared" si="0"/>
        <v>8.8000000000000007</v>
      </c>
      <c r="AS21">
        <f t="shared" si="0"/>
        <v>9</v>
      </c>
      <c r="AT21">
        <f t="shared" si="0"/>
        <v>8.3079999999999998</v>
      </c>
      <c r="AU21">
        <f t="shared" si="0"/>
        <v>9.6940000000000008</v>
      </c>
      <c r="AV21">
        <f t="shared" si="0"/>
        <v>8.9879999999999995</v>
      </c>
      <c r="AW21">
        <f t="shared" si="0"/>
        <v>7.7560000000000002</v>
      </c>
      <c r="AX21">
        <f t="shared" si="0"/>
        <v>9.2799999999999994</v>
      </c>
      <c r="AY21">
        <f t="shared" si="0"/>
        <v>9.93</v>
      </c>
      <c r="AZ21">
        <f t="shared" si="0"/>
        <v>10.169999999999998</v>
      </c>
      <c r="BA21">
        <f t="shared" si="0"/>
        <v>10.33</v>
      </c>
      <c r="BB21">
        <f t="shared" si="0"/>
        <v>9.9599999999999991</v>
      </c>
      <c r="BC21">
        <f t="shared" si="0"/>
        <v>10.920000000000002</v>
      </c>
      <c r="BD21">
        <f t="shared" si="0"/>
        <v>11.1</v>
      </c>
      <c r="BE21">
        <f t="shared" si="0"/>
        <v>11.148</v>
      </c>
      <c r="BF21">
        <f t="shared" si="0"/>
        <v>11.32</v>
      </c>
      <c r="BG21">
        <f t="shared" si="0"/>
        <v>11.4</v>
      </c>
      <c r="BH21">
        <f t="shared" si="0"/>
        <v>11.811999999999998</v>
      </c>
      <c r="BI21">
        <f t="shared" si="0"/>
        <v>12.000000000000002</v>
      </c>
      <c r="BJ21">
        <f t="shared" si="0"/>
        <v>12.044</v>
      </c>
      <c r="BK21">
        <f t="shared" si="0"/>
        <v>11.91</v>
      </c>
      <c r="BL21">
        <f t="shared" si="0"/>
        <v>12.184000000000001</v>
      </c>
      <c r="BM21">
        <f t="shared" si="0"/>
        <v>12.279999999999998</v>
      </c>
      <c r="BN21">
        <f t="shared" si="0"/>
        <v>12.34</v>
      </c>
      <c r="BO21">
        <f t="shared" si="0"/>
        <v>11.5</v>
      </c>
      <c r="BP21">
        <f t="shared" ref="BP21:DL21" si="1">AVERAGE(BP3:BP7)</f>
        <v>13.8</v>
      </c>
      <c r="BQ21">
        <f t="shared" si="1"/>
        <v>14.8</v>
      </c>
      <c r="BR21">
        <f t="shared" si="1"/>
        <v>12.736000000000001</v>
      </c>
      <c r="BS21">
        <f t="shared" si="1"/>
        <v>14.24</v>
      </c>
      <c r="BT21">
        <f t="shared" si="1"/>
        <v>13.25</v>
      </c>
      <c r="BU21">
        <f t="shared" si="1"/>
        <v>13.914000000000001</v>
      </c>
      <c r="BV21">
        <f t="shared" si="1"/>
        <v>13.916</v>
      </c>
      <c r="BW21">
        <f t="shared" si="1"/>
        <v>14.242000000000001</v>
      </c>
      <c r="BX21">
        <f t="shared" si="1"/>
        <v>14.24</v>
      </c>
      <c r="BY21">
        <f t="shared" si="1"/>
        <v>14.779999999999998</v>
      </c>
      <c r="BZ21">
        <f t="shared" si="1"/>
        <v>13.8</v>
      </c>
      <c r="CA21">
        <f t="shared" si="1"/>
        <v>14.580000000000002</v>
      </c>
      <c r="CB21">
        <f t="shared" si="1"/>
        <v>15.12</v>
      </c>
      <c r="CC21">
        <f t="shared" si="1"/>
        <v>14.76</v>
      </c>
      <c r="CD21">
        <f t="shared" si="1"/>
        <v>14.76</v>
      </c>
      <c r="CE21">
        <f t="shared" si="1"/>
        <v>15.48</v>
      </c>
      <c r="CF21">
        <f t="shared" si="1"/>
        <v>15.84</v>
      </c>
      <c r="CG21">
        <f t="shared" si="1"/>
        <v>15.580000000000002</v>
      </c>
      <c r="CH21">
        <f t="shared" si="1"/>
        <v>14.23</v>
      </c>
      <c r="CI21">
        <f t="shared" si="1"/>
        <v>14.179999999999998</v>
      </c>
      <c r="CJ21">
        <f t="shared" si="1"/>
        <v>14.979999999999999</v>
      </c>
      <c r="CK21">
        <f t="shared" si="1"/>
        <v>15.180000000000001</v>
      </c>
      <c r="CL21">
        <f t="shared" si="1"/>
        <v>15.819999999999999</v>
      </c>
      <c r="CM21">
        <f t="shared" si="1"/>
        <v>15.5</v>
      </c>
      <c r="CN21">
        <f t="shared" si="1"/>
        <v>16.500000000000004</v>
      </c>
      <c r="CO21">
        <f t="shared" si="1"/>
        <v>16.46</v>
      </c>
      <c r="CP21">
        <f t="shared" si="1"/>
        <v>16.2</v>
      </c>
      <c r="CQ21">
        <f t="shared" si="1"/>
        <v>16.119999999999997</v>
      </c>
      <c r="CR21">
        <f t="shared" si="1"/>
        <v>16.14</v>
      </c>
      <c r="CS21">
        <f t="shared" si="1"/>
        <v>16.380000000000003</v>
      </c>
      <c r="CT21">
        <f t="shared" si="1"/>
        <v>16.020000000000003</v>
      </c>
      <c r="CU21">
        <f t="shared" si="1"/>
        <v>17.940000000000001</v>
      </c>
      <c r="CV21">
        <f t="shared" si="1"/>
        <v>17.7</v>
      </c>
      <c r="CW21">
        <f t="shared" si="1"/>
        <v>16.739999999999998</v>
      </c>
      <c r="CX21">
        <f t="shared" si="1"/>
        <v>17.22</v>
      </c>
      <c r="CY21">
        <f t="shared" si="1"/>
        <v>17.82</v>
      </c>
      <c r="CZ21">
        <f t="shared" si="1"/>
        <v>17.040000000000003</v>
      </c>
      <c r="DA21">
        <f t="shared" si="1"/>
        <v>17.100000000000001</v>
      </c>
      <c r="DB21">
        <f t="shared" si="1"/>
        <v>17.100000000000001</v>
      </c>
      <c r="DC21">
        <f t="shared" si="1"/>
        <v>17.46</v>
      </c>
      <c r="DD21">
        <f t="shared" si="1"/>
        <v>18</v>
      </c>
      <c r="DE21">
        <f t="shared" si="1"/>
        <v>18.12</v>
      </c>
      <c r="DF21">
        <f t="shared" si="1"/>
        <v>18.18</v>
      </c>
      <c r="DG21">
        <f t="shared" si="1"/>
        <v>18.54</v>
      </c>
      <c r="DH21">
        <f t="shared" si="1"/>
        <v>17.8</v>
      </c>
      <c r="DI21">
        <f t="shared" si="1"/>
        <v>17.580000000000002</v>
      </c>
      <c r="DJ21">
        <f t="shared" si="1"/>
        <v>18.899999999999999</v>
      </c>
      <c r="DK21">
        <f t="shared" si="1"/>
        <v>18.899999999999999</v>
      </c>
      <c r="DL21">
        <f t="shared" si="1"/>
        <v>18.600000000000001</v>
      </c>
    </row>
    <row r="22" spans="1:120" x14ac:dyDescent="0.35">
      <c r="A22" s="1">
        <f>SUM(C8:DL12)</f>
        <v>6294.2600000000084</v>
      </c>
      <c r="B22" s="1" t="s">
        <v>129</v>
      </c>
      <c r="C22">
        <f>AVERAGE(C8:C12)</f>
        <v>1.8</v>
      </c>
      <c r="D22">
        <f t="shared" ref="D22:BO22" si="2">AVERAGE(D8:D12)</f>
        <v>2.1</v>
      </c>
      <c r="E22">
        <f t="shared" si="2"/>
        <v>2.4</v>
      </c>
      <c r="F22">
        <f t="shared" si="2"/>
        <v>3.8240000000000003</v>
      </c>
      <c r="G22">
        <f t="shared" si="2"/>
        <v>2.67</v>
      </c>
      <c r="H22">
        <f t="shared" si="2"/>
        <v>3.41</v>
      </c>
      <c r="I22">
        <f t="shared" si="2"/>
        <v>3.5</v>
      </c>
      <c r="J22">
        <f t="shared" si="2"/>
        <v>3.84</v>
      </c>
      <c r="K22">
        <f t="shared" si="2"/>
        <v>3.79</v>
      </c>
      <c r="L22">
        <f t="shared" si="2"/>
        <v>4.18</v>
      </c>
      <c r="M22">
        <f t="shared" si="2"/>
        <v>3.8199999999999994</v>
      </c>
      <c r="N22">
        <f t="shared" si="2"/>
        <v>4.37</v>
      </c>
      <c r="O22">
        <f t="shared" si="2"/>
        <v>4.63</v>
      </c>
      <c r="P22">
        <f t="shared" si="2"/>
        <v>4.7799999999999994</v>
      </c>
      <c r="Q22">
        <f t="shared" si="2"/>
        <v>5.0399999999999991</v>
      </c>
      <c r="R22">
        <f t="shared" si="2"/>
        <v>5.0399999999999991</v>
      </c>
      <c r="S22">
        <f t="shared" si="2"/>
        <v>4.93</v>
      </c>
      <c r="T22">
        <f t="shared" si="2"/>
        <v>5.5299999999999994</v>
      </c>
      <c r="U22">
        <f t="shared" si="2"/>
        <v>5.7200000000000006</v>
      </c>
      <c r="V22">
        <f t="shared" si="2"/>
        <v>6.5199999999999987</v>
      </c>
      <c r="W22">
        <f t="shared" si="2"/>
        <v>6.5200000000000005</v>
      </c>
      <c r="X22">
        <f t="shared" si="2"/>
        <v>6.3100000000000005</v>
      </c>
      <c r="Y22">
        <f t="shared" si="2"/>
        <v>6.1800000000000006</v>
      </c>
      <c r="Z22">
        <f t="shared" si="2"/>
        <v>5.9599999999999991</v>
      </c>
      <c r="AA22">
        <f t="shared" si="2"/>
        <v>6.2800000000000011</v>
      </c>
      <c r="AB22">
        <f t="shared" si="2"/>
        <v>6.44</v>
      </c>
      <c r="AC22">
        <f t="shared" si="2"/>
        <v>6.4</v>
      </c>
      <c r="AD22">
        <f t="shared" si="2"/>
        <v>6.42</v>
      </c>
      <c r="AE22">
        <f t="shared" si="2"/>
        <v>6.26</v>
      </c>
      <c r="AF22">
        <f t="shared" si="2"/>
        <v>6.04</v>
      </c>
      <c r="AG22" s="31">
        <f t="shared" si="2"/>
        <v>6</v>
      </c>
      <c r="AH22">
        <f t="shared" si="2"/>
        <v>7.7779999999999987</v>
      </c>
      <c r="AI22">
        <f t="shared" si="2"/>
        <v>7.0259999999999989</v>
      </c>
      <c r="AJ22">
        <f t="shared" si="2"/>
        <v>7.9159999999999995</v>
      </c>
      <c r="AK22">
        <f t="shared" si="2"/>
        <v>7.63</v>
      </c>
      <c r="AL22">
        <f t="shared" si="2"/>
        <v>7.2399999999999993</v>
      </c>
      <c r="AM22">
        <f t="shared" si="2"/>
        <v>8.4400000000000013</v>
      </c>
      <c r="AN22">
        <f t="shared" si="2"/>
        <v>6.92</v>
      </c>
      <c r="AO22">
        <f t="shared" si="2"/>
        <v>5.62</v>
      </c>
      <c r="AP22">
        <f t="shared" si="2"/>
        <v>8.2099999999999991</v>
      </c>
      <c r="AQ22">
        <f t="shared" si="2"/>
        <v>8.1100000000000012</v>
      </c>
      <c r="AR22">
        <f t="shared" si="2"/>
        <v>8.98</v>
      </c>
      <c r="AS22">
        <f t="shared" si="2"/>
        <v>8.75</v>
      </c>
      <c r="AT22">
        <f t="shared" si="2"/>
        <v>8.645999999999999</v>
      </c>
      <c r="AU22">
        <f t="shared" si="2"/>
        <v>9.6639999999999997</v>
      </c>
      <c r="AV22">
        <f t="shared" si="2"/>
        <v>9.1579999999999995</v>
      </c>
      <c r="AW22">
        <f t="shared" si="2"/>
        <v>9.85</v>
      </c>
      <c r="AX22">
        <f t="shared" si="2"/>
        <v>10.02</v>
      </c>
      <c r="AY22">
        <f t="shared" si="2"/>
        <v>9.4999999999999982</v>
      </c>
      <c r="AZ22">
        <f t="shared" si="2"/>
        <v>10.16</v>
      </c>
      <c r="BA22">
        <f t="shared" si="2"/>
        <v>10.33</v>
      </c>
      <c r="BB22">
        <f t="shared" si="2"/>
        <v>10</v>
      </c>
      <c r="BC22">
        <f t="shared" si="2"/>
        <v>11.1</v>
      </c>
      <c r="BD22">
        <f t="shared" si="2"/>
        <v>11.1</v>
      </c>
      <c r="BE22">
        <f t="shared" si="2"/>
        <v>11.047999999999998</v>
      </c>
      <c r="BF22">
        <f t="shared" si="2"/>
        <v>11.180000000000001</v>
      </c>
      <c r="BG22">
        <f t="shared" si="2"/>
        <v>11.815999999999999</v>
      </c>
      <c r="BH22">
        <f t="shared" si="2"/>
        <v>11.871999999999996</v>
      </c>
      <c r="BI22">
        <f t="shared" si="2"/>
        <v>11.871999999999998</v>
      </c>
      <c r="BJ22">
        <f t="shared" si="2"/>
        <v>11.988</v>
      </c>
      <c r="BK22">
        <f t="shared" si="2"/>
        <v>12.219999999999999</v>
      </c>
      <c r="BL22">
        <f t="shared" si="2"/>
        <v>12.172000000000001</v>
      </c>
      <c r="BM22">
        <f t="shared" si="2"/>
        <v>12.092000000000001</v>
      </c>
      <c r="BN22">
        <f t="shared" si="2"/>
        <v>12.263999999999999</v>
      </c>
      <c r="BO22">
        <f t="shared" si="2"/>
        <v>11.5</v>
      </c>
      <c r="BP22">
        <f t="shared" ref="BP22:DL22" si="3">AVERAGE(BP8:BP12)</f>
        <v>13.8</v>
      </c>
      <c r="BQ22">
        <f t="shared" si="3"/>
        <v>14.8</v>
      </c>
      <c r="BR22">
        <f t="shared" si="3"/>
        <v>13.116000000000003</v>
      </c>
      <c r="BS22">
        <f t="shared" si="3"/>
        <v>13.528000000000002</v>
      </c>
      <c r="BT22">
        <f t="shared" si="3"/>
        <v>12.902000000000001</v>
      </c>
      <c r="BU22">
        <f t="shared" si="3"/>
        <v>13.992000000000001</v>
      </c>
      <c r="BV22">
        <f t="shared" si="3"/>
        <v>13.868</v>
      </c>
      <c r="BW22">
        <f t="shared" si="3"/>
        <v>13.469999999999999</v>
      </c>
      <c r="BX22">
        <f t="shared" si="3"/>
        <v>13.766000000000002</v>
      </c>
      <c r="BY22">
        <f t="shared" si="3"/>
        <v>14.413999999999998</v>
      </c>
      <c r="BZ22">
        <f t="shared" si="3"/>
        <v>13.419999999999998</v>
      </c>
      <c r="CA22">
        <f t="shared" si="3"/>
        <v>13.84</v>
      </c>
      <c r="CB22">
        <f t="shared" si="3"/>
        <v>14.940000000000001</v>
      </c>
      <c r="CC22">
        <f t="shared" si="3"/>
        <v>14.219999999999999</v>
      </c>
      <c r="CD22">
        <f t="shared" si="3"/>
        <v>13.679999999999998</v>
      </c>
      <c r="CE22">
        <f t="shared" si="3"/>
        <v>15.84</v>
      </c>
      <c r="CF22">
        <f t="shared" si="3"/>
        <v>16.2</v>
      </c>
      <c r="CG22">
        <f t="shared" si="3"/>
        <v>15.64</v>
      </c>
      <c r="CH22">
        <f t="shared" si="3"/>
        <v>13.8</v>
      </c>
      <c r="CI22">
        <f t="shared" si="3"/>
        <v>14.059999999999999</v>
      </c>
      <c r="CJ22">
        <f t="shared" si="3"/>
        <v>15.079999999999998</v>
      </c>
      <c r="CK22">
        <f t="shared" si="3"/>
        <v>15.040000000000001</v>
      </c>
      <c r="CL22">
        <f t="shared" si="3"/>
        <v>15.76</v>
      </c>
      <c r="CM22">
        <f t="shared" si="3"/>
        <v>15.6</v>
      </c>
      <c r="CN22">
        <f t="shared" si="3"/>
        <v>16.100000000000001</v>
      </c>
      <c r="CO22">
        <f t="shared" si="3"/>
        <v>15.66</v>
      </c>
      <c r="CP22">
        <f t="shared" si="3"/>
        <v>15.66</v>
      </c>
      <c r="CQ22">
        <f t="shared" si="3"/>
        <v>16</v>
      </c>
      <c r="CR22">
        <f t="shared" si="3"/>
        <v>16.2</v>
      </c>
      <c r="CS22">
        <f t="shared" si="3"/>
        <v>15.820000000000002</v>
      </c>
      <c r="CT22">
        <f t="shared" si="3"/>
        <v>16.100000000000001</v>
      </c>
      <c r="CU22">
        <f t="shared" si="3"/>
        <v>17.380000000000003</v>
      </c>
      <c r="CV22">
        <f t="shared" si="3"/>
        <v>17.34</v>
      </c>
      <c r="CW22">
        <f t="shared" si="3"/>
        <v>17.100000000000001</v>
      </c>
      <c r="CX22">
        <f t="shared" si="3"/>
        <v>17.100000000000001</v>
      </c>
      <c r="CY22">
        <f t="shared" si="3"/>
        <v>18</v>
      </c>
      <c r="CZ22">
        <f t="shared" si="3"/>
        <v>16.98</v>
      </c>
      <c r="DA22">
        <f t="shared" si="3"/>
        <v>17.100000000000001</v>
      </c>
      <c r="DB22">
        <f t="shared" si="3"/>
        <v>17.220000000000002</v>
      </c>
      <c r="DC22">
        <f t="shared" si="3"/>
        <v>17.639999999999997</v>
      </c>
      <c r="DD22">
        <f t="shared" si="3"/>
        <v>18</v>
      </c>
      <c r="DE22">
        <f t="shared" si="3"/>
        <v>17.940000000000001</v>
      </c>
      <c r="DF22">
        <f t="shared" si="3"/>
        <v>18</v>
      </c>
      <c r="DG22">
        <f t="shared" si="3"/>
        <v>18.18</v>
      </c>
      <c r="DH22">
        <f t="shared" si="3"/>
        <v>18.119999999999997</v>
      </c>
      <c r="DI22">
        <f t="shared" si="3"/>
        <v>17.860000000000003</v>
      </c>
      <c r="DJ22">
        <f t="shared" si="3"/>
        <v>18.3</v>
      </c>
      <c r="DK22">
        <f t="shared" si="3"/>
        <v>18.899999999999999</v>
      </c>
      <c r="DL22">
        <f t="shared" si="3"/>
        <v>18.5</v>
      </c>
    </row>
    <row r="23" spans="1:120" x14ac:dyDescent="0.35">
      <c r="A23" s="1">
        <f>SUM(C13:DL17)</f>
        <v>6156.300000000002</v>
      </c>
      <c r="B23" s="1" t="s">
        <v>130</v>
      </c>
      <c r="C23">
        <f>AVERAGE(C13:C17)</f>
        <v>1.8</v>
      </c>
      <c r="D23">
        <f t="shared" ref="D23:BO23" si="4">AVERAGE(D13:D17)</f>
        <v>2.1</v>
      </c>
      <c r="E23">
        <f t="shared" si="4"/>
        <v>2.4</v>
      </c>
      <c r="F23">
        <f t="shared" si="4"/>
        <v>3.7399999999999998</v>
      </c>
      <c r="G23">
        <f t="shared" si="4"/>
        <v>2.6</v>
      </c>
      <c r="H23">
        <f t="shared" si="4"/>
        <v>3.4</v>
      </c>
      <c r="I23">
        <f t="shared" si="4"/>
        <v>3.5</v>
      </c>
      <c r="J23">
        <f t="shared" si="4"/>
        <v>3.4</v>
      </c>
      <c r="K23">
        <f t="shared" si="4"/>
        <v>3.8</v>
      </c>
      <c r="L23">
        <f t="shared" si="4"/>
        <v>3.9</v>
      </c>
      <c r="M23">
        <f t="shared" si="4"/>
        <v>3.4</v>
      </c>
      <c r="N23">
        <f t="shared" si="4"/>
        <v>4.24</v>
      </c>
      <c r="O23">
        <f t="shared" si="4"/>
        <v>4.63</v>
      </c>
      <c r="P23">
        <f t="shared" si="4"/>
        <v>4.78</v>
      </c>
      <c r="Q23">
        <f t="shared" si="4"/>
        <v>4.7200000000000006</v>
      </c>
      <c r="R23">
        <f t="shared" si="4"/>
        <v>5.32</v>
      </c>
      <c r="S23">
        <f t="shared" si="4"/>
        <v>5.0999999999999996</v>
      </c>
      <c r="T23">
        <f t="shared" si="4"/>
        <v>5.1099999999999994</v>
      </c>
      <c r="U23">
        <f t="shared" si="4"/>
        <v>5.7499999999999991</v>
      </c>
      <c r="V23">
        <f t="shared" si="4"/>
        <v>6.2200000000000006</v>
      </c>
      <c r="W23">
        <f t="shared" si="4"/>
        <v>6.39</v>
      </c>
      <c r="X23">
        <f t="shared" si="4"/>
        <v>6.18</v>
      </c>
      <c r="Y23">
        <f t="shared" si="4"/>
        <v>5.95</v>
      </c>
      <c r="Z23">
        <f t="shared" si="4"/>
        <v>5.6599999999999993</v>
      </c>
      <c r="AA23">
        <f t="shared" si="4"/>
        <v>6.04</v>
      </c>
      <c r="AB23">
        <f t="shared" si="4"/>
        <v>6.38</v>
      </c>
      <c r="AC23">
        <f t="shared" si="4"/>
        <v>5.88</v>
      </c>
      <c r="AD23">
        <f t="shared" si="4"/>
        <v>6.14</v>
      </c>
      <c r="AE23">
        <f t="shared" si="4"/>
        <v>5.71</v>
      </c>
      <c r="AF23">
        <f t="shared" si="4"/>
        <v>6.2</v>
      </c>
      <c r="AG23" s="31">
        <f t="shared" si="4"/>
        <v>6</v>
      </c>
      <c r="AH23">
        <f t="shared" si="4"/>
        <v>7.8519999999999994</v>
      </c>
      <c r="AI23">
        <f t="shared" si="4"/>
        <v>7.1280000000000001</v>
      </c>
      <c r="AJ23">
        <f t="shared" si="4"/>
        <v>6.7099999999999991</v>
      </c>
      <c r="AK23">
        <f t="shared" si="4"/>
        <v>7.016</v>
      </c>
      <c r="AL23">
        <f t="shared" si="4"/>
        <v>3.34</v>
      </c>
      <c r="AM23">
        <f t="shared" si="4"/>
        <v>6.7799999999999994</v>
      </c>
      <c r="AN23">
        <f t="shared" si="4"/>
        <v>6.1</v>
      </c>
      <c r="AO23">
        <f t="shared" si="4"/>
        <v>7.65</v>
      </c>
      <c r="AP23">
        <f t="shared" si="4"/>
        <v>7.9799999999999995</v>
      </c>
      <c r="AQ23">
        <f t="shared" si="4"/>
        <v>7.8600000000000012</v>
      </c>
      <c r="AR23">
        <f t="shared" si="4"/>
        <v>8.89</v>
      </c>
      <c r="AS23">
        <f t="shared" si="4"/>
        <v>8.6800000000000015</v>
      </c>
      <c r="AT23">
        <f t="shared" si="4"/>
        <v>8.1340000000000003</v>
      </c>
      <c r="AU23">
        <f t="shared" si="4"/>
        <v>9.2600000000000016</v>
      </c>
      <c r="AV23">
        <f t="shared" si="4"/>
        <v>9.25</v>
      </c>
      <c r="AW23">
        <f t="shared" si="4"/>
        <v>9.66</v>
      </c>
      <c r="AX23">
        <f t="shared" si="4"/>
        <v>10.059999999999999</v>
      </c>
      <c r="AY23">
        <f t="shared" si="4"/>
        <v>10.180000000000001</v>
      </c>
      <c r="AZ23">
        <f t="shared" si="4"/>
        <v>9.9499999999999993</v>
      </c>
      <c r="BA23">
        <f t="shared" si="4"/>
        <v>9.42</v>
      </c>
      <c r="BB23">
        <f t="shared" si="4"/>
        <v>9.98</v>
      </c>
      <c r="BC23">
        <f t="shared" si="4"/>
        <v>11.1</v>
      </c>
      <c r="BD23">
        <f t="shared" si="4"/>
        <v>11.1</v>
      </c>
      <c r="BE23">
        <f t="shared" si="4"/>
        <v>11.004</v>
      </c>
      <c r="BF23">
        <f t="shared" si="4"/>
        <v>11.651999999999997</v>
      </c>
      <c r="BG23">
        <f t="shared" si="4"/>
        <v>11.443999999999999</v>
      </c>
      <c r="BH23">
        <f t="shared" si="4"/>
        <v>11.827999999999999</v>
      </c>
      <c r="BI23">
        <f t="shared" si="4"/>
        <v>11.687999999999999</v>
      </c>
      <c r="BJ23">
        <f t="shared" si="4"/>
        <v>10.64</v>
      </c>
      <c r="BK23">
        <f t="shared" si="4"/>
        <v>10.868</v>
      </c>
      <c r="BL23">
        <f t="shared" si="4"/>
        <v>11.323999999999998</v>
      </c>
      <c r="BM23">
        <f t="shared" si="4"/>
        <v>11.943999999999999</v>
      </c>
      <c r="BN23">
        <f t="shared" si="4"/>
        <v>12.26</v>
      </c>
      <c r="BO23">
        <f t="shared" si="4"/>
        <v>11.5</v>
      </c>
      <c r="BP23">
        <f t="shared" ref="BP23:DL23" si="5">AVERAGE(BP13:BP17)</f>
        <v>13.540000000000001</v>
      </c>
      <c r="BQ23">
        <f t="shared" si="5"/>
        <v>14.4</v>
      </c>
      <c r="BR23">
        <f t="shared" si="5"/>
        <v>12.957999999999998</v>
      </c>
      <c r="BS23">
        <f t="shared" si="5"/>
        <v>14.24</v>
      </c>
      <c r="BT23">
        <f t="shared" si="5"/>
        <v>12.440000000000001</v>
      </c>
      <c r="BU23">
        <f t="shared" si="5"/>
        <v>12.913999999999998</v>
      </c>
      <c r="BV23">
        <f t="shared" si="5"/>
        <v>13.848000000000003</v>
      </c>
      <c r="BW23">
        <f t="shared" si="5"/>
        <v>14.419999999999998</v>
      </c>
      <c r="BX23">
        <f t="shared" si="5"/>
        <v>13.857999999999999</v>
      </c>
      <c r="BY23">
        <f t="shared" si="5"/>
        <v>14.59</v>
      </c>
      <c r="BZ23">
        <f t="shared" si="5"/>
        <v>13.9</v>
      </c>
      <c r="CA23">
        <f t="shared" si="5"/>
        <v>15.02</v>
      </c>
      <c r="CB23">
        <f t="shared" si="5"/>
        <v>15.2</v>
      </c>
      <c r="CC23">
        <f t="shared" si="5"/>
        <v>14.220000000000002</v>
      </c>
      <c r="CD23">
        <f t="shared" si="5"/>
        <v>14.76</v>
      </c>
      <c r="CE23">
        <f t="shared" si="5"/>
        <v>15.839999999999998</v>
      </c>
      <c r="CF23">
        <f t="shared" si="5"/>
        <v>16.2</v>
      </c>
      <c r="CG23">
        <f t="shared" si="5"/>
        <v>15.4</v>
      </c>
      <c r="CH23">
        <f t="shared" si="5"/>
        <v>13.440000000000001</v>
      </c>
      <c r="CI23">
        <f t="shared" si="5"/>
        <v>14.060000000000002</v>
      </c>
      <c r="CJ23">
        <f t="shared" si="5"/>
        <v>14.580000000000002</v>
      </c>
      <c r="CK23">
        <f t="shared" si="5"/>
        <v>14.940000000000001</v>
      </c>
      <c r="CL23">
        <f t="shared" si="5"/>
        <v>14.88</v>
      </c>
      <c r="CM23">
        <f t="shared" si="5"/>
        <v>14.219999999999999</v>
      </c>
      <c r="CN23">
        <f t="shared" si="5"/>
        <v>15.379999999999999</v>
      </c>
      <c r="CO23">
        <f t="shared" si="5"/>
        <v>15.780000000000001</v>
      </c>
      <c r="CP23">
        <f t="shared" si="5"/>
        <v>14.98</v>
      </c>
      <c r="CQ23">
        <f t="shared" si="5"/>
        <v>14.36</v>
      </c>
      <c r="CR23">
        <f t="shared" si="5"/>
        <v>15.98</v>
      </c>
      <c r="CS23">
        <f t="shared" si="5"/>
        <v>15.88</v>
      </c>
      <c r="CT23">
        <f t="shared" si="5"/>
        <v>16</v>
      </c>
      <c r="CU23">
        <f t="shared" si="5"/>
        <v>17.78</v>
      </c>
      <c r="CV23">
        <f t="shared" si="5"/>
        <v>17.46</v>
      </c>
      <c r="CW23">
        <f t="shared" si="5"/>
        <v>16.380000000000003</v>
      </c>
      <c r="CX23">
        <f t="shared" si="5"/>
        <v>17.16</v>
      </c>
      <c r="CY23">
        <f t="shared" si="5"/>
        <v>16.560000000000002</v>
      </c>
      <c r="CZ23">
        <f t="shared" si="5"/>
        <v>16.98</v>
      </c>
      <c r="DA23">
        <f t="shared" si="5"/>
        <v>17.100000000000001</v>
      </c>
      <c r="DB23">
        <f t="shared" si="5"/>
        <v>16.8</v>
      </c>
      <c r="DC23">
        <f t="shared" si="5"/>
        <v>16.8</v>
      </c>
      <c r="DD23">
        <f t="shared" si="5"/>
        <v>17.760000000000002</v>
      </c>
      <c r="DE23">
        <f t="shared" si="5"/>
        <v>17.82</v>
      </c>
      <c r="DF23">
        <f t="shared" si="5"/>
        <v>18</v>
      </c>
      <c r="DG23">
        <f t="shared" si="5"/>
        <v>17.68</v>
      </c>
      <c r="DH23">
        <f t="shared" si="5"/>
        <v>17.940000000000001</v>
      </c>
      <c r="DI23">
        <f t="shared" si="5"/>
        <v>17.880000000000003</v>
      </c>
      <c r="DJ23">
        <f t="shared" si="5"/>
        <v>18.54</v>
      </c>
      <c r="DK23">
        <f t="shared" si="5"/>
        <v>18.899999999999999</v>
      </c>
      <c r="DL23">
        <f t="shared" si="5"/>
        <v>18.18</v>
      </c>
    </row>
    <row r="25" spans="1:120" x14ac:dyDescent="0.35">
      <c r="C25" t="s">
        <v>162</v>
      </c>
    </row>
    <row r="26" spans="1:120" x14ac:dyDescent="0.35">
      <c r="C26" t="s">
        <v>163</v>
      </c>
    </row>
    <row r="27" spans="1:120" x14ac:dyDescent="0.35">
      <c r="C27" t="s">
        <v>164</v>
      </c>
    </row>
    <row r="28" spans="1:120" x14ac:dyDescent="0.35">
      <c r="C28" t="s">
        <v>165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Pig data</vt:lpstr>
      <vt:lpstr>Floor sample </vt:lpstr>
      <vt:lpstr>Feed consumption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Trang (ILRI)</dc:creator>
  <cp:lastModifiedBy>DXSINH</cp:lastModifiedBy>
  <dcterms:created xsi:type="dcterms:W3CDTF">2015-06-05T18:17:20Z</dcterms:created>
  <dcterms:modified xsi:type="dcterms:W3CDTF">2021-05-21T18:09:41Z</dcterms:modified>
</cp:coreProperties>
</file>